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onnections.xml" ContentType="application/vnd.openxmlformats-officedocument.spreadsheetml.connection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comments2.xml" ContentType="application/vnd.openxmlformats-officedocument.spreadsheetml.comment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pkalathas\Desktop\2 Princepeel\An VERRA\Accuracy review VERRA\"/>
    </mc:Choice>
  </mc:AlternateContent>
  <xr:revisionPtr revIDLastSave="0" documentId="13_ncr:1_{AD5905AF-125A-4EB4-A233-42F17D2D945C}" xr6:coauthVersionLast="47" xr6:coauthVersionMax="47" xr10:uidLastSave="{00000000-0000-0000-0000-000000000000}"/>
  <bookViews>
    <workbookView xWindow="31910" yWindow="0" windowWidth="12980" windowHeight="13770" tabRatio="581" xr2:uid="{00000000-000D-0000-FFFF-FFFF00000000}"/>
  </bookViews>
  <sheets>
    <sheet name="Overview " sheetId="16" r:id="rId1"/>
    <sheet name="BE Manure - AMS-III D" sheetId="14" r:id="rId2"/>
    <sheet name="BE Heat - AMS-I C" sheetId="19" r:id="rId3"/>
    <sheet name="PE - Physical leakage" sheetId="17" r:id="rId4"/>
    <sheet name="Biogas production" sheetId="21" r:id="rId5"/>
    <sheet name="Co-Substrates" sheetId="2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9" l="1"/>
  <c r="D21" i="19"/>
  <c r="C5" i="22"/>
  <c r="D26" i="19" l="1"/>
  <c r="H14" i="19" l="1"/>
  <c r="D20" i="19" l="1"/>
  <c r="D25" i="14"/>
  <c r="D28" i="14" s="1"/>
  <c r="D31" i="14" s="1"/>
  <c r="D34" i="14" s="1"/>
  <c r="D36" i="14" s="1"/>
  <c r="D29" i="19"/>
  <c r="D22" i="19" s="1"/>
  <c r="D50" i="19" s="1"/>
  <c r="D74" i="19" s="1"/>
  <c r="D45" i="19"/>
  <c r="D62" i="19"/>
  <c r="D66" i="19" s="1"/>
  <c r="D17" i="19"/>
  <c r="D38" i="19"/>
  <c r="D13" i="19" l="1"/>
  <c r="D6" i="14"/>
  <c r="D57" i="19" s="1"/>
  <c r="B37" i="21" l="1"/>
  <c r="C74" i="14" l="1"/>
  <c r="D15" i="14" s="1"/>
  <c r="E15" i="14" s="1"/>
  <c r="B74" i="14"/>
  <c r="D12" i="14" s="1"/>
  <c r="E12" i="14" s="1"/>
  <c r="E25" i="14" s="1"/>
  <c r="E28" i="14" s="1"/>
  <c r="E31" i="14" s="1"/>
  <c r="E34" i="14" s="1"/>
  <c r="E36" i="14" s="1"/>
  <c r="D6" i="21" l="1"/>
  <c r="D37" i="14" l="1"/>
  <c r="F6" i="21" l="1"/>
  <c r="E6" i="21" l="1"/>
  <c r="D69" i="19" l="1"/>
  <c r="D7" i="16" s="1"/>
  <c r="C7" i="16" l="1"/>
  <c r="D9" i="17" l="1"/>
  <c r="D11" i="17" l="1"/>
  <c r="E7" i="16" s="1"/>
  <c r="F7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tc={3E736A0D-6F6B-48CA-AAE7-353D6D29BB0D}</author>
  </authors>
  <commentList>
    <comment ref="D42" authorId="0" shapeId="0" xr:uid="{3E736A0D-6F6B-48CA-AAE7-353D6D29BB0D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Heat use from Meting 8 was forgotten in the calculation and added here (9.193)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tc={E9DDBB12-B43F-46EA-B8CC-7CE5C5B200F3}</author>
    <author>tc={B1947B31-C165-48B7-9AE1-425F9DD76DB3}</author>
  </authors>
  <commentList>
    <comment ref="C6" authorId="0" shapeId="0" xr:uid="{E9DDBB12-B43F-46EA-B8CC-7CE5C5B200F3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Meetrapport S. 4, gemeten elekriciteit
</t>
      </text>
    </comment>
    <comment ref="B10" authorId="1" shapeId="0" xr:uid="{B1947B31-C165-48B7-9AE1-425F9DD76DB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Meetrapprtage 2022 S 4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190014-AECC-405E-AFC9-C362FE3A9FB2}" keepAlive="1" name="Abfrage - Table009 (Page 4)" description="Verbindung mit der Abfrage 'Table009 (Page 4)' in der Arbeitsmappe." type="5" refreshedVersion="8" background="1" saveData="1">
    <dbPr connection="Provider=Microsoft.Mashup.OleDb.1;Data Source=$Workbook$;Location=&quot;Table009 (Page 4)&quot;;Extended Properties=&quot;&quot;" command="SELECT * FROM [Table009 (Page 4)]"/>
  </connection>
</connections>
</file>

<file path=xl/sharedStrings.xml><?xml version="1.0" encoding="utf-8"?>
<sst xmlns="http://schemas.openxmlformats.org/spreadsheetml/2006/main" count="310" uniqueCount="193">
  <si>
    <t xml:space="preserve">Methane Recovery Project - Landgoed de Princepeel </t>
  </si>
  <si>
    <t xml:space="preserve">Calculation of Net Emission Reductions for the period 01.01.2022 - 31.12.2022 </t>
  </si>
  <si>
    <t xml:space="preserve">BASELINE EMISSIONS </t>
  </si>
  <si>
    <r>
      <t>CH</t>
    </r>
    <r>
      <rPr>
        <b/>
        <vertAlign val="subscript"/>
        <sz val="11"/>
        <color indexed="8"/>
        <rFont val="Calibri"/>
        <family val="2"/>
      </rPr>
      <t>4</t>
    </r>
    <r>
      <rPr>
        <b/>
        <sz val="11"/>
        <color indexed="8"/>
        <rFont val="Calibri"/>
        <family val="2"/>
      </rPr>
      <t xml:space="preserve"> emission from manure management </t>
    </r>
  </si>
  <si>
    <r>
      <t>CO</t>
    </r>
    <r>
      <rPr>
        <b/>
        <vertAlign val="sub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emission from thermal energy production</t>
    </r>
  </si>
  <si>
    <t xml:space="preserve">Project emissions -                     Physical leakage </t>
  </si>
  <si>
    <t>Net GHG Emission Reductions</t>
  </si>
  <si>
    <t>Unit</t>
  </si>
  <si>
    <r>
      <t>t CO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e</t>
    </r>
  </si>
  <si>
    <r>
      <t>t CO</t>
    </r>
    <r>
      <rPr>
        <vertAlign val="subscript"/>
        <sz val="10"/>
        <rFont val="Calibri"/>
        <family val="2"/>
      </rPr>
      <t>2</t>
    </r>
  </si>
  <si>
    <t>Calculation of ex-post baseline emissions according to AMS-III.D</t>
  </si>
  <si>
    <t>Parameter</t>
  </si>
  <si>
    <t>Description</t>
  </si>
  <si>
    <t>Manure inputs 2022</t>
  </si>
  <si>
    <t>Datasource/Comments</t>
  </si>
  <si>
    <t>Princepeel</t>
  </si>
  <si>
    <t>External suppliers</t>
  </si>
  <si>
    <r>
      <t>Q</t>
    </r>
    <r>
      <rPr>
        <b/>
        <vertAlign val="subscript"/>
        <sz val="10"/>
        <rFont val="Calibri"/>
        <family val="2"/>
      </rPr>
      <t>fm,j,LT,y</t>
    </r>
  </si>
  <si>
    <t>Fresh manure</t>
  </si>
  <si>
    <t>Liquid pig manure</t>
  </si>
  <si>
    <t>t/y</t>
  </si>
  <si>
    <t xml:space="preserve">Project data </t>
  </si>
  <si>
    <r>
      <t>Bo</t>
    </r>
    <r>
      <rPr>
        <b/>
        <vertAlign val="subscript"/>
        <sz val="10"/>
        <rFont val="Calibri"/>
        <family val="2"/>
      </rPr>
      <t>LT</t>
    </r>
  </si>
  <si>
    <r>
      <t>CH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 xml:space="preserve"> capacity</t>
    </r>
  </si>
  <si>
    <r>
      <t>m³ CH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>/kg odm</t>
    </r>
  </si>
  <si>
    <t>National Inventory Report 2021 - Annex 7 Van der Zee (2021) - Methodology for estimating emission from agriculture in the Netherlands - Section 4.2.3, p. 54</t>
  </si>
  <si>
    <r>
      <t>dm</t>
    </r>
    <r>
      <rPr>
        <b/>
        <vertAlign val="subscript"/>
        <sz val="10"/>
        <rFont val="Calibri"/>
        <family val="2"/>
      </rPr>
      <t>j,LT</t>
    </r>
  </si>
  <si>
    <t>Average dry matter content</t>
  </si>
  <si>
    <t>dm/fm</t>
  </si>
  <si>
    <t>Project data /dm values for "manure external" are calculated : dm (own manure) x 90%</t>
  </si>
  <si>
    <r>
      <t>SVS</t>
    </r>
    <r>
      <rPr>
        <b/>
        <vertAlign val="subscript"/>
        <sz val="10"/>
        <rFont val="Calibri"/>
        <family val="2"/>
      </rPr>
      <t>j,LT</t>
    </r>
  </si>
  <si>
    <t>Average organic dry matter content</t>
  </si>
  <si>
    <t>svs/dm</t>
  </si>
  <si>
    <t>Project data /SVS values for "manure external" are calculated : SVS (own manure) x 90%</t>
  </si>
  <si>
    <r>
      <t>MCF</t>
    </r>
    <r>
      <rPr>
        <b/>
        <vertAlign val="subscript"/>
        <sz val="10"/>
        <rFont val="Calibri"/>
        <family val="2"/>
      </rPr>
      <t>j</t>
    </r>
  </si>
  <si>
    <t>Methane conversion factor</t>
  </si>
  <si>
    <t>%</t>
  </si>
  <si>
    <r>
      <t>Uf</t>
    </r>
    <r>
      <rPr>
        <b/>
        <vertAlign val="subscript"/>
        <sz val="10"/>
        <rFont val="Calibri"/>
        <family val="2"/>
      </rPr>
      <t>b</t>
    </r>
  </si>
  <si>
    <t>Model correction factor to account for model uncertainties</t>
  </si>
  <si>
    <t>#</t>
  </si>
  <si>
    <t>AMS-III.D, Subsidiary Body for Scientific and Technological advice, FCCC/SBSTA/2003/10/Add.2, page 25</t>
  </si>
  <si>
    <r>
      <t>D</t>
    </r>
    <r>
      <rPr>
        <b/>
        <vertAlign val="subscript"/>
        <sz val="10"/>
        <rFont val="Calibri"/>
        <family val="2"/>
      </rPr>
      <t>CH4</t>
    </r>
  </si>
  <si>
    <t xml:space="preserve">Density of methane </t>
  </si>
  <si>
    <t>t/Nm³</t>
  </si>
  <si>
    <t>IPCC Good Practice Guidance and Uncertainty management in National Greenhouse Gas Inventories, page 4.36</t>
  </si>
  <si>
    <r>
      <t>GWP</t>
    </r>
    <r>
      <rPr>
        <b/>
        <vertAlign val="subscript"/>
        <sz val="10"/>
        <rFont val="Calibri"/>
        <family val="2"/>
      </rPr>
      <t>CH4</t>
    </r>
  </si>
  <si>
    <t>Global warming potential of methane</t>
  </si>
  <si>
    <t>IPCC Fifth Assessment Report 2014, chapter 8, table 8.7, page 714</t>
  </si>
  <si>
    <r>
      <t>Q</t>
    </r>
    <r>
      <rPr>
        <b/>
        <vertAlign val="subscript"/>
        <sz val="10"/>
        <rFont val="Calibri"/>
        <family val="2"/>
      </rPr>
      <t>manure,j,LT,y</t>
    </r>
  </si>
  <si>
    <t>Dry matter</t>
  </si>
  <si>
    <t>t dm/y</t>
  </si>
  <si>
    <t>Calculated</t>
  </si>
  <si>
    <r>
      <t>odm</t>
    </r>
    <r>
      <rPr>
        <b/>
        <vertAlign val="subscript"/>
        <sz val="10"/>
        <rFont val="Calibri"/>
        <family val="2"/>
      </rPr>
      <t>LT</t>
    </r>
    <r>
      <rPr>
        <b/>
        <sz val="10"/>
        <rFont val="Calibri"/>
        <family val="2"/>
      </rPr>
      <t>,</t>
    </r>
    <r>
      <rPr>
        <b/>
        <vertAlign val="subscript"/>
        <sz val="10"/>
        <rFont val="Calibri"/>
        <family val="2"/>
      </rPr>
      <t>y</t>
    </r>
  </si>
  <si>
    <t>Organic dry matter</t>
  </si>
  <si>
    <t>t odm/y</t>
  </si>
  <si>
    <r>
      <t>EF</t>
    </r>
    <r>
      <rPr>
        <b/>
        <vertAlign val="subscript"/>
        <sz val="10"/>
        <rFont val="Calibri"/>
        <family val="2"/>
      </rPr>
      <t>LT,y</t>
    </r>
  </si>
  <si>
    <t>Methane potential</t>
  </si>
  <si>
    <r>
      <t>m³ CH</t>
    </r>
    <r>
      <rPr>
        <vertAlign val="subscript"/>
        <sz val="10"/>
        <rFont val="Calibri"/>
        <family val="2"/>
      </rPr>
      <t>4</t>
    </r>
    <r>
      <rPr>
        <sz val="10"/>
        <rFont val="Calibri"/>
        <family val="2"/>
      </rPr>
      <t xml:space="preserve"> /y</t>
    </r>
  </si>
  <si>
    <r>
      <t>BE</t>
    </r>
    <r>
      <rPr>
        <b/>
        <vertAlign val="subscript"/>
        <sz val="10"/>
        <rFont val="Calibri"/>
        <family val="2"/>
      </rPr>
      <t>LM,y</t>
    </r>
  </si>
  <si>
    <t>Baseline Emissions Manure</t>
  </si>
  <si>
    <r>
      <t>t CO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e /y</t>
    </r>
  </si>
  <si>
    <r>
      <t>BE</t>
    </r>
    <r>
      <rPr>
        <b/>
        <vertAlign val="subscript"/>
        <sz val="10"/>
        <rFont val="Calibri"/>
        <family val="2"/>
      </rPr>
      <t>Y,ex-post</t>
    </r>
  </si>
  <si>
    <r>
      <t>t CO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>e /y</t>
    </r>
  </si>
  <si>
    <t xml:space="preserve">Total Baseline Emissions AMS-III.D </t>
  </si>
  <si>
    <t>PIG MANURE</t>
  </si>
  <si>
    <t>DRY MATTER</t>
  </si>
  <si>
    <t>ORGANIC DRY MATTER</t>
  </si>
  <si>
    <t>kg dm/kg</t>
  </si>
  <si>
    <t>odm/dm</t>
  </si>
  <si>
    <t>Calculation of ex-post baseline emissions from fuel energy consumption</t>
  </si>
  <si>
    <t>1. For ammonia stripping, digestate drying and thermal evaporating (fertilizer production)</t>
  </si>
  <si>
    <t xml:space="preserve">2. For hygienization </t>
  </si>
  <si>
    <t>1. Calculation of ex-post baseline emissions from use of heat for ammonia stripping, digestate drying and thermal evaporator (fertilizer production)</t>
  </si>
  <si>
    <r>
      <t>Formula to calculate baseline emissions</t>
    </r>
    <r>
      <rPr>
        <b/>
        <u/>
        <sz val="10"/>
        <rFont val="Calibri"/>
        <family val="2"/>
      </rPr>
      <t xml:space="preserve"> from heating with fossil fuels </t>
    </r>
  </si>
  <si>
    <t>Sources / Comments</t>
  </si>
  <si>
    <t>Thermal energy use from ammoniak stripping</t>
  </si>
  <si>
    <r>
      <t>EG</t>
    </r>
    <r>
      <rPr>
        <vertAlign val="subscript"/>
        <sz val="10.5"/>
        <rFont val="Calibri"/>
        <family val="2"/>
      </rPr>
      <t>thermal,AS,y</t>
    </r>
  </si>
  <si>
    <t>TJ</t>
  </si>
  <si>
    <t>Emission factor for natural gas</t>
  </si>
  <si>
    <r>
      <t>EF</t>
    </r>
    <r>
      <rPr>
        <vertAlign val="subscript"/>
        <sz val="10.5"/>
        <rFont val="Calibri"/>
        <family val="2"/>
      </rPr>
      <t>NG,CO2</t>
    </r>
  </si>
  <si>
    <r>
      <t>t CO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/TJ</t>
    </r>
  </si>
  <si>
    <t>The Netherlands: list of fuels and standard CO2 emission factors version of January 2021, Netherlands Enterprise Agency, p. 4, https://english.rvo.nl/sites/default/files/2021/05/the%20Netherlands%20list%20of%20fuels%20version%20January%202021.pdf</t>
  </si>
  <si>
    <t>Efficiency of the plants using natural gas</t>
  </si>
  <si>
    <r>
      <t>η</t>
    </r>
    <r>
      <rPr>
        <vertAlign val="subscript"/>
        <sz val="10.5"/>
        <color indexed="63"/>
        <rFont val="Calibri"/>
        <family val="2"/>
      </rPr>
      <t>BL,thermal</t>
    </r>
  </si>
  <si>
    <t>Default value, AMS-I.C, paragrah 42. c)</t>
  </si>
  <si>
    <t>+</t>
  </si>
  <si>
    <t>Baseline emissions from ammoniak stripping</t>
  </si>
  <si>
    <r>
      <t>BE</t>
    </r>
    <r>
      <rPr>
        <b/>
        <vertAlign val="subscript"/>
        <sz val="11"/>
        <rFont val="Calibri"/>
        <family val="2"/>
      </rPr>
      <t>thermal,ASy</t>
    </r>
  </si>
  <si>
    <r>
      <t>t CO</t>
    </r>
    <r>
      <rPr>
        <b/>
        <vertAlign val="subscript"/>
        <sz val="11"/>
        <color indexed="8"/>
        <rFont val="Calibri"/>
        <family val="2"/>
      </rPr>
      <t>2</t>
    </r>
  </si>
  <si>
    <t>kWh</t>
  </si>
  <si>
    <t>Tj</t>
  </si>
  <si>
    <t>DIGESTATE DRYING (WM 2)  + WM 4 + EG</t>
  </si>
  <si>
    <t xml:space="preserve">Thermal energy use from digestate drying </t>
  </si>
  <si>
    <r>
      <t>EG</t>
    </r>
    <r>
      <rPr>
        <vertAlign val="subscript"/>
        <sz val="10.5"/>
        <rFont val="Calibri"/>
        <family val="2"/>
      </rPr>
      <t>thermal,DD,y</t>
    </r>
  </si>
  <si>
    <t xml:space="preserve">The Netherlands: list of fuels and 
standard CO2 emission factors  
version of January 2020, Netherlands Enterprise Agency, p. 3, https://english.rvo.nl/sites/default/files/2020/03/The-Netherlands-list-of-fuels-version-January-2020.pdf </t>
  </si>
  <si>
    <t>Default values, AMS-I.C, paragrah 42. c)</t>
  </si>
  <si>
    <t>Baseline emissions from digestate drying (WM4)</t>
  </si>
  <si>
    <r>
      <t>BE</t>
    </r>
    <r>
      <rPr>
        <vertAlign val="subscript"/>
        <sz val="11"/>
        <rFont val="Calibri"/>
        <family val="2"/>
      </rPr>
      <t>thermal,WKK1,y</t>
    </r>
  </si>
  <si>
    <t>t CO2</t>
  </si>
  <si>
    <t xml:space="preserve">Calculated in the sub-steps in the table below </t>
  </si>
  <si>
    <t>Baseline emissions from digestate drying (EG)</t>
  </si>
  <si>
    <r>
      <t>t CO</t>
    </r>
    <r>
      <rPr>
        <vertAlign val="subscript"/>
        <sz val="11"/>
        <color indexed="8"/>
        <rFont val="Calibri"/>
        <family val="2"/>
      </rPr>
      <t>2</t>
    </r>
  </si>
  <si>
    <t>Baseline emissions from digestate drying</t>
  </si>
  <si>
    <r>
      <t>BE</t>
    </r>
    <r>
      <rPr>
        <b/>
        <vertAlign val="subscript"/>
        <sz val="11"/>
        <rFont val="Calibri"/>
        <family val="2"/>
      </rPr>
      <t>thermal,DD,y</t>
    </r>
  </si>
  <si>
    <t>Thermal energy use from thermal evaporating</t>
  </si>
  <si>
    <r>
      <t>EG</t>
    </r>
    <r>
      <rPr>
        <vertAlign val="subscript"/>
        <sz val="10.5"/>
        <rFont val="Calibri"/>
        <family val="2"/>
      </rPr>
      <t>thermal,TE,y</t>
    </r>
  </si>
  <si>
    <t>Baseline emissions from thermal evaporating</t>
  </si>
  <si>
    <r>
      <t>BE</t>
    </r>
    <r>
      <rPr>
        <b/>
        <vertAlign val="subscript"/>
        <sz val="11"/>
        <rFont val="Calibri"/>
        <family val="2"/>
      </rPr>
      <t>thermal,TE,y</t>
    </r>
  </si>
  <si>
    <t>Sub-steps for calcualtion of baseline emissions from drying digestate</t>
  </si>
  <si>
    <t>WKK1 (WM 4)</t>
  </si>
  <si>
    <r>
      <t>EG</t>
    </r>
    <r>
      <rPr>
        <vertAlign val="subscript"/>
        <sz val="10.5"/>
        <rFont val="Calibri"/>
        <family val="2"/>
      </rPr>
      <t>thermal,WKK1,y</t>
    </r>
  </si>
  <si>
    <r>
      <t>BE</t>
    </r>
    <r>
      <rPr>
        <b/>
        <vertAlign val="subscript"/>
        <sz val="11"/>
        <rFont val="Calibri"/>
        <family val="2"/>
      </rPr>
      <t>thermal,WKK1,y</t>
    </r>
  </si>
  <si>
    <r>
      <t>EG</t>
    </r>
    <r>
      <rPr>
        <vertAlign val="subscript"/>
        <sz val="10.5"/>
        <rFont val="Calibri"/>
        <family val="2"/>
      </rPr>
      <t>thermal,EG,y</t>
    </r>
  </si>
  <si>
    <t>TOTAL BASELINE EMISSIONS FROM FERTILIZER PRODUCTION</t>
  </si>
  <si>
    <t>Total baseline emissions from fertilizer production</t>
  </si>
  <si>
    <r>
      <t>BE</t>
    </r>
    <r>
      <rPr>
        <b/>
        <vertAlign val="subscript"/>
        <sz val="11"/>
        <rFont val="Calibri"/>
        <family val="2"/>
      </rPr>
      <t>thermal,FP,y</t>
    </r>
  </si>
  <si>
    <t>2. Calculation of baseline emissions from manure hygienization</t>
  </si>
  <si>
    <t>HYGIENIZATION (Step 1)</t>
  </si>
  <si>
    <t>Formula to calculate the thermal energy use from hygienisation in the baseline scenario</t>
  </si>
  <si>
    <t>Quantity of fresh manure treated</t>
  </si>
  <si>
    <r>
      <t>Q</t>
    </r>
    <r>
      <rPr>
        <vertAlign val="subscript"/>
        <sz val="10"/>
        <rFont val="Calibri"/>
        <family val="2"/>
      </rPr>
      <t>fm,j,LT,y</t>
    </r>
  </si>
  <si>
    <t>kg</t>
  </si>
  <si>
    <t xml:space="preserve">Specific heat capacity of manure </t>
  </si>
  <si>
    <r>
      <t>Cap</t>
    </r>
    <r>
      <rPr>
        <vertAlign val="subscript"/>
        <sz val="10"/>
        <color indexed="8"/>
        <rFont val="Calibri"/>
        <family val="2"/>
      </rPr>
      <t>Heat,BE</t>
    </r>
  </si>
  <si>
    <t>KJ/kg K</t>
  </si>
  <si>
    <t>Wikipedia</t>
  </si>
  <si>
    <t>Inlet temperature of manure</t>
  </si>
  <si>
    <r>
      <t>T</t>
    </r>
    <r>
      <rPr>
        <vertAlign val="subscript"/>
        <sz val="10"/>
        <color indexed="8"/>
        <rFont val="Calibri"/>
        <family val="2"/>
      </rPr>
      <t>inlet,BE</t>
    </r>
  </si>
  <si>
    <t>°C</t>
  </si>
  <si>
    <t>World Weather Online, 
https://www.worldweatheronline.com/lang/es/wanroij-weather
averages/north-brabant/nl.aspx</t>
  </si>
  <si>
    <t>Outlet temperature of manure</t>
  </si>
  <si>
    <r>
      <t>T</t>
    </r>
    <r>
      <rPr>
        <vertAlign val="subscript"/>
        <sz val="10"/>
        <color indexed="8"/>
        <rFont val="Calibri"/>
        <family val="2"/>
      </rPr>
      <t>hyg,BE</t>
    </r>
  </si>
  <si>
    <t xml:space="preserve">Efficiency heat exchanger </t>
  </si>
  <si>
    <r>
      <t>Eff</t>
    </r>
    <r>
      <rPr>
        <vertAlign val="subscript"/>
        <sz val="10"/>
        <color indexed="8"/>
        <rFont val="Calibri"/>
        <family val="2"/>
      </rPr>
      <t>Hex</t>
    </r>
  </si>
  <si>
    <t xml:space="preserve">Baseline consumption of fossil energy for hygienization </t>
  </si>
  <si>
    <r>
      <t>EG</t>
    </r>
    <r>
      <rPr>
        <b/>
        <vertAlign val="subscript"/>
        <sz val="10"/>
        <rFont val="Calibri"/>
        <family val="2"/>
      </rPr>
      <t>thermal,CO2,HYG,y</t>
    </r>
  </si>
  <si>
    <t>HYGIENIZATION (Step 2)</t>
  </si>
  <si>
    <t>Consumption of natural gas in hygienization system</t>
  </si>
  <si>
    <r>
      <t>EG</t>
    </r>
    <r>
      <rPr>
        <vertAlign val="subscript"/>
        <sz val="10"/>
        <rFont val="Calibri"/>
        <family val="2"/>
      </rPr>
      <t>thermal,CO2,HYG,y</t>
    </r>
  </si>
  <si>
    <t>Calculated in excel table above</t>
  </si>
  <si>
    <t>Country specific emission factor for natural gas</t>
  </si>
  <si>
    <r>
      <t>EF</t>
    </r>
    <r>
      <rPr>
        <vertAlign val="subscript"/>
        <sz val="10"/>
        <rFont val="Calibri"/>
        <family val="2"/>
      </rPr>
      <t>FF,CO2</t>
    </r>
  </si>
  <si>
    <r>
      <t>t CO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/TJ</t>
    </r>
  </si>
  <si>
    <t xml:space="preserve">Efficiency of the plant using fossil fuel </t>
  </si>
  <si>
    <r>
      <t>η</t>
    </r>
    <r>
      <rPr>
        <vertAlign val="subscript"/>
        <sz val="10"/>
        <color indexed="63"/>
        <rFont val="Calibri"/>
        <family val="2"/>
      </rPr>
      <t>BL,thermal</t>
    </r>
  </si>
  <si>
    <t xml:space="preserve">AMS-I.C, Appendix 1 "Default baseline efficiency values", p. 38 </t>
  </si>
  <si>
    <t>Baseline emissions from hygienization</t>
  </si>
  <si>
    <r>
      <t>BE</t>
    </r>
    <r>
      <rPr>
        <b/>
        <vertAlign val="subscript"/>
        <sz val="10"/>
        <rFont val="Calibri"/>
        <family val="2"/>
      </rPr>
      <t>thermal,CO2,HYG,y</t>
    </r>
  </si>
  <si>
    <r>
      <t>t CO</t>
    </r>
    <r>
      <rPr>
        <b/>
        <vertAlign val="subscript"/>
        <sz val="10"/>
        <color indexed="8"/>
        <rFont val="Calibri"/>
        <family val="2"/>
      </rPr>
      <t>2</t>
    </r>
  </si>
  <si>
    <t>TOTAL BASELINE EMISSIONS FROM THERMAL ENERGY CONSUMPTION</t>
  </si>
  <si>
    <t>Total baseline emissions from thermal energy consumption</t>
  </si>
  <si>
    <r>
      <t>BE</t>
    </r>
    <r>
      <rPr>
        <b/>
        <vertAlign val="subscript"/>
        <sz val="10"/>
        <rFont val="Calibri"/>
        <family val="2"/>
      </rPr>
      <t>thermal,CO2,tot,y</t>
    </r>
  </si>
  <si>
    <t>Project emissions from physical leakage of biogas plant</t>
  </si>
  <si>
    <r>
      <t>Formula for calculation of project</t>
    </r>
    <r>
      <rPr>
        <b/>
        <vertAlign val="subscript"/>
        <sz val="14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emissions from physical leakage</t>
    </r>
  </si>
  <si>
    <t xml:space="preserve">Sources </t>
  </si>
  <si>
    <t>BE Manure - AMS-III.D</t>
  </si>
  <si>
    <r>
      <t>BE</t>
    </r>
    <r>
      <rPr>
        <vertAlign val="subscript"/>
        <sz val="11"/>
        <rFont val="Calibri"/>
        <family val="2"/>
      </rPr>
      <t>y</t>
    </r>
  </si>
  <si>
    <r>
      <t>t CO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e</t>
    </r>
  </si>
  <si>
    <t>Calculated under "BE Manure - AMS-III.D"</t>
  </si>
  <si>
    <t>Factor for project emission from physical leakage</t>
  </si>
  <si>
    <t>AMS-III.D, p. 11</t>
  </si>
  <si>
    <t>Project emissions from physical leakage</t>
  </si>
  <si>
    <r>
      <t>PE</t>
    </r>
    <r>
      <rPr>
        <b/>
        <vertAlign val="subscript"/>
        <sz val="11"/>
        <rFont val="Calibri"/>
        <family val="2"/>
      </rPr>
      <t>PL,y</t>
    </r>
  </si>
  <si>
    <r>
      <t>t CO</t>
    </r>
    <r>
      <rPr>
        <b/>
        <vertAlign val="subscript"/>
        <sz val="11"/>
        <color indexed="8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>e</t>
    </r>
  </si>
  <si>
    <t>Biogas and electricity production during the monitoring period 2022</t>
  </si>
  <si>
    <t>Year</t>
  </si>
  <si>
    <t>Electricity produced              [kWh]</t>
  </si>
  <si>
    <t>Biogas produced                                [m³]</t>
  </si>
  <si>
    <t>Weighted average Methane content [%]</t>
  </si>
  <si>
    <t>CHP efficiency</t>
  </si>
  <si>
    <t>Formula for the calculation of biogas production</t>
  </si>
  <si>
    <t>EEP</t>
  </si>
  <si>
    <t>BGP</t>
  </si>
  <si>
    <r>
      <t>x</t>
    </r>
    <r>
      <rPr>
        <b/>
        <vertAlign val="subscript"/>
        <sz val="11"/>
        <rFont val="Calibri"/>
        <family val="2"/>
        <scheme val="minor"/>
      </rPr>
      <t>CH4</t>
    </r>
  </si>
  <si>
    <r>
      <t>ETA</t>
    </r>
    <r>
      <rPr>
        <i/>
        <vertAlign val="subscript"/>
        <sz val="11"/>
        <rFont val="Calibri"/>
        <family val="2"/>
        <scheme val="minor"/>
      </rPr>
      <t>CHP-el</t>
    </r>
  </si>
  <si>
    <t>-</t>
  </si>
  <si>
    <t>900</t>
  </si>
  <si>
    <t>Co-substrate input during the monitoring period 2022</t>
  </si>
  <si>
    <t>Co-substrate input [t/a]</t>
  </si>
  <si>
    <r>
      <t>B</t>
    </r>
    <r>
      <rPr>
        <b/>
        <vertAlign val="subscript"/>
        <sz val="11"/>
        <color indexed="8"/>
        <rFont val="Calibri"/>
        <family val="2"/>
      </rPr>
      <t>Biomass,y</t>
    </r>
  </si>
  <si>
    <r>
      <t>BE</t>
    </r>
    <r>
      <rPr>
        <b/>
        <vertAlign val="subscript"/>
        <sz val="11"/>
        <rFont val="Calibri"/>
        <family val="2"/>
      </rPr>
      <t>thermal,EG,y</t>
    </r>
  </si>
  <si>
    <r>
      <t>AMMONIA STRIPPING (WM 1)</t>
    </r>
    <r>
      <rPr>
        <b/>
        <vertAlign val="superscript"/>
        <sz val="12"/>
        <color theme="1"/>
        <rFont val="Calibri"/>
        <family val="2"/>
        <scheme val="minor"/>
      </rPr>
      <t xml:space="preserve">1 </t>
    </r>
  </si>
  <si>
    <t>Footnotes:</t>
  </si>
  <si>
    <r>
      <t xml:space="preserve">1 </t>
    </r>
    <r>
      <rPr>
        <sz val="10"/>
        <rFont val="Calibri"/>
        <family val="2"/>
        <scheme val="minor"/>
      </rPr>
      <t>Heat meter 1 (WM 1) is expired and zero for that reason. Due to the fact that the data source still include WM 1 and the outdated naming, the monitoring plan was not adusted yet (cf. Monitoring report section 3.1</t>
    </r>
    <r>
      <rPr>
        <vertAlign val="superscript"/>
        <sz val="10"/>
        <rFont val="Calibri"/>
        <family val="2"/>
        <scheme val="minor"/>
      </rPr>
      <t>)</t>
    </r>
  </si>
  <si>
    <t xml:space="preserve">App B - 1 - 2022 Assurance report - Princepeel, page 3 </t>
  </si>
  <si>
    <t>App B - 1 - 2022 Assurance report - Princepeel</t>
  </si>
  <si>
    <r>
      <t xml:space="preserve">THERMAL EVAPORATOR </t>
    </r>
    <r>
      <rPr>
        <b/>
        <sz val="12"/>
        <rFont val="Calibri"/>
        <family val="2"/>
        <scheme val="minor"/>
      </rPr>
      <t>+ AMMONIA STRIPPING</t>
    </r>
    <r>
      <rPr>
        <b/>
        <sz val="12"/>
        <color theme="1"/>
        <rFont val="Calibri"/>
        <family val="2"/>
        <scheme val="minor"/>
      </rPr>
      <t xml:space="preserve"> (WM 6 Indamper)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</si>
  <si>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Since the monitoring period 2022 WM 6 measures ammonia stripping in addition the thermal evaporator (cf. Monitoring report section 3.1)</t>
    </r>
  </si>
  <si>
    <t>App B - 1 - 2022 Assurance report - Princepeel, page 3</t>
  </si>
  <si>
    <t>Gj</t>
  </si>
  <si>
    <t>WM2</t>
  </si>
  <si>
    <r>
      <t>BE</t>
    </r>
    <r>
      <rPr>
        <vertAlign val="subscript"/>
        <sz val="11"/>
        <color rgb="FFFF0000"/>
        <rFont val="Calibri"/>
        <family val="2"/>
      </rPr>
      <t>thermal,EG,y</t>
    </r>
  </si>
  <si>
    <t>EXHAUST GAS (WM6/WM7/WM8 Rookgassen)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</si>
</sst>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_€_-;\-* #,##0.00\ _€_-;_-* &quot;-&quot;??\ _€_-;_-@_-"/>
    <numFmt numFmtId="165" formatCode="_-* #,##0.00\ _€_-;\-* #,##0.00\ _€_-;_-* \-??\ _€_-;_-@_-"/>
    <numFmt numFmtId="166" formatCode="_-* #,##0\ _€_-;\-* #,##0\ _€_-;_-* \-??\ _€_-;_-@_-"/>
    <numFmt numFmtId="167" formatCode="0.000"/>
    <numFmt numFmtId="168" formatCode="#,##0.0"/>
    <numFmt numFmtId="169" formatCode="0.0"/>
    <numFmt numFmtId="170" formatCode="_ * #,##0_ ;_ * \-#,##0_ ;_ * &quot;-&quot;??_ ;_ @_ "/>
    <numFmt numFmtId="171" formatCode="_-* #,##0\ _€_-;\-* #,##0\ _€_-;_-* &quot;-&quot;??\ _€_-;_-@_-"/>
    <numFmt numFmtId="172" formatCode="_-* #,##0.0\ _€_-;\-* #,##0.0\ _€_-;_-* \-??\ _€_-;_-@_-"/>
    <numFmt numFmtId="173" formatCode="_-* #,##0.000\ _€_-;\-* #,##0.000\ _€_-;_-* \-??\ _€_-;_-@_-"/>
    <numFmt numFmtId="174" formatCode="_-* #,##0.000\ _€_-;\-* #,##0.000\ _€_-;_-* &quot;-&quot;??\ _€_-;_-@_-"/>
    <numFmt numFmtId="175" formatCode="#,##0.000"/>
  </numFmts>
  <fonts count="6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8"/>
      <name val="Calibri"/>
      <family val="2"/>
    </font>
    <font>
      <b/>
      <sz val="8"/>
      <name val="Calibri"/>
      <family val="2"/>
    </font>
    <font>
      <i/>
      <sz val="8"/>
      <name val="Calibri"/>
      <family val="2"/>
    </font>
    <font>
      <sz val="10"/>
      <name val="Arial"/>
      <family val="2"/>
    </font>
    <font>
      <sz val="8"/>
      <name val="Arial"/>
      <family val="2"/>
    </font>
    <font>
      <vertAlign val="subscript"/>
      <sz val="10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b/>
      <vertAlign val="subscript"/>
      <sz val="11"/>
      <color indexed="8"/>
      <name val="Calibri"/>
      <family val="2"/>
    </font>
    <font>
      <b/>
      <vertAlign val="subscript"/>
      <sz val="14"/>
      <color indexed="8"/>
      <name val="Calibri"/>
      <family val="2"/>
    </font>
    <font>
      <vertAlign val="subscript"/>
      <sz val="11"/>
      <name val="Calibri"/>
      <family val="2"/>
    </font>
    <font>
      <b/>
      <vertAlign val="subscript"/>
      <sz val="11"/>
      <name val="Calibri"/>
      <family val="2"/>
    </font>
    <font>
      <vertAlign val="subscript"/>
      <sz val="11"/>
      <color indexed="8"/>
      <name val="Calibri"/>
      <family val="2"/>
    </font>
    <font>
      <sz val="10.5"/>
      <name val="Arial"/>
      <family val="2"/>
    </font>
    <font>
      <b/>
      <sz val="10"/>
      <name val="Calibri"/>
      <family val="2"/>
    </font>
    <font>
      <b/>
      <vertAlign val="subscript"/>
      <sz val="10"/>
      <name val="Calibri"/>
      <family val="2"/>
    </font>
    <font>
      <sz val="10"/>
      <color indexed="8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vertAlign val="subscript"/>
      <sz val="10.5"/>
      <name val="Calibri"/>
      <family val="2"/>
    </font>
    <font>
      <vertAlign val="subscript"/>
      <sz val="10.5"/>
      <color indexed="63"/>
      <name val="Calibri"/>
      <family val="2"/>
    </font>
    <font>
      <vertAlign val="subscript"/>
      <sz val="10"/>
      <color indexed="8"/>
      <name val="Calibri"/>
      <family val="2"/>
    </font>
    <font>
      <vertAlign val="subscript"/>
      <sz val="10"/>
      <color indexed="63"/>
      <name val="Calibri"/>
      <family val="2"/>
    </font>
    <font>
      <b/>
      <vertAlign val="subscript"/>
      <sz val="10"/>
      <color indexed="8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4"/>
      <name val="Calibri"/>
      <family val="2"/>
    </font>
    <font>
      <sz val="8"/>
      <color theme="4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8"/>
      <color rgb="FFFF0000"/>
      <name val="Calibri"/>
      <family val="2"/>
    </font>
    <font>
      <sz val="8"/>
      <color theme="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sz val="10.5"/>
      <color rgb="FF000000"/>
      <name val="Franklin Gothic Book"/>
      <family val="2"/>
    </font>
    <font>
      <b/>
      <vertAlign val="subscript"/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name val="Calibri"/>
      <family val="2"/>
    </font>
    <font>
      <b/>
      <sz val="14"/>
      <name val="Calibri"/>
      <family val="2"/>
      <scheme val="minor"/>
    </font>
    <font>
      <i/>
      <vertAlign val="subscript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u/>
      <sz val="10"/>
      <name val="Calibri"/>
      <family val="2"/>
      <scheme val="minor"/>
    </font>
    <font>
      <vertAlign val="subscript"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165" fontId="7" fillId="0" borderId="0" applyFill="0" applyBorder="0" applyAlignment="0" applyProtection="0"/>
    <xf numFmtId="0" fontId="7" fillId="0" borderId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7" fillId="0" borderId="0"/>
    <xf numFmtId="0" fontId="2" fillId="0" borderId="0"/>
    <xf numFmtId="0" fontId="2" fillId="0" borderId="0"/>
    <xf numFmtId="0" fontId="3" fillId="0" borderId="0"/>
  </cellStyleXfs>
  <cellXfs count="309">
    <xf numFmtId="0" fontId="0" fillId="0" borderId="0" xfId="0"/>
    <xf numFmtId="0" fontId="4" fillId="0" borderId="0" xfId="0" applyFont="1"/>
    <xf numFmtId="0" fontId="30" fillId="0" borderId="0" xfId="0" applyFont="1"/>
    <xf numFmtId="15" fontId="4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/>
    <xf numFmtId="169" fontId="31" fillId="0" borderId="0" xfId="0" applyNumberFormat="1" applyFont="1"/>
    <xf numFmtId="0" fontId="32" fillId="0" borderId="0" xfId="0" applyFont="1"/>
    <xf numFmtId="0" fontId="33" fillId="0" borderId="0" xfId="0" applyFont="1"/>
    <xf numFmtId="0" fontId="29" fillId="0" borderId="0" xfId="0" applyFont="1"/>
    <xf numFmtId="0" fontId="29" fillId="2" borderId="1" xfId="0" applyFont="1" applyFill="1" applyBorder="1" applyAlignment="1">
      <alignment horizontal="center"/>
    </xf>
    <xf numFmtId="165" fontId="28" fillId="0" borderId="0" xfId="1" applyFont="1" applyFill="1" applyBorder="1"/>
    <xf numFmtId="171" fontId="34" fillId="0" borderId="0" xfId="1" applyNumberFormat="1" applyFont="1" applyBorder="1" applyAlignment="1">
      <alignment vertical="center"/>
    </xf>
    <xf numFmtId="0" fontId="28" fillId="0" borderId="0" xfId="0" applyFont="1"/>
    <xf numFmtId="171" fontId="34" fillId="0" borderId="0" xfId="1" applyNumberFormat="1" applyFont="1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174" fontId="34" fillId="0" borderId="0" xfId="0" applyNumberFormat="1" applyFont="1" applyAlignment="1">
      <alignment horizontal="left" vertical="center" indent="1"/>
    </xf>
    <xf numFmtId="171" fontId="34" fillId="0" borderId="0" xfId="1" applyNumberFormat="1" applyFont="1" applyFill="1" applyBorder="1" applyAlignment="1">
      <alignment horizontal="left" vertical="center" indent="1"/>
    </xf>
    <xf numFmtId="0" fontId="29" fillId="2" borderId="2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164" fontId="34" fillId="0" borderId="0" xfId="0" applyNumberFormat="1" applyFont="1" applyAlignment="1">
      <alignment horizontal="left" vertical="center" indent="1"/>
    </xf>
    <xf numFmtId="164" fontId="34" fillId="0" borderId="0" xfId="1" applyNumberFormat="1" applyFont="1" applyFill="1" applyBorder="1" applyAlignment="1">
      <alignment horizontal="center" vertical="center"/>
    </xf>
    <xf numFmtId="171" fontId="36" fillId="0" borderId="0" xfId="1" applyNumberFormat="1" applyFont="1" applyFill="1" applyBorder="1" applyAlignment="1">
      <alignment horizontal="center" vertical="center"/>
    </xf>
    <xf numFmtId="164" fontId="30" fillId="0" borderId="0" xfId="0" applyNumberFormat="1" applyFont="1"/>
    <xf numFmtId="171" fontId="30" fillId="0" borderId="0" xfId="1" applyNumberFormat="1" applyFont="1"/>
    <xf numFmtId="171" fontId="30" fillId="0" borderId="0" xfId="1" applyNumberFormat="1" applyFont="1" applyFill="1" applyBorder="1"/>
    <xf numFmtId="171" fontId="30" fillId="0" borderId="0" xfId="0" applyNumberFormat="1" applyFont="1"/>
    <xf numFmtId="171" fontId="30" fillId="0" borderId="0" xfId="1" applyNumberFormat="1" applyFont="1" applyAlignment="1"/>
    <xf numFmtId="165" fontId="30" fillId="0" borderId="0" xfId="1" applyFont="1"/>
    <xf numFmtId="0" fontId="30" fillId="0" borderId="0" xfId="0" applyFont="1" applyAlignment="1">
      <alignment vertical="center"/>
    </xf>
    <xf numFmtId="0" fontId="37" fillId="0" borderId="0" xfId="0" applyFont="1"/>
    <xf numFmtId="0" fontId="30" fillId="0" borderId="0" xfId="0" applyFont="1" applyAlignment="1">
      <alignment horizontal="right"/>
    </xf>
    <xf numFmtId="0" fontId="34" fillId="0" borderId="0" xfId="0" applyFont="1"/>
    <xf numFmtId="0" fontId="30" fillId="0" borderId="2" xfId="0" applyFont="1" applyBorder="1" applyAlignment="1">
      <alignment horizontal="left" vertical="center"/>
    </xf>
    <xf numFmtId="0" fontId="30" fillId="0" borderId="2" xfId="0" applyFont="1" applyBorder="1" applyAlignment="1">
      <alignment horizontal="center"/>
    </xf>
    <xf numFmtId="0" fontId="30" fillId="0" borderId="2" xfId="0" applyFont="1" applyBorder="1" applyAlignment="1">
      <alignment horizontal="left"/>
    </xf>
    <xf numFmtId="0" fontId="29" fillId="2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38" fillId="0" borderId="0" xfId="0" applyFont="1"/>
    <xf numFmtId="0" fontId="36" fillId="0" borderId="1" xfId="0" applyFont="1" applyBorder="1" applyAlignment="1">
      <alignment horizontal="center" vertical="center"/>
    </xf>
    <xf numFmtId="3" fontId="29" fillId="0" borderId="1" xfId="1" applyNumberFormat="1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0" fillId="0" borderId="3" xfId="0" applyFont="1" applyBorder="1" applyAlignment="1">
      <alignment horizontal="left" vertical="center" wrapText="1"/>
    </xf>
    <xf numFmtId="4" fontId="30" fillId="0" borderId="3" xfId="1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center"/>
    </xf>
    <xf numFmtId="0" fontId="30" fillId="0" borderId="3" xfId="0" applyFont="1" applyBorder="1" applyAlignment="1">
      <alignment horizontal="left"/>
    </xf>
    <xf numFmtId="4" fontId="30" fillId="0" borderId="2" xfId="1" applyNumberFormat="1" applyFont="1" applyBorder="1" applyAlignment="1">
      <alignment horizontal="center"/>
    </xf>
    <xf numFmtId="3" fontId="30" fillId="0" borderId="2" xfId="1" applyNumberFormat="1" applyFont="1" applyFill="1" applyBorder="1" applyAlignment="1">
      <alignment horizontal="center"/>
    </xf>
    <xf numFmtId="0" fontId="30" fillId="0" borderId="2" xfId="0" applyFont="1" applyBorder="1"/>
    <xf numFmtId="0" fontId="29" fillId="0" borderId="1" xfId="0" applyFont="1" applyBorder="1" applyAlignment="1">
      <alignment horizontal="left" vertical="center"/>
    </xf>
    <xf numFmtId="0" fontId="30" fillId="0" borderId="1" xfId="0" applyFont="1" applyBorder="1"/>
    <xf numFmtId="0" fontId="39" fillId="0" borderId="0" xfId="0" applyFont="1"/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vertical="center"/>
    </xf>
    <xf numFmtId="0" fontId="30" fillId="0" borderId="0" xfId="0" applyFont="1" applyAlignment="1">
      <alignment horizontal="left"/>
    </xf>
    <xf numFmtId="0" fontId="37" fillId="0" borderId="2" xfId="0" applyFont="1" applyBorder="1"/>
    <xf numFmtId="0" fontId="29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3" fontId="29" fillId="0" borderId="0" xfId="1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30" fillId="0" borderId="2" xfId="0" applyFont="1" applyBorder="1" applyAlignment="1">
      <alignment horizontal="left" vertical="center" wrapText="1"/>
    </xf>
    <xf numFmtId="165" fontId="34" fillId="0" borderId="0" xfId="1" applyFont="1" applyFill="1" applyBorder="1" applyAlignment="1">
      <alignment horizontal="right" indent="1"/>
    </xf>
    <xf numFmtId="0" fontId="30" fillId="0" borderId="3" xfId="0" applyFont="1" applyBorder="1" applyAlignment="1">
      <alignment horizontal="left" vertical="center"/>
    </xf>
    <xf numFmtId="0" fontId="29" fillId="2" borderId="2" xfId="0" applyFont="1" applyFill="1" applyBorder="1" applyAlignment="1">
      <alignment horizontal="center" vertical="center"/>
    </xf>
    <xf numFmtId="3" fontId="34" fillId="0" borderId="2" xfId="0" applyNumberFormat="1" applyFont="1" applyBorder="1" applyAlignment="1">
      <alignment horizontal="center" vertical="center"/>
    </xf>
    <xf numFmtId="9" fontId="30" fillId="0" borderId="0" xfId="3" applyFont="1"/>
    <xf numFmtId="170" fontId="30" fillId="0" borderId="0" xfId="0" applyNumberFormat="1" applyFont="1"/>
    <xf numFmtId="9" fontId="34" fillId="0" borderId="3" xfId="0" applyNumberFormat="1" applyFont="1" applyBorder="1" applyAlignment="1">
      <alignment horizontal="center" vertical="center"/>
    </xf>
    <xf numFmtId="3" fontId="30" fillId="0" borderId="2" xfId="1" applyNumberFormat="1" applyFont="1" applyBorder="1" applyAlignment="1">
      <alignment horizontal="center" vertical="center"/>
    </xf>
    <xf numFmtId="15" fontId="30" fillId="0" borderId="0" xfId="0" applyNumberFormat="1" applyFont="1" applyAlignment="1">
      <alignment horizontal="left"/>
    </xf>
    <xf numFmtId="15" fontId="29" fillId="2" borderId="9" xfId="0" applyNumberFormat="1" applyFont="1" applyFill="1" applyBorder="1" applyAlignment="1">
      <alignment horizontal="center" vertical="center" wrapText="1"/>
    </xf>
    <xf numFmtId="15" fontId="30" fillId="0" borderId="0" xfId="0" applyNumberFormat="1" applyFont="1"/>
    <xf numFmtId="2" fontId="30" fillId="0" borderId="0" xfId="0" applyNumberFormat="1" applyFont="1"/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3" fontId="30" fillId="0" borderId="3" xfId="1" applyNumberFormat="1" applyFont="1" applyBorder="1" applyAlignment="1">
      <alignment horizontal="center" vertical="center"/>
    </xf>
    <xf numFmtId="166" fontId="30" fillId="0" borderId="0" xfId="0" applyNumberFormat="1" applyFont="1"/>
    <xf numFmtId="0" fontId="40" fillId="0" borderId="0" xfId="0" applyFont="1"/>
    <xf numFmtId="0" fontId="17" fillId="0" borderId="0" xfId="0" applyFont="1" applyAlignment="1">
      <alignment horizontal="left" vertical="center" indent="12"/>
    </xf>
    <xf numFmtId="168" fontId="30" fillId="0" borderId="2" xfId="1" applyNumberFormat="1" applyFont="1" applyBorder="1" applyAlignment="1">
      <alignment horizontal="center"/>
    </xf>
    <xf numFmtId="0" fontId="31" fillId="0" borderId="0" xfId="8" applyFont="1" applyAlignment="1">
      <alignment horizontal="left" vertical="top"/>
    </xf>
    <xf numFmtId="0" fontId="31" fillId="0" borderId="0" xfId="0" applyFont="1"/>
    <xf numFmtId="15" fontId="41" fillId="0" borderId="0" xfId="0" applyNumberFormat="1" applyFont="1"/>
    <xf numFmtId="15" fontId="42" fillId="0" borderId="0" xfId="0" applyNumberFormat="1" applyFont="1"/>
    <xf numFmtId="15" fontId="42" fillId="0" borderId="0" xfId="0" applyNumberFormat="1" applyFont="1" applyAlignment="1">
      <alignment horizontal="center"/>
    </xf>
    <xf numFmtId="166" fontId="6" fillId="0" borderId="0" xfId="0" applyNumberFormat="1" applyFont="1"/>
    <xf numFmtId="172" fontId="6" fillId="0" borderId="0" xfId="0" applyNumberFormat="1" applyFont="1"/>
    <xf numFmtId="9" fontId="6" fillId="0" borderId="0" xfId="0" applyNumberFormat="1" applyFont="1"/>
    <xf numFmtId="2" fontId="4" fillId="0" borderId="0" xfId="0" applyNumberFormat="1" applyFont="1" applyAlignment="1">
      <alignment horizontal="center"/>
    </xf>
    <xf numFmtId="3" fontId="4" fillId="0" borderId="0" xfId="0" applyNumberFormat="1" applyFont="1"/>
    <xf numFmtId="0" fontId="4" fillId="0" borderId="0" xfId="0" applyFont="1" applyAlignment="1">
      <alignment horizontal="center" vertical="center"/>
    </xf>
    <xf numFmtId="167" fontId="4" fillId="0" borderId="0" xfId="0" applyNumberFormat="1" applyFont="1" applyAlignment="1">
      <alignment horizontal="center"/>
    </xf>
    <xf numFmtId="15" fontId="4" fillId="0" borderId="0" xfId="1" applyNumberFormat="1" applyFont="1" applyFill="1" applyBorder="1" applyAlignment="1" applyProtection="1">
      <alignment horizontal="left"/>
    </xf>
    <xf numFmtId="0" fontId="4" fillId="2" borderId="12" xfId="0" applyFont="1" applyFill="1" applyBorder="1"/>
    <xf numFmtId="0" fontId="11" fillId="0" borderId="0" xfId="0" applyFont="1"/>
    <xf numFmtId="166" fontId="11" fillId="0" borderId="0" xfId="1" applyNumberFormat="1" applyFont="1" applyFill="1" applyBorder="1" applyAlignment="1" applyProtection="1">
      <alignment horizontal="center"/>
    </xf>
    <xf numFmtId="9" fontId="11" fillId="0" borderId="0" xfId="3" applyFont="1" applyFill="1" applyBorder="1" applyAlignment="1" applyProtection="1">
      <alignment horizontal="center"/>
    </xf>
    <xf numFmtId="0" fontId="21" fillId="0" borderId="0" xfId="0" applyFont="1" applyAlignment="1">
      <alignment horizontal="left" vertical="center"/>
    </xf>
    <xf numFmtId="4" fontId="21" fillId="0" borderId="0" xfId="1" applyNumberFormat="1" applyFont="1" applyFill="1" applyBorder="1" applyAlignment="1" applyProtection="1">
      <alignment horizontal="center"/>
    </xf>
    <xf numFmtId="0" fontId="22" fillId="0" borderId="0" xfId="0" applyFont="1"/>
    <xf numFmtId="166" fontId="22" fillId="0" borderId="0" xfId="0" applyNumberFormat="1" applyFont="1"/>
    <xf numFmtId="0" fontId="20" fillId="0" borderId="13" xfId="0" applyFont="1" applyBorder="1"/>
    <xf numFmtId="166" fontId="11" fillId="0" borderId="13" xfId="1" applyNumberFormat="1" applyFont="1" applyFill="1" applyBorder="1" applyAlignment="1" applyProtection="1">
      <alignment horizontal="center"/>
    </xf>
    <xf numFmtId="0" fontId="18" fillId="0" borderId="14" xfId="0" applyFont="1" applyBorder="1"/>
    <xf numFmtId="0" fontId="11" fillId="0" borderId="11" xfId="0" applyFont="1" applyBorder="1"/>
    <xf numFmtId="0" fontId="11" fillId="0" borderId="11" xfId="0" applyFont="1" applyBorder="1" applyAlignment="1">
      <alignment horizontal="center" vertical="center"/>
    </xf>
    <xf numFmtId="15" fontId="32" fillId="0" borderId="0" xfId="0" applyNumberFormat="1" applyFont="1"/>
    <xf numFmtId="15" fontId="4" fillId="0" borderId="0" xfId="0" applyNumberFormat="1" applyFont="1" applyAlignment="1">
      <alignment horizontal="center"/>
    </xf>
    <xf numFmtId="0" fontId="18" fillId="2" borderId="17" xfId="0" applyFont="1" applyFill="1" applyBorder="1" applyAlignment="1">
      <alignment horizontal="center" vertical="center" wrapText="1"/>
    </xf>
    <xf numFmtId="166" fontId="11" fillId="0" borderId="11" xfId="1" applyNumberFormat="1" applyFont="1" applyFill="1" applyBorder="1" applyAlignment="1" applyProtection="1">
      <alignment horizontal="center"/>
    </xf>
    <xf numFmtId="9" fontId="11" fillId="0" borderId="11" xfId="3" applyFont="1" applyFill="1" applyBorder="1" applyAlignment="1" applyProtection="1">
      <alignment horizontal="center"/>
    </xf>
    <xf numFmtId="166" fontId="11" fillId="0" borderId="18" xfId="1" applyNumberFormat="1" applyFont="1" applyFill="1" applyBorder="1" applyAlignment="1" applyProtection="1">
      <alignment horizontal="center"/>
    </xf>
    <xf numFmtId="0" fontId="43" fillId="0" borderId="1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67" fontId="4" fillId="0" borderId="0" xfId="1" applyNumberFormat="1" applyFont="1" applyFill="1" applyBorder="1" applyAlignment="1" applyProtection="1">
      <alignment horizontal="center"/>
    </xf>
    <xf numFmtId="167" fontId="45" fillId="0" borderId="0" xfId="1" applyNumberFormat="1" applyFont="1" applyFill="1" applyBorder="1" applyAlignment="1" applyProtection="1">
      <alignment horizontal="center"/>
    </xf>
    <xf numFmtId="0" fontId="46" fillId="0" borderId="0" xfId="0" applyFont="1"/>
    <xf numFmtId="0" fontId="11" fillId="0" borderId="15" xfId="0" applyFont="1" applyBorder="1"/>
    <xf numFmtId="0" fontId="0" fillId="0" borderId="15" xfId="0" applyBorder="1"/>
    <xf numFmtId="0" fontId="11" fillId="0" borderId="16" xfId="0" applyFont="1" applyBorder="1"/>
    <xf numFmtId="0" fontId="11" fillId="0" borderId="1" xfId="0" applyFont="1" applyBorder="1"/>
    <xf numFmtId="0" fontId="18" fillId="0" borderId="10" xfId="0" applyFont="1" applyBorder="1" applyAlignment="1">
      <alignment horizontal="center" vertical="center"/>
    </xf>
    <xf numFmtId="0" fontId="11" fillId="0" borderId="19" xfId="0" applyFont="1" applyBorder="1"/>
    <xf numFmtId="3" fontId="18" fillId="0" borderId="20" xfId="1" applyNumberFormat="1" applyFont="1" applyFill="1" applyBorder="1" applyAlignment="1" applyProtection="1">
      <alignment horizontal="center"/>
    </xf>
    <xf numFmtId="3" fontId="18" fillId="0" borderId="19" xfId="1" applyNumberFormat="1" applyFont="1" applyFill="1" applyBorder="1" applyAlignment="1" applyProtection="1">
      <alignment horizontal="center"/>
    </xf>
    <xf numFmtId="0" fontId="18" fillId="0" borderId="20" xfId="0" applyFont="1" applyBorder="1" applyAlignment="1">
      <alignment horizontal="center" vertical="center"/>
    </xf>
    <xf numFmtId="166" fontId="11" fillId="0" borderId="21" xfId="0" applyNumberFormat="1" applyFont="1" applyBorder="1"/>
    <xf numFmtId="15" fontId="21" fillId="0" borderId="0" xfId="0" applyNumberFormat="1" applyFont="1" applyAlignment="1">
      <alignment wrapText="1"/>
    </xf>
    <xf numFmtId="15" fontId="5" fillId="0" borderId="0" xfId="0" applyNumberFormat="1" applyFont="1"/>
    <xf numFmtId="15" fontId="18" fillId="0" borderId="11" xfId="0" applyNumberFormat="1" applyFont="1" applyBorder="1"/>
    <xf numFmtId="15" fontId="18" fillId="0" borderId="18" xfId="0" applyNumberFormat="1" applyFont="1" applyBorder="1"/>
    <xf numFmtId="15" fontId="18" fillId="0" borderId="20" xfId="0" applyNumberFormat="1" applyFont="1" applyBorder="1"/>
    <xf numFmtId="15" fontId="18" fillId="0" borderId="10" xfId="0" applyNumberFormat="1" applyFont="1" applyBorder="1"/>
    <xf numFmtId="0" fontId="4" fillId="0" borderId="23" xfId="0" applyFont="1" applyBorder="1"/>
    <xf numFmtId="9" fontId="45" fillId="0" borderId="0" xfId="0" applyNumberFormat="1" applyFont="1"/>
    <xf numFmtId="0" fontId="4" fillId="0" borderId="11" xfId="0" applyFont="1" applyBorder="1"/>
    <xf numFmtId="15" fontId="33" fillId="0" borderId="0" xfId="0" applyNumberFormat="1" applyFont="1"/>
    <xf numFmtId="3" fontId="30" fillId="0" borderId="0" xfId="0" applyNumberFormat="1" applyFont="1"/>
    <xf numFmtId="3" fontId="30" fillId="0" borderId="0" xfId="1" applyNumberFormat="1" applyFont="1" applyFill="1" applyBorder="1" applyAlignment="1">
      <alignment horizontal="center"/>
    </xf>
    <xf numFmtId="0" fontId="44" fillId="2" borderId="1" xfId="0" applyFont="1" applyFill="1" applyBorder="1" applyAlignment="1">
      <alignment vertical="center" wrapText="1"/>
    </xf>
    <xf numFmtId="0" fontId="30" fillId="0" borderId="2" xfId="0" applyFont="1" applyBorder="1" applyAlignment="1">
      <alignment horizontal="center" vertical="center"/>
    </xf>
    <xf numFmtId="0" fontId="47" fillId="0" borderId="3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3" fontId="44" fillId="0" borderId="1" xfId="1" applyNumberFormat="1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30" fillId="0" borderId="3" xfId="0" applyFont="1" applyBorder="1" applyAlignment="1">
      <alignment horizontal="center" vertical="center"/>
    </xf>
    <xf numFmtId="0" fontId="44" fillId="2" borderId="2" xfId="0" applyFont="1" applyFill="1" applyBorder="1" applyAlignment="1">
      <alignment vertical="center" wrapText="1"/>
    </xf>
    <xf numFmtId="0" fontId="44" fillId="2" borderId="2" xfId="0" applyFont="1" applyFill="1" applyBorder="1" applyAlignment="1">
      <alignment horizontal="center" vertical="center" wrapText="1"/>
    </xf>
    <xf numFmtId="3" fontId="47" fillId="0" borderId="3" xfId="1" applyNumberFormat="1" applyFont="1" applyFill="1" applyBorder="1" applyAlignment="1">
      <alignment horizontal="center"/>
    </xf>
    <xf numFmtId="0" fontId="37" fillId="0" borderId="2" xfId="0" applyFont="1" applyBorder="1" applyAlignment="1">
      <alignment horizontal="center" vertical="center"/>
    </xf>
    <xf numFmtId="3" fontId="37" fillId="0" borderId="2" xfId="1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/>
    </xf>
    <xf numFmtId="0" fontId="44" fillId="0" borderId="1" xfId="0" applyFont="1" applyBorder="1" applyAlignment="1">
      <alignment horizontal="left" vertical="center" wrapText="1"/>
    </xf>
    <xf numFmtId="0" fontId="4" fillId="2" borderId="0" xfId="0" applyFont="1" applyFill="1"/>
    <xf numFmtId="0" fontId="18" fillId="2" borderId="2" xfId="0" applyFont="1" applyFill="1" applyBorder="1" applyAlignment="1">
      <alignment horizontal="center" vertical="center" wrapText="1"/>
    </xf>
    <xf numFmtId="15" fontId="18" fillId="3" borderId="11" xfId="0" applyNumberFormat="1" applyFont="1" applyFill="1" applyBorder="1"/>
    <xf numFmtId="0" fontId="11" fillId="3" borderId="0" xfId="0" applyFont="1" applyFill="1"/>
    <xf numFmtId="0" fontId="11" fillId="3" borderId="11" xfId="1" applyNumberFormat="1" applyFont="1" applyFill="1" applyBorder="1" applyAlignment="1" applyProtection="1">
      <alignment horizontal="center"/>
    </xf>
    <xf numFmtId="0" fontId="11" fillId="3" borderId="0" xfId="1" applyNumberFormat="1" applyFont="1" applyFill="1" applyBorder="1" applyAlignment="1" applyProtection="1">
      <alignment horizontal="center"/>
    </xf>
    <xf numFmtId="15" fontId="18" fillId="4" borderId="11" xfId="0" applyNumberFormat="1" applyFont="1" applyFill="1" applyBorder="1"/>
    <xf numFmtId="0" fontId="11" fillId="4" borderId="0" xfId="0" applyFont="1" applyFill="1"/>
    <xf numFmtId="3" fontId="11" fillId="4" borderId="11" xfId="0" applyNumberFormat="1" applyFont="1" applyFill="1" applyBorder="1" applyAlignment="1">
      <alignment horizontal="center"/>
    </xf>
    <xf numFmtId="3" fontId="11" fillId="4" borderId="0" xfId="0" applyNumberFormat="1" applyFont="1" applyFill="1" applyAlignment="1">
      <alignment horizontal="center"/>
    </xf>
    <xf numFmtId="15" fontId="11" fillId="4" borderId="11" xfId="0" applyNumberFormat="1" applyFont="1" applyFill="1" applyBorder="1"/>
    <xf numFmtId="166" fontId="11" fillId="4" borderId="11" xfId="1" applyNumberFormat="1" applyFont="1" applyFill="1" applyBorder="1" applyAlignment="1" applyProtection="1">
      <alignment horizontal="center"/>
    </xf>
    <xf numFmtId="166" fontId="11" fillId="4" borderId="0" xfId="1" applyNumberFormat="1" applyFont="1" applyFill="1" applyBorder="1" applyAlignment="1" applyProtection="1">
      <alignment horizontal="center"/>
    </xf>
    <xf numFmtId="15" fontId="18" fillId="5" borderId="11" xfId="0" applyNumberFormat="1" applyFont="1" applyFill="1" applyBorder="1"/>
    <xf numFmtId="0" fontId="11" fillId="5" borderId="0" xfId="0" applyFont="1" applyFill="1"/>
    <xf numFmtId="3" fontId="11" fillId="5" borderId="11" xfId="1" applyNumberFormat="1" applyFont="1" applyFill="1" applyBorder="1" applyAlignment="1" applyProtection="1">
      <alignment horizontal="center"/>
    </xf>
    <xf numFmtId="3" fontId="11" fillId="5" borderId="0" xfId="1" applyNumberFormat="1" applyFont="1" applyFill="1" applyBorder="1" applyAlignment="1" applyProtection="1">
      <alignment horizontal="center"/>
    </xf>
    <xf numFmtId="15" fontId="11" fillId="5" borderId="11" xfId="0" applyNumberFormat="1" applyFont="1" applyFill="1" applyBorder="1"/>
    <xf numFmtId="166" fontId="11" fillId="5" borderId="11" xfId="1" applyNumberFormat="1" applyFont="1" applyFill="1" applyBorder="1" applyAlignment="1" applyProtection="1">
      <alignment horizontal="center"/>
    </xf>
    <xf numFmtId="166" fontId="11" fillId="5" borderId="0" xfId="1" applyNumberFormat="1" applyFont="1" applyFill="1" applyBorder="1" applyAlignment="1" applyProtection="1">
      <alignment horizontal="center"/>
    </xf>
    <xf numFmtId="2" fontId="11" fillId="5" borderId="11" xfId="0" applyNumberFormat="1" applyFont="1" applyFill="1" applyBorder="1" applyAlignment="1">
      <alignment horizontal="center"/>
    </xf>
    <xf numFmtId="2" fontId="11" fillId="5" borderId="0" xfId="0" applyNumberFormat="1" applyFont="1" applyFill="1" applyAlignment="1">
      <alignment horizontal="center"/>
    </xf>
    <xf numFmtId="167" fontId="11" fillId="5" borderId="11" xfId="1" applyNumberFormat="1" applyFont="1" applyFill="1" applyBorder="1" applyAlignment="1" applyProtection="1">
      <alignment horizontal="center"/>
    </xf>
    <xf numFmtId="167" fontId="11" fillId="5" borderId="0" xfId="1" applyNumberFormat="1" applyFont="1" applyFill="1" applyBorder="1" applyAlignment="1" applyProtection="1">
      <alignment horizontal="center"/>
    </xf>
    <xf numFmtId="9" fontId="43" fillId="5" borderId="11" xfId="3" applyFont="1" applyFill="1" applyBorder="1" applyAlignment="1" applyProtection="1">
      <alignment horizontal="center"/>
    </xf>
    <xf numFmtId="9" fontId="43" fillId="5" borderId="0" xfId="3" applyFont="1" applyFill="1" applyBorder="1" applyAlignment="1" applyProtection="1">
      <alignment horizontal="center"/>
    </xf>
    <xf numFmtId="0" fontId="29" fillId="0" borderId="1" xfId="0" applyFont="1" applyBorder="1" applyAlignment="1">
      <alignment horizontal="left"/>
    </xf>
    <xf numFmtId="4" fontId="30" fillId="0" borderId="2" xfId="1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4" fontId="6" fillId="0" borderId="0" xfId="0" applyNumberFormat="1" applyFont="1"/>
    <xf numFmtId="0" fontId="30" fillId="2" borderId="2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/>
    </xf>
    <xf numFmtId="167" fontId="30" fillId="0" borderId="15" xfId="0" applyNumberFormat="1" applyFont="1" applyBorder="1" applyAlignment="1">
      <alignment horizontal="center"/>
    </xf>
    <xf numFmtId="2" fontId="30" fillId="0" borderId="15" xfId="0" applyNumberFormat="1" applyFont="1" applyBorder="1" applyAlignment="1">
      <alignment horizontal="center"/>
    </xf>
    <xf numFmtId="167" fontId="30" fillId="0" borderId="0" xfId="0" applyNumberFormat="1" applyFont="1" applyAlignment="1">
      <alignment horizontal="center"/>
    </xf>
    <xf numFmtId="166" fontId="30" fillId="0" borderId="0" xfId="1" applyNumberFormat="1" applyFont="1" applyFill="1" applyBorder="1" applyAlignment="1">
      <alignment horizontal="left" vertical="center"/>
    </xf>
    <xf numFmtId="2" fontId="29" fillId="2" borderId="8" xfId="0" applyNumberFormat="1" applyFont="1" applyFill="1" applyBorder="1" applyAlignment="1">
      <alignment horizontal="center" vertical="center" wrapText="1"/>
    </xf>
    <xf numFmtId="2" fontId="36" fillId="2" borderId="8" xfId="0" applyNumberFormat="1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/>
    </xf>
    <xf numFmtId="171" fontId="29" fillId="0" borderId="0" xfId="1" applyNumberFormat="1" applyFont="1" applyFill="1" applyBorder="1" applyAlignment="1">
      <alignment horizontal="center" vertical="center"/>
    </xf>
    <xf numFmtId="171" fontId="29" fillId="0" borderId="0" xfId="1" applyNumberFormat="1" applyFont="1" applyFill="1" applyBorder="1"/>
    <xf numFmtId="3" fontId="29" fillId="0" borderId="0" xfId="0" applyNumberFormat="1" applyFont="1"/>
    <xf numFmtId="171" fontId="34" fillId="0" borderId="0" xfId="1" applyNumberFormat="1" applyFont="1" applyFill="1" applyBorder="1"/>
    <xf numFmtId="2" fontId="36" fillId="0" borderId="0" xfId="0" applyNumberFormat="1" applyFont="1" applyAlignment="1">
      <alignment horizontal="right" indent="1"/>
    </xf>
    <xf numFmtId="167" fontId="36" fillId="0" borderId="0" xfId="0" applyNumberFormat="1" applyFont="1" applyAlignment="1">
      <alignment horizontal="right" indent="1"/>
    </xf>
    <xf numFmtId="171" fontId="29" fillId="0" borderId="0" xfId="1" applyNumberFormat="1" applyFont="1" applyBorder="1" applyAlignment="1">
      <alignment horizontal="center"/>
    </xf>
    <xf numFmtId="0" fontId="50" fillId="0" borderId="0" xfId="0" applyFont="1"/>
    <xf numFmtId="0" fontId="30" fillId="0" borderId="0" xfId="0" applyFont="1" applyAlignment="1">
      <alignment horizontal="justify"/>
    </xf>
    <xf numFmtId="165" fontId="30" fillId="0" borderId="0" xfId="1" applyFont="1" applyFill="1" applyBorder="1"/>
    <xf numFmtId="0" fontId="36" fillId="2" borderId="8" xfId="0" applyFont="1" applyFill="1" applyBorder="1" applyAlignment="1">
      <alignment horizontal="center" vertical="center" wrapText="1"/>
    </xf>
    <xf numFmtId="3" fontId="34" fillId="0" borderId="2" xfId="1" applyNumberFormat="1" applyFont="1" applyBorder="1" applyAlignment="1">
      <alignment horizontal="center"/>
    </xf>
    <xf numFmtId="0" fontId="29" fillId="2" borderId="2" xfId="0" applyFont="1" applyFill="1" applyBorder="1" applyAlignment="1">
      <alignment horizontal="left" vertical="center"/>
    </xf>
    <xf numFmtId="0" fontId="40" fillId="2" borderId="2" xfId="0" applyFont="1" applyFill="1" applyBorder="1" applyAlignment="1">
      <alignment horizontal="left" vertical="center"/>
    </xf>
    <xf numFmtId="2" fontId="29" fillId="0" borderId="0" xfId="0" applyNumberFormat="1" applyFont="1" applyAlignment="1">
      <alignment horizontal="center" vertical="center" wrapText="1"/>
    </xf>
    <xf numFmtId="171" fontId="30" fillId="0" borderId="0" xfId="1" applyNumberFormat="1" applyFont="1" applyFill="1" applyBorder="1" applyAlignment="1">
      <alignment horizontal="center"/>
    </xf>
    <xf numFmtId="15" fontId="49" fillId="0" borderId="0" xfId="0" applyNumberFormat="1" applyFont="1"/>
    <xf numFmtId="0" fontId="49" fillId="0" borderId="0" xfId="0" applyFont="1"/>
    <xf numFmtId="164" fontId="49" fillId="0" borderId="0" xfId="1" applyNumberFormat="1" applyFont="1"/>
    <xf numFmtId="0" fontId="52" fillId="0" borderId="0" xfId="0" applyFont="1" applyAlignment="1">
      <alignment horizontal="left" vertical="center"/>
    </xf>
    <xf numFmtId="164" fontId="49" fillId="0" borderId="0" xfId="0" applyNumberFormat="1" applyFont="1"/>
    <xf numFmtId="0" fontId="48" fillId="0" borderId="0" xfId="0" applyFont="1"/>
    <xf numFmtId="171" fontId="51" fillId="0" borderId="0" xfId="1" applyNumberFormat="1" applyFont="1" applyFill="1" applyBorder="1" applyAlignment="1">
      <alignment vertical="center"/>
    </xf>
    <xf numFmtId="171" fontId="49" fillId="0" borderId="0" xfId="1" applyNumberFormat="1" applyFont="1" applyFill="1" applyBorder="1" applyAlignment="1">
      <alignment vertical="center"/>
    </xf>
    <xf numFmtId="171" fontId="49" fillId="0" borderId="0" xfId="1" applyNumberFormat="1" applyFont="1" applyFill="1" applyBorder="1"/>
    <xf numFmtId="166" fontId="7" fillId="0" borderId="0" xfId="1" applyNumberFormat="1" applyFill="1"/>
    <xf numFmtId="170" fontId="34" fillId="0" borderId="2" xfId="1" applyNumberFormat="1" applyFont="1" applyBorder="1" applyAlignment="1">
      <alignment horizontal="center" vertical="center"/>
    </xf>
    <xf numFmtId="172" fontId="34" fillId="0" borderId="2" xfId="1" applyNumberFormat="1" applyFont="1" applyBorder="1" applyAlignment="1">
      <alignment horizontal="center" vertical="center"/>
    </xf>
    <xf numFmtId="0" fontId="55" fillId="0" borderId="0" xfId="0" applyFont="1"/>
    <xf numFmtId="10" fontId="7" fillId="0" borderId="0" xfId="3" applyNumberFormat="1" applyFill="1" applyBorder="1"/>
    <xf numFmtId="0" fontId="53" fillId="0" borderId="0" xfId="0" applyFont="1" applyAlignment="1">
      <alignment horizontal="center" vertical="center" wrapText="1"/>
    </xf>
    <xf numFmtId="9" fontId="7" fillId="0" borderId="0" xfId="3" applyFill="1" applyBorder="1"/>
    <xf numFmtId="0" fontId="29" fillId="0" borderId="0" xfId="0" applyFont="1" applyAlignment="1">
      <alignment horizontal="left"/>
    </xf>
    <xf numFmtId="3" fontId="36" fillId="0" borderId="0" xfId="1" applyNumberFormat="1" applyFont="1" applyBorder="1" applyAlignment="1">
      <alignment horizontal="center"/>
    </xf>
    <xf numFmtId="0" fontId="3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171" fontId="49" fillId="0" borderId="0" xfId="1" applyNumberFormat="1" applyFont="1"/>
    <xf numFmtId="15" fontId="57" fillId="0" borderId="0" xfId="0" applyNumberFormat="1" applyFont="1"/>
    <xf numFmtId="0" fontId="36" fillId="2" borderId="8" xfId="0" applyFont="1" applyFill="1" applyBorder="1" applyAlignment="1">
      <alignment horizontal="center" vertical="center"/>
    </xf>
    <xf numFmtId="174" fontId="34" fillId="0" borderId="2" xfId="1" applyNumberFormat="1" applyFont="1" applyBorder="1" applyAlignment="1">
      <alignment horizontal="center" vertical="center"/>
    </xf>
    <xf numFmtId="0" fontId="55" fillId="0" borderId="0" xfId="0" applyFont="1" applyAlignment="1">
      <alignment horizontal="left" vertical="center"/>
    </xf>
    <xf numFmtId="171" fontId="49" fillId="0" borderId="0" xfId="0" applyNumberFormat="1" applyFont="1"/>
    <xf numFmtId="166" fontId="30" fillId="0" borderId="0" xfId="1" applyNumberFormat="1" applyFont="1" applyBorder="1"/>
    <xf numFmtId="15" fontId="18" fillId="0" borderId="0" xfId="0" applyNumberFormat="1" applyFont="1"/>
    <xf numFmtId="2" fontId="30" fillId="0" borderId="8" xfId="0" applyNumberFormat="1" applyFont="1" applyBorder="1" applyAlignment="1">
      <alignment horizontal="center"/>
    </xf>
    <xf numFmtId="167" fontId="30" fillId="0" borderId="16" xfId="0" applyNumberFormat="1" applyFon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167" fontId="30" fillId="0" borderId="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3" fontId="11" fillId="5" borderId="0" xfId="0" applyNumberFormat="1" applyFont="1" applyFill="1" applyAlignment="1">
      <alignment horizontal="center"/>
    </xf>
    <xf numFmtId="49" fontId="30" fillId="0" borderId="0" xfId="0" applyNumberFormat="1" applyFont="1"/>
    <xf numFmtId="3" fontId="59" fillId="0" borderId="0" xfId="1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30" fillId="0" borderId="6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center" vertical="center"/>
    </xf>
    <xf numFmtId="3" fontId="30" fillId="0" borderId="6" xfId="1" applyNumberFormat="1" applyFont="1" applyBorder="1" applyAlignment="1">
      <alignment horizontal="center" vertical="center"/>
    </xf>
    <xf numFmtId="0" fontId="30" fillId="0" borderId="6" xfId="0" applyFont="1" applyBorder="1" applyAlignment="1">
      <alignment horizontal="center"/>
    </xf>
    <xf numFmtId="0" fontId="30" fillId="0" borderId="6" xfId="0" applyFont="1" applyBorder="1" applyAlignment="1">
      <alignment horizontal="left"/>
    </xf>
    <xf numFmtId="3" fontId="30" fillId="0" borderId="0" xfId="0" applyNumberFormat="1" applyFont="1" applyAlignment="1">
      <alignment horizontal="left"/>
    </xf>
    <xf numFmtId="1" fontId="34" fillId="2" borderId="2" xfId="0" applyNumberFormat="1" applyFont="1" applyFill="1" applyBorder="1" applyAlignment="1">
      <alignment horizontal="right" indent="1"/>
    </xf>
    <xf numFmtId="0" fontId="30" fillId="0" borderId="15" xfId="0" applyFont="1" applyBorder="1"/>
    <xf numFmtId="0" fontId="30" fillId="0" borderId="16" xfId="0" applyFont="1" applyBorder="1"/>
    <xf numFmtId="171" fontId="29" fillId="0" borderId="0" xfId="1" applyNumberFormat="1" applyFont="1" applyBorder="1"/>
    <xf numFmtId="172" fontId="36" fillId="0" borderId="0" xfId="0" applyNumberFormat="1" applyFont="1" applyAlignment="1">
      <alignment horizontal="right" indent="1"/>
    </xf>
    <xf numFmtId="173" fontId="36" fillId="0" borderId="0" xfId="0" applyNumberFormat="1" applyFont="1" applyAlignment="1">
      <alignment horizontal="right" indent="1"/>
    </xf>
    <xf numFmtId="166" fontId="7" fillId="0" borderId="15" xfId="1" applyNumberFormat="1" applyBorder="1" applyAlignment="1">
      <alignment horizontal="right" indent="1"/>
    </xf>
    <xf numFmtId="0" fontId="30" fillId="2" borderId="7" xfId="0" applyFont="1" applyFill="1" applyBorder="1"/>
    <xf numFmtId="49" fontId="30" fillId="2" borderId="8" xfId="1" applyNumberFormat="1" applyFont="1" applyFill="1" applyBorder="1" applyAlignment="1">
      <alignment horizontal="center"/>
    </xf>
    <xf numFmtId="15" fontId="30" fillId="2" borderId="29" xfId="1" applyNumberFormat="1" applyFont="1" applyFill="1" applyBorder="1" applyAlignment="1">
      <alignment horizontal="center"/>
    </xf>
    <xf numFmtId="166" fontId="30" fillId="0" borderId="30" xfId="1" applyNumberFormat="1" applyFont="1" applyBorder="1" applyAlignment="1">
      <alignment horizontal="center"/>
    </xf>
    <xf numFmtId="0" fontId="30" fillId="0" borderId="31" xfId="0" applyFont="1" applyBorder="1" applyAlignment="1">
      <alignment horizontal="left"/>
    </xf>
    <xf numFmtId="3" fontId="30" fillId="0" borderId="32" xfId="1" applyNumberFormat="1" applyFont="1" applyFill="1" applyBorder="1" applyAlignment="1">
      <alignment horizontal="center"/>
    </xf>
    <xf numFmtId="3" fontId="30" fillId="0" borderId="6" xfId="1" applyNumberFormat="1" applyFont="1" applyFill="1" applyBorder="1" applyAlignment="1">
      <alignment horizontal="center"/>
    </xf>
    <xf numFmtId="3" fontId="30" fillId="0" borderId="33" xfId="1" applyNumberFormat="1" applyFont="1" applyFill="1" applyBorder="1" applyAlignment="1">
      <alignment horizontal="center"/>
    </xf>
    <xf numFmtId="0" fontId="1" fillId="0" borderId="0" xfId="0" applyFont="1"/>
    <xf numFmtId="4" fontId="36" fillId="0" borderId="0" xfId="1" applyNumberFormat="1" applyFont="1" applyBorder="1" applyAlignment="1">
      <alignment horizontal="center"/>
    </xf>
    <xf numFmtId="166" fontId="7" fillId="0" borderId="0" xfId="1" applyNumberFormat="1" applyAlignment="1">
      <alignment horizontal="right" indent="1"/>
    </xf>
    <xf numFmtId="0" fontId="62" fillId="0" borderId="0" xfId="0" applyFont="1"/>
    <xf numFmtId="0" fontId="63" fillId="0" borderId="0" xfId="0" applyFont="1"/>
    <xf numFmtId="3" fontId="29" fillId="0" borderId="0" xfId="0" applyNumberFormat="1" applyFont="1" applyAlignment="1">
      <alignment horizontal="center"/>
    </xf>
    <xf numFmtId="1" fontId="30" fillId="0" borderId="0" xfId="0" applyNumberFormat="1" applyFont="1" applyAlignment="1">
      <alignment horizontal="center"/>
    </xf>
    <xf numFmtId="14" fontId="36" fillId="0" borderId="0" xfId="0" applyNumberFormat="1" applyFont="1" applyAlignment="1">
      <alignment horizontal="right"/>
    </xf>
    <xf numFmtId="175" fontId="30" fillId="0" borderId="2" xfId="1" applyNumberFormat="1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3" fontId="51" fillId="0" borderId="3" xfId="1" applyNumberFormat="1" applyFont="1" applyBorder="1" applyAlignment="1">
      <alignment horizontal="center"/>
    </xf>
    <xf numFmtId="0" fontId="18" fillId="2" borderId="8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3" fontId="18" fillId="0" borderId="22" xfId="1" applyNumberFormat="1" applyFont="1" applyFill="1" applyBorder="1" applyAlignment="1" applyProtection="1">
      <alignment horizontal="center" vertical="center"/>
    </xf>
    <xf numFmtId="3" fontId="18" fillId="0" borderId="24" xfId="1" applyNumberFormat="1" applyFont="1" applyFill="1" applyBorder="1" applyAlignment="1" applyProtection="1">
      <alignment horizontal="center" vertical="center"/>
    </xf>
    <xf numFmtId="0" fontId="18" fillId="2" borderId="17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15" fontId="18" fillId="2" borderId="17" xfId="0" applyNumberFormat="1" applyFont="1" applyFill="1" applyBorder="1" applyAlignment="1">
      <alignment horizontal="left" vertical="center" wrapText="1"/>
    </xf>
    <xf numFmtId="0" fontId="18" fillId="2" borderId="25" xfId="0" applyFont="1" applyFill="1" applyBorder="1" applyAlignment="1">
      <alignment horizontal="left" vertical="center" wrapText="1"/>
    </xf>
    <xf numFmtId="0" fontId="30" fillId="0" borderId="23" xfId="0" applyFont="1" applyBorder="1" applyAlignment="1">
      <alignment horizontal="center" vertical="center" textRotation="90"/>
    </xf>
    <xf numFmtId="0" fontId="40" fillId="3" borderId="26" xfId="0" applyFont="1" applyFill="1" applyBorder="1" applyAlignment="1">
      <alignment horizontal="center"/>
    </xf>
    <xf numFmtId="0" fontId="40" fillId="3" borderId="27" xfId="0" applyFont="1" applyFill="1" applyBorder="1" applyAlignment="1">
      <alignment horizontal="center"/>
    </xf>
    <xf numFmtId="0" fontId="40" fillId="3" borderId="28" xfId="0" applyFont="1" applyFill="1" applyBorder="1" applyAlignment="1">
      <alignment horizontal="center"/>
    </xf>
    <xf numFmtId="0" fontId="40" fillId="5" borderId="26" xfId="0" applyFont="1" applyFill="1" applyBorder="1" applyAlignment="1">
      <alignment horizontal="center"/>
    </xf>
    <xf numFmtId="0" fontId="40" fillId="5" borderId="27" xfId="0" applyFont="1" applyFill="1" applyBorder="1" applyAlignment="1">
      <alignment horizontal="center"/>
    </xf>
    <xf numFmtId="0" fontId="40" fillId="5" borderId="28" xfId="0" applyFont="1" applyFill="1" applyBorder="1" applyAlignment="1">
      <alignment horizontal="center"/>
    </xf>
    <xf numFmtId="0" fontId="40" fillId="6" borderId="26" xfId="0" applyFont="1" applyFill="1" applyBorder="1" applyAlignment="1">
      <alignment horizontal="center"/>
    </xf>
    <xf numFmtId="0" fontId="40" fillId="6" borderId="27" xfId="0" applyFont="1" applyFill="1" applyBorder="1" applyAlignment="1">
      <alignment horizontal="center"/>
    </xf>
    <xf numFmtId="0" fontId="40" fillId="6" borderId="28" xfId="0" applyFont="1" applyFill="1" applyBorder="1" applyAlignment="1">
      <alignment horizontal="center"/>
    </xf>
    <xf numFmtId="9" fontId="7" fillId="0" borderId="0" xfId="3"/>
  </cellXfs>
  <cellStyles count="9">
    <cellStyle name="Komma" xfId="1" builtinId="3"/>
    <cellStyle name="Normal_Dr Uwe Freitag" xfId="2" xr:uid="{00000000-0005-0000-0000-000002000000}"/>
    <cellStyle name="Prozent" xfId="3" builtinId="5"/>
    <cellStyle name="Prozent 2" xfId="4" xr:uid="{00000000-0005-0000-0000-000004000000}"/>
    <cellStyle name="Standard" xfId="0" builtinId="0"/>
    <cellStyle name="Standard 2" xfId="5" xr:uid="{00000000-0005-0000-0000-000006000000}"/>
    <cellStyle name="Standard 3" xfId="6" xr:uid="{00000000-0005-0000-0000-000007000000}"/>
    <cellStyle name="Standard 3 2" xfId="7" xr:uid="{00000000-0005-0000-0000-000008000000}"/>
    <cellStyle name="Standard 4" xfId="8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0909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63500</xdr:colOff>
      <xdr:row>35</xdr:row>
      <xdr:rowOff>38100</xdr:rowOff>
    </xdr:from>
    <xdr:to>
      <xdr:col>6</xdr:col>
      <xdr:colOff>4290060</xdr:colOff>
      <xdr:row>36</xdr:row>
      <xdr:rowOff>152400</xdr:rowOff>
    </xdr:to>
    <xdr:pic>
      <xdr:nvPicPr>
        <xdr:cNvPr id="16052" name="out_img" descr="vdhe">
          <a:extLst>
            <a:ext uri="{FF2B5EF4-FFF2-40B4-BE49-F238E27FC236}">
              <a16:creationId xmlns:a16="http://schemas.microsoft.com/office/drawing/2014/main" id="{00000000-0008-0000-0100-0000B4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8220" y="6294120"/>
          <a:ext cx="422656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1473200</xdr:colOff>
      <xdr:row>8</xdr:row>
      <xdr:rowOff>190500</xdr:rowOff>
    </xdr:from>
    <xdr:to>
      <xdr:col>11</xdr:col>
      <xdr:colOff>2554</xdr:colOff>
      <xdr:row>11</xdr:row>
      <xdr:rowOff>0</xdr:rowOff>
    </xdr:to>
    <xdr:pic>
      <xdr:nvPicPr>
        <xdr:cNvPr id="34237" name="Grafik 5">
          <a:extLst>
            <a:ext uri="{FF2B5EF4-FFF2-40B4-BE49-F238E27FC236}">
              <a16:creationId xmlns:a16="http://schemas.microsoft.com/office/drawing/2014/main" id="{00000000-0008-0000-0200-0000BD8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3200" y="1981200"/>
          <a:ext cx="335280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56</xdr:row>
      <xdr:rowOff>25400</xdr:rowOff>
    </xdr:from>
    <xdr:to>
      <xdr:col>11</xdr:col>
      <xdr:colOff>1430897</xdr:colOff>
      <xdr:row>57</xdr:row>
      <xdr:rowOff>23586</xdr:rowOff>
    </xdr:to>
    <xdr:pic>
      <xdr:nvPicPr>
        <xdr:cNvPr id="34238" name="Grafik 12">
          <a:extLst>
            <a:ext uri="{FF2B5EF4-FFF2-40B4-BE49-F238E27FC236}">
              <a16:creationId xmlns:a16="http://schemas.microsoft.com/office/drawing/2014/main" id="{00000000-0008-0000-0200-0000BE8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6700" y="7759700"/>
          <a:ext cx="48006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49</xdr:row>
      <xdr:rowOff>0</xdr:rowOff>
    </xdr:from>
    <xdr:to>
      <xdr:col>11</xdr:col>
      <xdr:colOff>1391739</xdr:colOff>
      <xdr:row>49</xdr:row>
      <xdr:rowOff>169999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17140" y="9921240"/>
          <a:ext cx="4739640" cy="160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254000</xdr:rowOff>
    </xdr:from>
    <xdr:to>
      <xdr:col>4</xdr:col>
      <xdr:colOff>132080</xdr:colOff>
      <xdr:row>6</xdr:row>
      <xdr:rowOff>0</xdr:rowOff>
    </xdr:to>
    <xdr:pic>
      <xdr:nvPicPr>
        <xdr:cNvPr id="26889" name="out_img">
          <a:extLst>
            <a:ext uri="{FF2B5EF4-FFF2-40B4-BE49-F238E27FC236}">
              <a16:creationId xmlns:a16="http://schemas.microsoft.com/office/drawing/2014/main" id="{00000000-0008-0000-0300-0000096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990600"/>
          <a:ext cx="52451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1355271</xdr:colOff>
          <xdr:row>4</xdr:row>
          <xdr:rowOff>125186</xdr:rowOff>
        </xdr:from>
        <xdr:to>
          <xdr:col>8</xdr:col>
          <xdr:colOff>1126671</xdr:colOff>
          <xdr:row>8</xdr:row>
          <xdr:rowOff>97971</xdr:rowOff>
        </xdr:to>
        <xdr:sp macro="" textlink="">
          <xdr:nvSpPr>
            <xdr:cNvPr id="34817" name="Object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4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vid Moosmann" id="{437A746F-4E23-4580-B59F-4611936ADE4A}" userId="S::david.moosmann@firstclimate.com::ee37bdbe-7584-4fb5-86f1-255f109e946f" providerId="AD"/>
  <person displayName="Pauline Kalathas" id="{8607B09E-3066-4B9A-B056-FDCCF3F2D4BA}" userId="S::pauline.kalathas@everi-climate.com::4a3c066f-5362-48e1-86f3-1861034ecb0c" providerId="AD"/>
</personList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42" dT="2023-11-15T10:36:21.87" personId="{8607B09E-3066-4B9A-B056-FDCCF3F2D4BA}" id="{3E736A0D-6F6B-48CA-AAE7-353D6D29BB0D}">
    <text>Heat use from Meting 8 was forgotten in the calculation and added here (9.193)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6" dT="2023-10-09T14:29:51.29" personId="{437A746F-4E23-4580-B59F-4611936ADE4A}" id="{E9DDBB12-B43F-46EA-B8CC-7CE5C5B200F3}">
    <text xml:space="preserve">Meetrapport S. 4, gemeten elekriciteit
</text>
  </threadedComment>
  <threadedComment ref="B10" dT="2023-10-09T14:35:55.42" personId="{437A746F-4E23-4580-B59F-4611936ADE4A}" id="{B1947B31-C165-48B7-9AE1-425F9DD76DB3}">
    <text>Meetrapprtage 2022 S 4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microsoft.com/office/2017/10/relationships/threadedComment" Target="../threadedComments/threadedComment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2.xml"/><Relationship Id="rId5" Type="http://schemas.openxmlformats.org/officeDocument/2006/relationships/image" Target="../media/image6.wmf"/><Relationship Id="rId4" Type="http://schemas.openxmlformats.org/officeDocument/2006/relationships/oleObject" Target="../embeddings/oleObject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8"/>
  <sheetViews>
    <sheetView tabSelected="1" topLeftCell="C1" workbookViewId="0">
      <selection activeCell="C12" sqref="C12:D17"/>
    </sheetView>
  </sheetViews>
  <sheetFormatPr baseColWidth="10" defaultColWidth="10.84375" defaultRowHeight="12.9" x14ac:dyDescent="0.35"/>
  <cols>
    <col min="1" max="1" width="4.23046875" style="2" customWidth="1"/>
    <col min="2" max="5" width="27.69140625" style="2" customWidth="1"/>
    <col min="6" max="6" width="27.69140625" style="71" customWidth="1"/>
    <col min="7" max="16384" width="10.84375" style="2"/>
  </cols>
  <sheetData>
    <row r="2" spans="1:15" ht="20.6" x14ac:dyDescent="0.55000000000000004">
      <c r="A2" s="51" t="s">
        <v>0</v>
      </c>
      <c r="D2" s="7"/>
      <c r="F2" s="284">
        <v>45338</v>
      </c>
      <c r="G2" s="54"/>
    </row>
    <row r="3" spans="1:15" ht="18.45" x14ac:dyDescent="0.5">
      <c r="A3" s="7" t="s">
        <v>1</v>
      </c>
      <c r="E3" s="54"/>
      <c r="F3" s="69"/>
      <c r="G3" s="54"/>
    </row>
    <row r="4" spans="1:15" ht="15" thickBot="1" x14ac:dyDescent="0.45">
      <c r="B4" s="9"/>
      <c r="E4" s="54"/>
      <c r="F4" s="69"/>
      <c r="G4" s="54"/>
    </row>
    <row r="5" spans="1:15" ht="31.75" x14ac:dyDescent="0.35">
      <c r="B5" s="53" t="s">
        <v>2</v>
      </c>
      <c r="C5" s="52" t="s">
        <v>3</v>
      </c>
      <c r="D5" s="52" t="s">
        <v>4</v>
      </c>
      <c r="E5" s="52" t="s">
        <v>5</v>
      </c>
      <c r="F5" s="70" t="s">
        <v>6</v>
      </c>
      <c r="G5" s="54"/>
    </row>
    <row r="6" spans="1:15" ht="14.6" x14ac:dyDescent="0.45">
      <c r="B6" s="269" t="s">
        <v>7</v>
      </c>
      <c r="C6" s="270" t="s">
        <v>8</v>
      </c>
      <c r="D6" s="270" t="s">
        <v>9</v>
      </c>
      <c r="E6" s="270" t="s">
        <v>8</v>
      </c>
      <c r="F6" s="271" t="s">
        <v>8</v>
      </c>
      <c r="G6" s="54"/>
      <c r="H6" s="221"/>
    </row>
    <row r="7" spans="1:15" ht="15" thickBot="1" x14ac:dyDescent="0.4">
      <c r="B7" s="273">
        <v>2022</v>
      </c>
      <c r="C7" s="274">
        <f>'BE Manure - AMS-III D'!D37</f>
        <v>8584.0721126618191</v>
      </c>
      <c r="D7" s="275">
        <f>'BE Heat - AMS-I C'!D74</f>
        <v>13393.3507773696</v>
      </c>
      <c r="E7" s="275">
        <f>'PE - Physical leakage'!D11</f>
        <v>858.407211266182</v>
      </c>
      <c r="F7" s="276">
        <f>C7+D7-E7</f>
        <v>21119.015678765238</v>
      </c>
      <c r="G7" s="261"/>
      <c r="H7" s="261"/>
      <c r="I7" s="221"/>
      <c r="J7" s="225"/>
      <c r="L7" s="226"/>
      <c r="M7" s="137"/>
      <c r="N7" s="137"/>
      <c r="O7" s="227"/>
    </row>
    <row r="8" spans="1:15" ht="24.45" customHeight="1" x14ac:dyDescent="0.35">
      <c r="C8" s="26"/>
      <c r="E8" s="54"/>
      <c r="F8" s="69"/>
      <c r="G8" s="54"/>
      <c r="I8" s="225"/>
    </row>
    <row r="9" spans="1:15" x14ac:dyDescent="0.35">
      <c r="C9" s="26"/>
      <c r="D9" s="72"/>
      <c r="E9" s="72"/>
      <c r="F9" s="23"/>
      <c r="G9" s="261"/>
    </row>
    <row r="10" spans="1:15" x14ac:dyDescent="0.35">
      <c r="C10" s="26"/>
      <c r="D10" s="72"/>
      <c r="E10" s="72"/>
      <c r="F10" s="23"/>
    </row>
    <row r="11" spans="1:15" x14ac:dyDescent="0.35">
      <c r="C11" s="26"/>
      <c r="D11" s="26"/>
      <c r="E11" s="26"/>
      <c r="F11" s="138"/>
    </row>
    <row r="12" spans="1:15" x14ac:dyDescent="0.35">
      <c r="C12" s="26"/>
      <c r="D12" s="308"/>
      <c r="E12" s="26"/>
    </row>
    <row r="13" spans="1:15" x14ac:dyDescent="0.35">
      <c r="D13" s="137"/>
      <c r="E13" s="137"/>
      <c r="F13" s="138"/>
    </row>
    <row r="14" spans="1:15" x14ac:dyDescent="0.35">
      <c r="C14" s="137"/>
      <c r="D14" s="137"/>
      <c r="E14" s="137"/>
      <c r="F14" s="138"/>
    </row>
    <row r="15" spans="1:15" x14ac:dyDescent="0.35">
      <c r="C15" s="137"/>
      <c r="D15" s="137"/>
      <c r="E15" s="137"/>
      <c r="F15" s="138"/>
    </row>
    <row r="16" spans="1:15" x14ac:dyDescent="0.35">
      <c r="D16" s="137"/>
      <c r="E16" s="137"/>
      <c r="F16" s="138"/>
    </row>
    <row r="17" spans="4:6" x14ac:dyDescent="0.35">
      <c r="D17" s="137"/>
      <c r="E17" s="137"/>
      <c r="F17" s="138"/>
    </row>
    <row r="18" spans="4:6" x14ac:dyDescent="0.35">
      <c r="D18" s="137"/>
      <c r="E18" s="137"/>
      <c r="F18" s="138"/>
    </row>
    <row r="19" spans="4:6" x14ac:dyDescent="0.35">
      <c r="D19" s="137"/>
      <c r="E19" s="137"/>
      <c r="F19" s="138"/>
    </row>
    <row r="20" spans="4:6" x14ac:dyDescent="0.35">
      <c r="D20" s="137"/>
      <c r="E20" s="137"/>
      <c r="F20" s="138"/>
    </row>
    <row r="21" spans="4:6" x14ac:dyDescent="0.35">
      <c r="D21" s="137"/>
      <c r="E21" s="137"/>
      <c r="F21" s="138"/>
    </row>
    <row r="22" spans="4:6" x14ac:dyDescent="0.35">
      <c r="D22" s="137"/>
      <c r="E22" s="137"/>
      <c r="F22" s="138"/>
    </row>
    <row r="23" spans="4:6" x14ac:dyDescent="0.35">
      <c r="D23" s="137"/>
      <c r="E23" s="137"/>
      <c r="F23" s="138"/>
    </row>
    <row r="24" spans="4:6" x14ac:dyDescent="0.35">
      <c r="D24" s="137"/>
      <c r="E24" s="137"/>
      <c r="F24" s="26"/>
    </row>
    <row r="25" spans="4:6" x14ac:dyDescent="0.35">
      <c r="D25" s="137"/>
      <c r="E25" s="137"/>
      <c r="F25" s="26"/>
    </row>
    <row r="26" spans="4:6" x14ac:dyDescent="0.35">
      <c r="D26" s="137"/>
      <c r="E26" s="137"/>
    </row>
    <row r="27" spans="4:6" x14ac:dyDescent="0.35">
      <c r="D27" s="137"/>
      <c r="E27" s="137"/>
    </row>
    <row r="28" spans="4:6" x14ac:dyDescent="0.35">
      <c r="E28" s="13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5"/>
  <sheetViews>
    <sheetView topLeftCell="A11" zoomScaleNormal="100" workbookViewId="0">
      <pane xSplit="3" topLeftCell="D1" activePane="topRight" state="frozen"/>
      <selection activeCell="G48" sqref="G48"/>
      <selection pane="topRight" activeCell="D6" sqref="D6"/>
    </sheetView>
  </sheetViews>
  <sheetFormatPr baseColWidth="10" defaultColWidth="11.4609375" defaultRowHeight="10.75" x14ac:dyDescent="0.3"/>
  <cols>
    <col min="1" max="1" width="4.23046875" style="1" customWidth="1"/>
    <col min="2" max="2" width="22.23046875" style="128" customWidth="1"/>
    <col min="3" max="3" width="26" style="1" customWidth="1"/>
    <col min="4" max="5" width="14.84375" style="4" customWidth="1"/>
    <col min="6" max="6" width="15.84375" style="4" customWidth="1"/>
    <col min="7" max="7" width="124.53515625" style="4" customWidth="1"/>
    <col min="8" max="8" width="12.69140625" style="1" bestFit="1" customWidth="1"/>
    <col min="9" max="9" width="12.69140625" style="1" customWidth="1"/>
    <col min="10" max="10" width="15.69140625" style="1" customWidth="1"/>
    <col min="11" max="16384" width="11.4609375" style="1"/>
  </cols>
  <sheetData>
    <row r="1" spans="1:18" s="3" customFormat="1" ht="18.45" x14ac:dyDescent="0.5">
      <c r="A1" s="106" t="s">
        <v>10</v>
      </c>
      <c r="D1" s="107"/>
      <c r="E1" s="107"/>
      <c r="F1" s="107"/>
      <c r="G1" s="107"/>
      <c r="H1" s="107"/>
    </row>
    <row r="2" spans="1:18" s="83" customFormat="1" x14ac:dyDescent="0.3">
      <c r="B2" s="82"/>
      <c r="D2" s="84"/>
      <c r="E2" s="84"/>
      <c r="F2" s="84"/>
      <c r="G2" s="84"/>
      <c r="I2" s="92"/>
      <c r="J2" s="3"/>
    </row>
    <row r="3" spans="1:18" s="93" customFormat="1" ht="13.2" customHeight="1" x14ac:dyDescent="0.3">
      <c r="A3" s="133"/>
      <c r="B3" s="296" t="s">
        <v>11</v>
      </c>
      <c r="C3" s="297" t="s">
        <v>12</v>
      </c>
      <c r="D3" s="294" t="s">
        <v>13</v>
      </c>
      <c r="E3" s="295"/>
      <c r="F3" s="290" t="s">
        <v>7</v>
      </c>
      <c r="G3" s="288" t="s">
        <v>14</v>
      </c>
      <c r="H3" s="135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s="154" customFormat="1" ht="12.9" x14ac:dyDescent="0.3">
      <c r="A4" s="133"/>
      <c r="B4" s="296"/>
      <c r="C4" s="297"/>
      <c r="D4" s="155" t="s">
        <v>15</v>
      </c>
      <c r="E4" s="108" t="s">
        <v>16</v>
      </c>
      <c r="F4" s="291"/>
      <c r="G4" s="289"/>
      <c r="H4" s="135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4.6" x14ac:dyDescent="0.45">
      <c r="A5" s="133"/>
      <c r="B5" s="167" t="s">
        <v>17</v>
      </c>
      <c r="C5" s="168"/>
      <c r="D5" s="169"/>
      <c r="E5" s="170"/>
      <c r="F5" s="105"/>
      <c r="G5" s="104"/>
      <c r="H5" s="135"/>
    </row>
    <row r="6" spans="1:18" ht="12.9" x14ac:dyDescent="0.35">
      <c r="B6" s="171" t="s">
        <v>18</v>
      </c>
      <c r="C6" s="168" t="s">
        <v>19</v>
      </c>
      <c r="D6" s="248">
        <f>20704+27740</f>
        <v>48444</v>
      </c>
      <c r="E6" s="248">
        <v>0</v>
      </c>
      <c r="F6" s="105" t="s">
        <v>20</v>
      </c>
      <c r="G6" s="104" t="s">
        <v>188</v>
      </c>
      <c r="H6" s="135"/>
    </row>
    <row r="7" spans="1:18" ht="12.9" x14ac:dyDescent="0.35">
      <c r="B7" s="167"/>
      <c r="C7" s="168"/>
      <c r="D7" s="172"/>
      <c r="E7" s="173"/>
      <c r="F7" s="105"/>
      <c r="G7" s="104"/>
      <c r="H7" s="135"/>
    </row>
    <row r="8" spans="1:18" ht="14.6" x14ac:dyDescent="0.45">
      <c r="B8" s="167" t="s">
        <v>22</v>
      </c>
      <c r="C8" s="168"/>
      <c r="D8" s="174"/>
      <c r="E8" s="175"/>
      <c r="F8" s="105"/>
      <c r="G8" s="104"/>
      <c r="H8" s="135"/>
    </row>
    <row r="9" spans="1:18" ht="14.6" x14ac:dyDescent="0.45">
      <c r="B9" s="171" t="s">
        <v>23</v>
      </c>
      <c r="C9" s="168" t="s">
        <v>19</v>
      </c>
      <c r="D9" s="174">
        <v>0.31</v>
      </c>
      <c r="E9" s="175">
        <v>0.31</v>
      </c>
      <c r="F9" s="105" t="s">
        <v>24</v>
      </c>
      <c r="G9" s="104" t="s">
        <v>25</v>
      </c>
      <c r="H9" s="135"/>
    </row>
    <row r="10" spans="1:18" ht="12.9" x14ac:dyDescent="0.35">
      <c r="B10" s="167"/>
      <c r="C10" s="168"/>
      <c r="D10" s="172"/>
      <c r="E10" s="173"/>
      <c r="F10" s="105"/>
      <c r="G10" s="117"/>
    </row>
    <row r="11" spans="1:18" ht="14.6" x14ac:dyDescent="0.45">
      <c r="B11" s="167" t="s">
        <v>26</v>
      </c>
      <c r="C11" s="168"/>
      <c r="D11" s="176"/>
      <c r="E11" s="177"/>
      <c r="F11" s="105"/>
      <c r="G11" s="117"/>
      <c r="J11" s="114"/>
    </row>
    <row r="12" spans="1:18" ht="12.9" x14ac:dyDescent="0.35">
      <c r="B12" s="171" t="s">
        <v>27</v>
      </c>
      <c r="C12" s="168" t="s">
        <v>19</v>
      </c>
      <c r="D12" s="176">
        <f>B74</f>
        <v>0.11650000000000003</v>
      </c>
      <c r="E12" s="177">
        <f>D12*90%</f>
        <v>0.10485000000000003</v>
      </c>
      <c r="F12" s="105" t="s">
        <v>28</v>
      </c>
      <c r="G12" s="117" t="s">
        <v>29</v>
      </c>
      <c r="H12" s="115"/>
      <c r="I12" s="115"/>
      <c r="J12" s="115"/>
    </row>
    <row r="13" spans="1:18" ht="12.9" x14ac:dyDescent="0.35">
      <c r="B13" s="167"/>
      <c r="C13" s="168"/>
      <c r="D13" s="176"/>
      <c r="E13" s="177"/>
      <c r="F13" s="105"/>
      <c r="G13" s="117"/>
      <c r="I13" s="80"/>
      <c r="J13" s="6"/>
      <c r="K13" s="6"/>
      <c r="L13" s="81"/>
    </row>
    <row r="14" spans="1:18" ht="14.6" x14ac:dyDescent="0.45">
      <c r="B14" s="167" t="s">
        <v>30</v>
      </c>
      <c r="C14" s="168"/>
      <c r="D14" s="176"/>
      <c r="E14" s="177"/>
      <c r="F14" s="105"/>
      <c r="G14" s="117"/>
      <c r="I14" s="80"/>
      <c r="J14" s="88"/>
      <c r="K14" s="6"/>
      <c r="L14" s="81"/>
    </row>
    <row r="15" spans="1:18" ht="12.9" x14ac:dyDescent="0.35">
      <c r="B15" s="171" t="s">
        <v>31</v>
      </c>
      <c r="C15" s="168" t="s">
        <v>19</v>
      </c>
      <c r="D15" s="176">
        <f>C74</f>
        <v>0.77286306745217048</v>
      </c>
      <c r="E15" s="177">
        <f>D15*90%</f>
        <v>0.6955767607069534</v>
      </c>
      <c r="F15" s="105" t="s">
        <v>32</v>
      </c>
      <c r="G15" s="117" t="s">
        <v>33</v>
      </c>
      <c r="H15" s="115"/>
      <c r="I15" s="115"/>
      <c r="J15" s="88"/>
      <c r="K15" s="6"/>
      <c r="L15" s="81"/>
      <c r="M15" s="81"/>
    </row>
    <row r="16" spans="1:18" ht="12.9" x14ac:dyDescent="0.35">
      <c r="B16" s="167"/>
      <c r="C16" s="168"/>
      <c r="D16" s="172"/>
      <c r="E16" s="173"/>
      <c r="F16" s="105"/>
      <c r="G16" s="117"/>
    </row>
    <row r="17" spans="2:14" ht="14.6" x14ac:dyDescent="0.45">
      <c r="B17" s="167" t="s">
        <v>34</v>
      </c>
      <c r="C17" s="168"/>
      <c r="D17" s="178"/>
      <c r="E17" s="179"/>
      <c r="F17" s="112"/>
      <c r="G17" s="117"/>
      <c r="H17" s="116"/>
      <c r="L17" s="134"/>
    </row>
    <row r="18" spans="2:14" ht="12.9" x14ac:dyDescent="0.35">
      <c r="B18" s="171" t="s">
        <v>35</v>
      </c>
      <c r="C18" s="168" t="s">
        <v>19</v>
      </c>
      <c r="D18" s="178">
        <v>0.36</v>
      </c>
      <c r="E18" s="179">
        <v>0.36</v>
      </c>
      <c r="F18" s="112" t="s">
        <v>36</v>
      </c>
      <c r="G18" s="117" t="s">
        <v>25</v>
      </c>
      <c r="H18" s="116"/>
    </row>
    <row r="19" spans="2:14" ht="12.9" x14ac:dyDescent="0.35">
      <c r="B19" s="129"/>
      <c r="C19" s="94"/>
      <c r="D19" s="110"/>
      <c r="E19" s="96"/>
      <c r="F19" s="105"/>
      <c r="G19" s="117"/>
    </row>
    <row r="20" spans="2:14" ht="14.6" x14ac:dyDescent="0.45">
      <c r="B20" s="156" t="s">
        <v>37</v>
      </c>
      <c r="C20" s="157" t="s">
        <v>38</v>
      </c>
      <c r="D20" s="158">
        <v>0.94</v>
      </c>
      <c r="E20" s="159">
        <v>0.94</v>
      </c>
      <c r="F20" s="105" t="s">
        <v>39</v>
      </c>
      <c r="G20" s="117" t="s">
        <v>40</v>
      </c>
      <c r="H20" s="116"/>
      <c r="L20" s="90"/>
      <c r="M20" s="90"/>
      <c r="N20" s="90"/>
    </row>
    <row r="21" spans="2:14" ht="14.6" x14ac:dyDescent="0.45">
      <c r="B21" s="156" t="s">
        <v>41</v>
      </c>
      <c r="C21" s="157" t="s">
        <v>42</v>
      </c>
      <c r="D21" s="158">
        <v>6.7000000000000002E-4</v>
      </c>
      <c r="E21" s="159">
        <v>6.7000000000000002E-4</v>
      </c>
      <c r="F21" s="105" t="s">
        <v>43</v>
      </c>
      <c r="G21" s="117" t="s">
        <v>44</v>
      </c>
      <c r="H21" s="116"/>
      <c r="L21" s="4"/>
      <c r="M21" s="4"/>
      <c r="N21" s="4"/>
    </row>
    <row r="22" spans="2:14" ht="14.6" x14ac:dyDescent="0.45">
      <c r="B22" s="156" t="s">
        <v>45</v>
      </c>
      <c r="C22" s="157" t="s">
        <v>46</v>
      </c>
      <c r="D22" s="158">
        <v>28</v>
      </c>
      <c r="E22" s="159">
        <v>28</v>
      </c>
      <c r="F22" s="105" t="s">
        <v>39</v>
      </c>
      <c r="G22" s="117" t="s">
        <v>47</v>
      </c>
      <c r="H22" s="116"/>
      <c r="L22" s="4"/>
      <c r="M22" s="4"/>
      <c r="N22" s="91"/>
    </row>
    <row r="23" spans="2:14" ht="12.9" x14ac:dyDescent="0.35">
      <c r="B23" s="129"/>
      <c r="C23" s="94"/>
      <c r="D23" s="109"/>
      <c r="E23" s="95"/>
      <c r="F23" s="105"/>
      <c r="G23" s="117"/>
      <c r="L23" s="88"/>
      <c r="M23" s="88"/>
      <c r="N23" s="91"/>
    </row>
    <row r="24" spans="2:14" ht="14.6" x14ac:dyDescent="0.45">
      <c r="B24" s="160" t="s">
        <v>48</v>
      </c>
      <c r="C24" s="161"/>
      <c r="D24" s="162"/>
      <c r="E24" s="163"/>
      <c r="F24" s="105"/>
      <c r="G24" s="117"/>
      <c r="L24" s="4"/>
      <c r="M24" s="4"/>
      <c r="N24" s="4"/>
    </row>
    <row r="25" spans="2:14" ht="12.9" x14ac:dyDescent="0.35">
      <c r="B25" s="164" t="s">
        <v>49</v>
      </c>
      <c r="C25" s="161" t="s">
        <v>19</v>
      </c>
      <c r="D25" s="162">
        <f>D6*D12</f>
        <v>5643.7260000000015</v>
      </c>
      <c r="E25" s="163">
        <f t="shared" ref="E25" si="0">E6*E12</f>
        <v>0</v>
      </c>
      <c r="F25" s="105" t="s">
        <v>50</v>
      </c>
      <c r="G25" s="117" t="s">
        <v>51</v>
      </c>
      <c r="L25" s="4"/>
      <c r="M25" s="4"/>
      <c r="N25" s="4"/>
    </row>
    <row r="26" spans="2:14" ht="12.9" x14ac:dyDescent="0.35">
      <c r="B26" s="160"/>
      <c r="C26" s="161"/>
      <c r="D26" s="165"/>
      <c r="E26" s="166"/>
      <c r="F26" s="105"/>
      <c r="G26" s="117"/>
    </row>
    <row r="27" spans="2:14" ht="14.6" x14ac:dyDescent="0.45">
      <c r="B27" s="160" t="s">
        <v>52</v>
      </c>
      <c r="C27" s="161"/>
      <c r="D27" s="162"/>
      <c r="E27" s="163"/>
      <c r="F27" s="105"/>
      <c r="G27" s="117"/>
    </row>
    <row r="28" spans="2:14" ht="12.9" x14ac:dyDescent="0.35">
      <c r="B28" s="164" t="s">
        <v>53</v>
      </c>
      <c r="C28" s="161" t="s">
        <v>19</v>
      </c>
      <c r="D28" s="162">
        <f>D25*D15</f>
        <v>4361.827388219569</v>
      </c>
      <c r="E28" s="163">
        <f t="shared" ref="E28" si="1">E25*E15</f>
        <v>0</v>
      </c>
      <c r="F28" s="105" t="s">
        <v>54</v>
      </c>
      <c r="G28" s="117" t="s">
        <v>51</v>
      </c>
    </row>
    <row r="29" spans="2:14" ht="12.9" x14ac:dyDescent="0.35">
      <c r="B29" s="160"/>
      <c r="C29" s="161"/>
      <c r="D29" s="165"/>
      <c r="E29" s="166"/>
      <c r="F29" s="105"/>
      <c r="G29" s="117"/>
    </row>
    <row r="30" spans="2:14" ht="14.6" x14ac:dyDescent="0.45">
      <c r="B30" s="160" t="s">
        <v>55</v>
      </c>
      <c r="C30" s="161"/>
      <c r="D30" s="162"/>
      <c r="E30" s="163"/>
      <c r="F30" s="105"/>
      <c r="G30" s="117"/>
    </row>
    <row r="31" spans="2:14" ht="14.6" x14ac:dyDescent="0.35">
      <c r="B31" s="164" t="s">
        <v>56</v>
      </c>
      <c r="C31" s="161" t="s">
        <v>19</v>
      </c>
      <c r="D31" s="162">
        <f>D28*D9*1000</f>
        <v>1352166.4903480664</v>
      </c>
      <c r="E31" s="163">
        <f t="shared" ref="E31" si="2">E28*E9*1000</f>
        <v>0</v>
      </c>
      <c r="F31" s="105" t="s">
        <v>57</v>
      </c>
      <c r="G31" s="117" t="s">
        <v>51</v>
      </c>
    </row>
    <row r="32" spans="2:14" ht="12.9" x14ac:dyDescent="0.35">
      <c r="B32" s="160"/>
      <c r="C32" s="161"/>
      <c r="D32" s="165"/>
      <c r="E32" s="166"/>
      <c r="F32" s="105"/>
      <c r="G32" s="118"/>
    </row>
    <row r="33" spans="2:13" ht="14.6" x14ac:dyDescent="0.45">
      <c r="B33" s="160" t="s">
        <v>58</v>
      </c>
      <c r="C33" s="161"/>
      <c r="D33" s="162"/>
      <c r="E33" s="163"/>
      <c r="F33" s="105"/>
      <c r="G33" s="117"/>
    </row>
    <row r="34" spans="2:13" ht="14.6" x14ac:dyDescent="0.35">
      <c r="B34" s="164" t="s">
        <v>59</v>
      </c>
      <c r="C34" s="161" t="s">
        <v>19</v>
      </c>
      <c r="D34" s="162">
        <f>D$22*D$21*D$20*D31*D18</f>
        <v>8584.0721126618191</v>
      </c>
      <c r="E34" s="163">
        <f t="shared" ref="E34" si="3">E$22*E$21*E$20*E31*E18</f>
        <v>0</v>
      </c>
      <c r="F34" s="105" t="s">
        <v>60</v>
      </c>
      <c r="G34" s="117" t="s">
        <v>51</v>
      </c>
    </row>
    <row r="35" spans="2:13" ht="13.3" thickBot="1" x14ac:dyDescent="0.4">
      <c r="B35" s="130"/>
      <c r="C35" s="101"/>
      <c r="D35" s="111"/>
      <c r="E35" s="102"/>
      <c r="F35" s="113"/>
      <c r="G35" s="119"/>
    </row>
    <row r="36" spans="2:13" ht="15.45" thickTop="1" thickBot="1" x14ac:dyDescent="0.5">
      <c r="B36" s="131" t="s">
        <v>61</v>
      </c>
      <c r="C36" s="122"/>
      <c r="D36" s="123">
        <f>SUM(D33:D34)</f>
        <v>8584.0721126618191</v>
      </c>
      <c r="E36" s="124">
        <f t="shared" ref="E36" si="4">SUM(E33:E34)</f>
        <v>0</v>
      </c>
      <c r="F36" s="125" t="s">
        <v>62</v>
      </c>
      <c r="G36" s="126"/>
      <c r="H36" s="89"/>
      <c r="I36" s="89"/>
    </row>
    <row r="37" spans="2:13" ht="15" thickTop="1" x14ac:dyDescent="0.35">
      <c r="B37" s="132" t="s">
        <v>63</v>
      </c>
      <c r="C37" s="103"/>
      <c r="D37" s="292">
        <f>(D36+E36)</f>
        <v>8584.0721126618191</v>
      </c>
      <c r="E37" s="293"/>
      <c r="F37" s="121" t="s">
        <v>62</v>
      </c>
      <c r="G37" s="120"/>
    </row>
    <row r="38" spans="2:13" s="5" customFormat="1" ht="12.9" x14ac:dyDescent="0.35">
      <c r="B38" s="127"/>
      <c r="C38" s="97"/>
      <c r="D38" s="98"/>
      <c r="E38" s="98"/>
      <c r="F38" s="98"/>
      <c r="G38" s="98"/>
      <c r="H38" s="99"/>
      <c r="I38" s="100"/>
      <c r="J38" s="85"/>
      <c r="K38" s="85"/>
      <c r="L38" s="86"/>
      <c r="M38" s="87"/>
    </row>
    <row r="39" spans="2:13" s="5" customFormat="1" ht="12.9" x14ac:dyDescent="0.35">
      <c r="B39" s="2"/>
      <c r="G39" s="183"/>
    </row>
    <row r="40" spans="2:13" s="5" customFormat="1" ht="12.9" x14ac:dyDescent="0.35">
      <c r="B40" s="2"/>
    </row>
    <row r="41" spans="2:13" x14ac:dyDescent="0.3">
      <c r="F41" s="1"/>
      <c r="G41" s="1"/>
    </row>
    <row r="42" spans="2:13" ht="12.9" x14ac:dyDescent="0.35">
      <c r="B42" s="242" t="s">
        <v>64</v>
      </c>
      <c r="F42" s="1"/>
      <c r="G42" s="1"/>
    </row>
    <row r="43" spans="2:13" x14ac:dyDescent="0.3">
      <c r="F43" s="1"/>
      <c r="G43" s="1"/>
    </row>
    <row r="44" spans="2:13" ht="12.9" x14ac:dyDescent="0.3">
      <c r="B44" s="184" t="s">
        <v>65</v>
      </c>
      <c r="C44" s="185" t="s">
        <v>66</v>
      </c>
      <c r="D44" s="247"/>
      <c r="F44" s="1"/>
      <c r="G44" s="1"/>
    </row>
    <row r="45" spans="2:13" ht="12.9" x14ac:dyDescent="0.3">
      <c r="B45" s="186" t="s">
        <v>67</v>
      </c>
      <c r="C45" s="186" t="s">
        <v>68</v>
      </c>
      <c r="D45" s="247"/>
      <c r="F45" s="1"/>
      <c r="G45" s="1"/>
    </row>
    <row r="46" spans="2:13" ht="12.9" x14ac:dyDescent="0.35">
      <c r="B46" s="187">
        <v>0.114</v>
      </c>
      <c r="C46" s="243">
        <v>0.72807017543859653</v>
      </c>
      <c r="D46" s="247"/>
      <c r="F46" s="1"/>
      <c r="G46" s="1"/>
    </row>
    <row r="47" spans="2:13" ht="12.9" x14ac:dyDescent="0.35">
      <c r="B47" s="187">
        <v>0.121</v>
      </c>
      <c r="C47" s="189">
        <v>0.71900826446280985</v>
      </c>
      <c r="D47" s="247"/>
      <c r="F47" s="1"/>
      <c r="G47" s="1"/>
    </row>
    <row r="48" spans="2:13" ht="12.9" x14ac:dyDescent="0.35">
      <c r="B48" s="187">
        <v>0.11799999999999999</v>
      </c>
      <c r="C48" s="189">
        <v>0.72033898305084754</v>
      </c>
      <c r="D48" s="247"/>
      <c r="F48" s="1"/>
      <c r="G48" s="1"/>
    </row>
    <row r="49" spans="2:7" ht="12.9" x14ac:dyDescent="0.35">
      <c r="B49" s="187">
        <v>0.121</v>
      </c>
      <c r="C49" s="189">
        <v>0.71900826446280985</v>
      </c>
      <c r="D49" s="247"/>
      <c r="F49" s="1"/>
      <c r="G49" s="1"/>
    </row>
    <row r="50" spans="2:7" ht="12.9" x14ac:dyDescent="0.35">
      <c r="B50" s="187">
        <v>0.122</v>
      </c>
      <c r="C50" s="189">
        <v>0.72131147540983609</v>
      </c>
      <c r="D50" s="247"/>
      <c r="F50" s="1"/>
      <c r="G50" s="1"/>
    </row>
    <row r="51" spans="2:7" ht="12.9" x14ac:dyDescent="0.35">
      <c r="B51" s="187">
        <v>0.11700000000000001</v>
      </c>
      <c r="C51" s="189">
        <v>0.70940170940170943</v>
      </c>
      <c r="D51" s="247"/>
      <c r="F51" s="1"/>
      <c r="G51" s="1"/>
    </row>
    <row r="52" spans="2:7" ht="12.9" x14ac:dyDescent="0.35">
      <c r="B52" s="187">
        <v>0.12</v>
      </c>
      <c r="C52" s="189">
        <v>0.70833333333333337</v>
      </c>
      <c r="D52" s="247"/>
      <c r="F52" s="1"/>
      <c r="G52" s="1"/>
    </row>
    <row r="53" spans="2:7" ht="12.9" x14ac:dyDescent="0.35">
      <c r="B53" s="187">
        <v>0.126</v>
      </c>
      <c r="C53" s="189">
        <v>0.70634920634920628</v>
      </c>
      <c r="D53" s="247"/>
    </row>
    <row r="54" spans="2:7" ht="12.9" x14ac:dyDescent="0.35">
      <c r="B54" s="187">
        <v>0.125</v>
      </c>
      <c r="C54" s="189">
        <v>0.71199999999999997</v>
      </c>
      <c r="D54" s="247"/>
    </row>
    <row r="55" spans="2:7" ht="12.9" x14ac:dyDescent="0.35">
      <c r="B55" s="187">
        <v>0.11</v>
      </c>
      <c r="C55" s="189">
        <v>0.71818181818181814</v>
      </c>
      <c r="D55" s="247"/>
    </row>
    <row r="56" spans="2:7" ht="12.9" x14ac:dyDescent="0.35">
      <c r="B56" s="187">
        <v>0.108</v>
      </c>
      <c r="C56" s="189">
        <v>0.80555555555555547</v>
      </c>
      <c r="D56" s="247"/>
    </row>
    <row r="57" spans="2:7" ht="12.9" x14ac:dyDescent="0.35">
      <c r="B57" s="187">
        <v>0.121</v>
      </c>
      <c r="C57" s="189">
        <v>0.81818181818181823</v>
      </c>
      <c r="D57" s="247"/>
    </row>
    <row r="58" spans="2:7" ht="12.9" x14ac:dyDescent="0.35">
      <c r="B58" s="187">
        <v>0.107</v>
      </c>
      <c r="C58" s="189">
        <v>0.7850467289719627</v>
      </c>
      <c r="D58" s="247"/>
    </row>
    <row r="59" spans="2:7" ht="12.9" x14ac:dyDescent="0.35">
      <c r="B59" s="187">
        <v>0.108</v>
      </c>
      <c r="C59" s="189">
        <v>0.80555555555555547</v>
      </c>
      <c r="D59" s="247"/>
    </row>
    <row r="60" spans="2:7" ht="12.9" x14ac:dyDescent="0.35">
      <c r="B60" s="187">
        <v>0.121</v>
      </c>
      <c r="C60" s="189">
        <v>0.85950413223140498</v>
      </c>
      <c r="D60" s="247"/>
    </row>
    <row r="61" spans="2:7" ht="12.9" x14ac:dyDescent="0.35">
      <c r="B61" s="187">
        <v>0.114</v>
      </c>
      <c r="C61" s="189">
        <v>0.81578947368421051</v>
      </c>
      <c r="D61" s="247"/>
    </row>
    <row r="62" spans="2:7" ht="12.9" x14ac:dyDescent="0.35">
      <c r="B62" s="187">
        <v>0.13300000000000001</v>
      </c>
      <c r="C62" s="189">
        <v>0.83458646616541354</v>
      </c>
      <c r="D62" s="247"/>
    </row>
    <row r="63" spans="2:7" ht="12.9" x14ac:dyDescent="0.35">
      <c r="B63" s="187">
        <v>0.113</v>
      </c>
      <c r="C63" s="189">
        <v>0.83185840707964598</v>
      </c>
      <c r="D63" s="247"/>
    </row>
    <row r="64" spans="2:7" ht="12.9" x14ac:dyDescent="0.35">
      <c r="B64" s="187">
        <v>0.112</v>
      </c>
      <c r="C64" s="189">
        <v>0.83035714285714279</v>
      </c>
      <c r="D64" s="247"/>
    </row>
    <row r="65" spans="2:4" ht="12.9" x14ac:dyDescent="0.35">
      <c r="B65" s="187">
        <v>0.111</v>
      </c>
      <c r="C65" s="189">
        <v>0.80180180180180172</v>
      </c>
      <c r="D65" s="247"/>
    </row>
    <row r="66" spans="2:4" ht="12.9" x14ac:dyDescent="0.35">
      <c r="B66" s="187">
        <v>0.11899999999999999</v>
      </c>
      <c r="C66" s="189">
        <v>0.84033613445378164</v>
      </c>
      <c r="D66" s="247"/>
    </row>
    <row r="67" spans="2:4" ht="12.9" x14ac:dyDescent="0.35">
      <c r="B67" s="188">
        <v>0.11799999999999999</v>
      </c>
      <c r="C67" s="189">
        <v>0.76271186440677963</v>
      </c>
      <c r="D67" s="247"/>
    </row>
    <row r="68" spans="2:4" ht="12.9" x14ac:dyDescent="0.35">
      <c r="B68" s="188">
        <v>0.11899999999999999</v>
      </c>
      <c r="C68" s="189">
        <v>0.76470588235294124</v>
      </c>
      <c r="D68" s="247"/>
    </row>
    <row r="69" spans="2:4" ht="12.9" x14ac:dyDescent="0.35">
      <c r="B69" s="188">
        <v>0.11700000000000001</v>
      </c>
      <c r="C69" s="189">
        <v>0.75213675213675202</v>
      </c>
      <c r="D69" s="247"/>
    </row>
    <row r="70" spans="2:4" ht="12.9" x14ac:dyDescent="0.35">
      <c r="B70" s="188">
        <v>0.11700000000000001</v>
      </c>
      <c r="C70" s="189">
        <v>0.76068376068376065</v>
      </c>
      <c r="D70" s="247"/>
    </row>
    <row r="71" spans="2:4" ht="12.9" x14ac:dyDescent="0.35">
      <c r="B71" s="188">
        <v>0.111</v>
      </c>
      <c r="C71" s="189">
        <v>0.80180180180180172</v>
      </c>
      <c r="D71" s="247"/>
    </row>
    <row r="72" spans="2:4" ht="12.9" x14ac:dyDescent="0.35">
      <c r="B72" s="188">
        <v>0.11600000000000001</v>
      </c>
      <c r="C72" s="189">
        <v>0.80172413793103448</v>
      </c>
      <c r="D72" s="247"/>
    </row>
    <row r="73" spans="2:4" ht="13.3" thickBot="1" x14ac:dyDescent="0.4">
      <c r="B73" s="244">
        <v>0.10299999999999999</v>
      </c>
      <c r="C73" s="245">
        <v>0.80582524271844669</v>
      </c>
      <c r="D73" s="247"/>
    </row>
    <row r="74" spans="2:4" ht="13.3" thickTop="1" x14ac:dyDescent="0.35">
      <c r="B74" s="246">
        <f>AVERAGE(B46:B73)</f>
        <v>0.11650000000000003</v>
      </c>
      <c r="C74" s="246">
        <f>AVERAGE(C46:C73)</f>
        <v>0.77286306745217048</v>
      </c>
      <c r="D74" s="247"/>
    </row>
    <row r="75" spans="2:4" ht="12.9" x14ac:dyDescent="0.35">
      <c r="B75" s="190"/>
      <c r="C75" s="190"/>
    </row>
  </sheetData>
  <mergeCells count="6">
    <mergeCell ref="G3:G4"/>
    <mergeCell ref="F3:F4"/>
    <mergeCell ref="D37:E37"/>
    <mergeCell ref="D3:E3"/>
    <mergeCell ref="B3:B4"/>
    <mergeCell ref="C3:C4"/>
  </mergeCells>
  <phoneticPr fontId="8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4"/>
  <sheetViews>
    <sheetView topLeftCell="A29" zoomScaleNormal="100" workbookViewId="0">
      <selection activeCell="D42" sqref="D42"/>
    </sheetView>
  </sheetViews>
  <sheetFormatPr baseColWidth="10" defaultColWidth="10.84375" defaultRowHeight="12.9" x14ac:dyDescent="0.35"/>
  <cols>
    <col min="1" max="1" width="3.69140625" style="2" customWidth="1"/>
    <col min="2" max="2" width="44.69140625" style="2" customWidth="1"/>
    <col min="3" max="3" width="15.23046875" style="2" customWidth="1"/>
    <col min="4" max="4" width="16.53515625" style="2" bestFit="1" customWidth="1"/>
    <col min="5" max="5" width="16.53515625" style="2" customWidth="1"/>
    <col min="6" max="6" width="58.84375" style="2" customWidth="1"/>
    <col min="7" max="7" width="14.23046875" style="2" customWidth="1"/>
    <col min="8" max="10" width="10.84375" style="213" customWidth="1"/>
    <col min="11" max="11" width="15.23046875" style="2" bestFit="1" customWidth="1"/>
    <col min="12" max="12" width="21.23046875" style="2" customWidth="1"/>
    <col min="13" max="13" width="10.84375" style="2" customWidth="1"/>
    <col min="14" max="14" width="18.84375" style="2" bestFit="1" customWidth="1"/>
    <col min="15" max="15" width="11.23046875" style="2" bestFit="1" customWidth="1"/>
    <col min="16" max="16" width="12.69140625" style="2" bestFit="1" customWidth="1"/>
    <col min="17" max="17" width="15.23046875" style="2" bestFit="1" customWidth="1"/>
    <col min="18" max="18" width="13.69140625" style="2" customWidth="1"/>
    <col min="19" max="19" width="13.23046875" style="2" customWidth="1"/>
    <col min="20" max="20" width="12.23046875" style="2" bestFit="1" customWidth="1"/>
    <col min="21" max="16384" width="10.84375" style="2"/>
  </cols>
  <sheetData>
    <row r="1" spans="1:18" s="71" customFormat="1" ht="18.45" x14ac:dyDescent="0.5">
      <c r="A1" s="106" t="s">
        <v>69</v>
      </c>
      <c r="B1" s="136"/>
      <c r="H1" s="212"/>
      <c r="I1" s="212"/>
      <c r="J1" s="212"/>
      <c r="L1" s="191"/>
      <c r="M1" s="76"/>
      <c r="N1" s="191"/>
      <c r="O1" s="191"/>
    </row>
    <row r="2" spans="1:18" ht="18.45" x14ac:dyDescent="0.5">
      <c r="A2" s="8"/>
      <c r="B2" s="7" t="s">
        <v>70</v>
      </c>
      <c r="I2" s="214"/>
      <c r="M2" s="191"/>
      <c r="N2" s="191"/>
      <c r="O2" s="191"/>
    </row>
    <row r="3" spans="1:18" ht="18.45" x14ac:dyDescent="0.5">
      <c r="A3" s="8"/>
      <c r="B3" s="7" t="s">
        <v>71</v>
      </c>
      <c r="I3" s="214"/>
      <c r="M3" s="191"/>
      <c r="N3" s="191"/>
      <c r="O3" s="191"/>
    </row>
    <row r="4" spans="1:18" ht="13.5" customHeight="1" x14ac:dyDescent="0.5">
      <c r="A4" s="8"/>
      <c r="B4" s="7"/>
      <c r="I4" s="214"/>
      <c r="M4" s="191"/>
      <c r="N4" s="191"/>
      <c r="O4" s="191"/>
    </row>
    <row r="5" spans="1:18" ht="15.9" x14ac:dyDescent="0.45">
      <c r="A5" s="77" t="s">
        <v>72</v>
      </c>
      <c r="F5" s="12"/>
      <c r="M5" s="191"/>
      <c r="N5" s="191"/>
      <c r="O5" s="191"/>
    </row>
    <row r="6" spans="1:18" x14ac:dyDescent="0.35">
      <c r="M6" s="191"/>
      <c r="N6" s="191"/>
      <c r="O6" s="191"/>
    </row>
    <row r="7" spans="1:18" ht="15" thickBot="1" x14ac:dyDescent="0.4">
      <c r="D7" s="15"/>
      <c r="E7" s="15"/>
      <c r="F7" s="15"/>
      <c r="G7" s="16"/>
      <c r="M7" s="191"/>
      <c r="N7" s="191"/>
      <c r="O7" s="191"/>
    </row>
    <row r="8" spans="1:18" ht="18.45" thickBot="1" x14ac:dyDescent="0.5">
      <c r="B8" s="299" t="s">
        <v>181</v>
      </c>
      <c r="C8" s="300"/>
      <c r="D8" s="300"/>
      <c r="E8" s="300"/>
      <c r="F8" s="301"/>
      <c r="G8" s="77"/>
      <c r="H8" s="224" t="s">
        <v>73</v>
      </c>
      <c r="M8" s="191"/>
      <c r="N8" s="191"/>
      <c r="O8" s="191"/>
    </row>
    <row r="9" spans="1:18" ht="14.6" x14ac:dyDescent="0.4">
      <c r="B9" s="36" t="s">
        <v>12</v>
      </c>
      <c r="C9" s="37" t="s">
        <v>11</v>
      </c>
      <c r="D9" s="10">
        <v>2022</v>
      </c>
      <c r="E9" s="37" t="s">
        <v>7</v>
      </c>
      <c r="F9" s="36" t="s">
        <v>74</v>
      </c>
      <c r="J9" s="2"/>
      <c r="L9" s="191"/>
      <c r="M9" s="191"/>
      <c r="N9" s="191"/>
    </row>
    <row r="10" spans="1:18" ht="16.75" x14ac:dyDescent="0.35">
      <c r="B10" s="33" t="s">
        <v>75</v>
      </c>
      <c r="C10" s="230" t="s">
        <v>76</v>
      </c>
      <c r="D10" s="68">
        <v>0</v>
      </c>
      <c r="E10" s="34" t="s">
        <v>77</v>
      </c>
      <c r="F10" s="35" t="s">
        <v>184</v>
      </c>
      <c r="J10" s="2"/>
      <c r="L10" s="191"/>
      <c r="M10" s="191"/>
      <c r="N10" s="191"/>
    </row>
    <row r="11" spans="1:18" ht="17.149999999999999" x14ac:dyDescent="0.55000000000000004">
      <c r="B11" s="60" t="s">
        <v>78</v>
      </c>
      <c r="C11" s="230" t="s">
        <v>79</v>
      </c>
      <c r="D11" s="181">
        <v>56.4</v>
      </c>
      <c r="E11" s="231" t="s">
        <v>80</v>
      </c>
      <c r="F11" s="35" t="s">
        <v>81</v>
      </c>
      <c r="G11" s="38">
        <v>2</v>
      </c>
      <c r="J11" s="2"/>
      <c r="L11" s="191"/>
      <c r="M11" s="191"/>
      <c r="N11" s="191"/>
    </row>
    <row r="12" spans="1:18" ht="17.149999999999999" thickBot="1" x14ac:dyDescent="0.45">
      <c r="B12" s="42" t="s">
        <v>82</v>
      </c>
      <c r="C12" s="232" t="s">
        <v>83</v>
      </c>
      <c r="D12" s="75">
        <v>100</v>
      </c>
      <c r="E12" s="44" t="s">
        <v>36</v>
      </c>
      <c r="F12" s="45" t="s">
        <v>84</v>
      </c>
      <c r="G12" s="13" t="s">
        <v>85</v>
      </c>
      <c r="J12" s="2"/>
      <c r="L12" s="191"/>
      <c r="M12" s="191"/>
      <c r="N12" s="191"/>
    </row>
    <row r="13" spans="1:18" ht="17.600000000000001" thickTop="1" x14ac:dyDescent="0.55000000000000004">
      <c r="B13" s="49" t="s">
        <v>86</v>
      </c>
      <c r="C13" s="39" t="s">
        <v>87</v>
      </c>
      <c r="D13" s="40">
        <f>(D10/D12%)*D11</f>
        <v>0</v>
      </c>
      <c r="E13" s="41" t="s">
        <v>88</v>
      </c>
      <c r="F13" s="180"/>
      <c r="G13" s="13" t="s">
        <v>85</v>
      </c>
      <c r="H13" s="2">
        <v>1</v>
      </c>
      <c r="I13" s="32" t="s">
        <v>89</v>
      </c>
      <c r="J13" s="32">
        <v>3.5999999999999998E-6</v>
      </c>
      <c r="K13" s="32" t="s">
        <v>90</v>
      </c>
      <c r="L13" s="191"/>
      <c r="M13" s="191"/>
      <c r="N13" s="191"/>
    </row>
    <row r="14" spans="1:18" ht="15" thickBot="1" x14ac:dyDescent="0.45">
      <c r="B14" s="73"/>
      <c r="C14" s="57"/>
      <c r="D14" s="58"/>
      <c r="E14" s="59"/>
      <c r="F14" s="228"/>
      <c r="G14" s="13"/>
      <c r="H14" s="32">
        <f>H13*J14*1000*J13</f>
        <v>846.88199999999995</v>
      </c>
      <c r="I14" s="32" t="s">
        <v>89</v>
      </c>
      <c r="J14" s="32">
        <v>235245</v>
      </c>
      <c r="K14" s="71" t="s">
        <v>189</v>
      </c>
      <c r="L14" s="191"/>
      <c r="M14" s="191"/>
      <c r="N14" s="191"/>
    </row>
    <row r="15" spans="1:18" ht="16.3" thickBot="1" x14ac:dyDescent="0.5">
      <c r="B15" s="299" t="s">
        <v>91</v>
      </c>
      <c r="C15" s="300"/>
      <c r="D15" s="300"/>
      <c r="E15" s="300"/>
      <c r="F15" s="301"/>
      <c r="G15" s="13"/>
      <c r="H15" s="32"/>
      <c r="I15" s="32"/>
      <c r="J15" s="32"/>
      <c r="K15" s="71"/>
      <c r="L15" s="191"/>
      <c r="M15" s="191"/>
      <c r="N15" s="191"/>
    </row>
    <row r="16" spans="1:18" ht="14.6" x14ac:dyDescent="0.4">
      <c r="B16" s="36" t="s">
        <v>12</v>
      </c>
      <c r="C16" s="37" t="s">
        <v>11</v>
      </c>
      <c r="D16" s="10">
        <v>2022</v>
      </c>
      <c r="E16" s="37" t="s">
        <v>7</v>
      </c>
      <c r="F16" s="36" t="s">
        <v>74</v>
      </c>
      <c r="G16" s="58"/>
      <c r="H16" s="229"/>
      <c r="I16" s="59"/>
      <c r="J16" s="228"/>
      <c r="K16" s="13"/>
      <c r="L16" s="32"/>
      <c r="M16" s="32"/>
      <c r="N16" s="32"/>
      <c r="O16" s="71"/>
      <c r="P16" s="191"/>
      <c r="Q16" s="191"/>
      <c r="R16" s="191"/>
    </row>
    <row r="17" spans="1:18" ht="16.75" x14ac:dyDescent="0.4">
      <c r="A17" s="298" t="s">
        <v>190</v>
      </c>
      <c r="B17" s="33" t="s">
        <v>92</v>
      </c>
      <c r="C17" s="230" t="s">
        <v>93</v>
      </c>
      <c r="D17" s="68">
        <f>37.381</f>
        <v>37.381</v>
      </c>
      <c r="E17" s="34" t="s">
        <v>77</v>
      </c>
      <c r="F17" s="35" t="s">
        <v>184</v>
      </c>
      <c r="G17" s="58"/>
      <c r="H17" s="229"/>
      <c r="I17" s="59"/>
      <c r="J17" s="228"/>
      <c r="K17" s="13"/>
      <c r="L17" s="32"/>
      <c r="M17" s="32"/>
      <c r="N17" s="32"/>
      <c r="O17" s="71"/>
      <c r="P17" s="191"/>
      <c r="Q17" s="191"/>
      <c r="R17" s="191"/>
    </row>
    <row r="18" spans="1:18" ht="17.149999999999999" x14ac:dyDescent="0.55000000000000004">
      <c r="A18" s="298"/>
      <c r="B18" s="60" t="s">
        <v>78</v>
      </c>
      <c r="C18" s="230" t="s">
        <v>79</v>
      </c>
      <c r="D18" s="181">
        <v>56.4</v>
      </c>
      <c r="E18" s="231" t="s">
        <v>80</v>
      </c>
      <c r="F18" s="35" t="s">
        <v>94</v>
      </c>
      <c r="G18" s="38">
        <v>2</v>
      </c>
      <c r="H18" s="229"/>
      <c r="I18" s="59"/>
      <c r="J18" s="228"/>
      <c r="K18" s="13"/>
      <c r="L18" s="32"/>
      <c r="M18" s="32"/>
      <c r="N18" s="32"/>
      <c r="O18" s="71"/>
      <c r="P18" s="191"/>
      <c r="Q18" s="191"/>
      <c r="R18" s="191"/>
    </row>
    <row r="19" spans="1:18" ht="17.149999999999999" thickBot="1" x14ac:dyDescent="0.45">
      <c r="A19" s="298"/>
      <c r="B19" s="256" t="s">
        <v>82</v>
      </c>
      <c r="C19" s="257" t="s">
        <v>83</v>
      </c>
      <c r="D19" s="258">
        <v>100</v>
      </c>
      <c r="E19" s="259" t="s">
        <v>36</v>
      </c>
      <c r="F19" s="260" t="s">
        <v>95</v>
      </c>
      <c r="G19" s="58"/>
      <c r="H19" s="229"/>
      <c r="I19" s="59"/>
      <c r="J19" s="228"/>
      <c r="K19" s="13"/>
      <c r="L19" s="32"/>
      <c r="M19" s="32"/>
      <c r="N19" s="32"/>
      <c r="O19" s="71"/>
      <c r="P19" s="191"/>
      <c r="Q19" s="191"/>
      <c r="R19" s="191"/>
    </row>
    <row r="20" spans="1:18" ht="17.149999999999999" x14ac:dyDescent="0.4">
      <c r="B20" s="251" t="s">
        <v>96</v>
      </c>
      <c r="C20" s="252" t="s">
        <v>97</v>
      </c>
      <c r="D20" s="253">
        <f>D38</f>
        <v>1612.5888</v>
      </c>
      <c r="E20" s="254" t="s">
        <v>98</v>
      </c>
      <c r="F20" s="255" t="s">
        <v>99</v>
      </c>
      <c r="G20" s="58"/>
      <c r="H20" s="229"/>
      <c r="I20" s="282"/>
      <c r="J20" s="228"/>
      <c r="K20" s="13"/>
      <c r="L20" s="32"/>
      <c r="M20" s="32"/>
      <c r="N20" s="32"/>
      <c r="O20" s="71"/>
      <c r="P20" s="191"/>
      <c r="Q20" s="191"/>
      <c r="R20" s="191"/>
    </row>
    <row r="21" spans="1:18" ht="17.600000000000001" thickBot="1" x14ac:dyDescent="0.6">
      <c r="B21" s="233" t="s">
        <v>100</v>
      </c>
      <c r="C21" s="286" t="s">
        <v>191</v>
      </c>
      <c r="D21" s="287">
        <f>D45</f>
        <v>1660.8108000000002</v>
      </c>
      <c r="E21" s="234" t="s">
        <v>101</v>
      </c>
      <c r="F21" s="35" t="s">
        <v>99</v>
      </c>
      <c r="G21" s="58"/>
      <c r="H21" s="278"/>
      <c r="I21" s="59"/>
      <c r="J21" s="228"/>
      <c r="K21" s="13"/>
      <c r="L21" s="32"/>
      <c r="M21" s="32"/>
      <c r="N21" s="32"/>
      <c r="O21" s="71"/>
      <c r="P21" s="191"/>
      <c r="Q21" s="191"/>
      <c r="R21" s="191"/>
    </row>
    <row r="22" spans="1:18" ht="17.600000000000001" thickTop="1" x14ac:dyDescent="0.55000000000000004">
      <c r="B22" s="49" t="s">
        <v>102</v>
      </c>
      <c r="C22" s="39" t="s">
        <v>103</v>
      </c>
      <c r="D22" s="40">
        <f>(D17/D19%)*D18+D20+D21</f>
        <v>5381.6880000000001</v>
      </c>
      <c r="E22" s="41" t="s">
        <v>88</v>
      </c>
      <c r="F22" s="41"/>
      <c r="G22" s="58"/>
      <c r="H22" s="229"/>
      <c r="I22" s="59"/>
      <c r="J22" s="228"/>
      <c r="K22" s="13"/>
      <c r="L22" s="32"/>
      <c r="M22" s="32"/>
      <c r="N22" s="32"/>
      <c r="O22" s="71"/>
      <c r="P22" s="191"/>
      <c r="Q22" s="191"/>
      <c r="R22" s="191"/>
    </row>
    <row r="23" spans="1:18" ht="15" thickBot="1" x14ac:dyDescent="0.45">
      <c r="B23" s="73"/>
      <c r="C23" s="57"/>
      <c r="D23" s="58"/>
      <c r="E23" s="59"/>
      <c r="F23" s="228"/>
      <c r="G23" s="13"/>
      <c r="H23" s="32"/>
      <c r="I23" s="32"/>
      <c r="J23" s="32"/>
      <c r="K23" s="71"/>
      <c r="L23" s="191"/>
      <c r="M23" s="191"/>
      <c r="N23" s="191"/>
    </row>
    <row r="24" spans="1:18" ht="18.45" thickBot="1" x14ac:dyDescent="0.5">
      <c r="B24" s="299" t="s">
        <v>186</v>
      </c>
      <c r="C24" s="300"/>
      <c r="D24" s="300"/>
      <c r="E24" s="300"/>
      <c r="F24" s="301"/>
      <c r="G24" s="13"/>
      <c r="H24" s="32"/>
      <c r="I24" s="32"/>
      <c r="J24" s="32"/>
      <c r="K24" s="71"/>
      <c r="L24" s="191"/>
      <c r="M24" s="191"/>
      <c r="N24" s="191"/>
    </row>
    <row r="25" spans="1:18" ht="14.6" x14ac:dyDescent="0.4">
      <c r="B25" s="36" t="s">
        <v>12</v>
      </c>
      <c r="C25" s="37" t="s">
        <v>11</v>
      </c>
      <c r="D25" s="10">
        <v>2022</v>
      </c>
      <c r="E25" s="37" t="s">
        <v>7</v>
      </c>
      <c r="F25" s="36" t="s">
        <v>74</v>
      </c>
      <c r="G25" s="58"/>
      <c r="H25" s="229"/>
      <c r="I25" s="59"/>
      <c r="J25" s="228"/>
      <c r="K25" s="13"/>
      <c r="L25" s="32"/>
      <c r="M25" s="32"/>
      <c r="N25" s="32"/>
      <c r="O25" s="71"/>
      <c r="P25" s="191"/>
      <c r="Q25" s="191"/>
      <c r="R25" s="191"/>
    </row>
    <row r="26" spans="1:18" ht="16.75" x14ac:dyDescent="0.4">
      <c r="B26" s="33" t="s">
        <v>104</v>
      </c>
      <c r="C26" s="230" t="s">
        <v>105</v>
      </c>
      <c r="D26" s="283">
        <f>130.063</f>
        <v>130.06299999999999</v>
      </c>
      <c r="E26" s="34" t="s">
        <v>77</v>
      </c>
      <c r="F26" s="35" t="s">
        <v>184</v>
      </c>
      <c r="G26" s="58"/>
      <c r="H26" s="229"/>
      <c r="I26" s="59"/>
      <c r="J26" s="228"/>
      <c r="K26" s="13"/>
      <c r="L26" s="32"/>
      <c r="M26" s="32"/>
      <c r="N26" s="32"/>
      <c r="O26" s="71"/>
      <c r="P26" s="191"/>
      <c r="Q26" s="191"/>
      <c r="R26" s="191"/>
    </row>
    <row r="27" spans="1:18" ht="17.149999999999999" x14ac:dyDescent="0.55000000000000004">
      <c r="B27" s="60" t="s">
        <v>78</v>
      </c>
      <c r="C27" s="230" t="s">
        <v>79</v>
      </c>
      <c r="D27" s="181">
        <v>56.4</v>
      </c>
      <c r="E27" s="231" t="s">
        <v>80</v>
      </c>
      <c r="F27" s="35" t="s">
        <v>94</v>
      </c>
      <c r="G27" s="38">
        <v>2</v>
      </c>
      <c r="H27" s="229"/>
      <c r="I27" s="59"/>
      <c r="J27" s="228"/>
      <c r="K27" s="13"/>
      <c r="L27" s="32"/>
      <c r="M27" s="32"/>
      <c r="N27" s="32"/>
      <c r="O27" s="71"/>
      <c r="P27" s="191"/>
      <c r="Q27" s="191"/>
      <c r="R27" s="191"/>
    </row>
    <row r="28" spans="1:18" ht="17.149999999999999" thickBot="1" x14ac:dyDescent="0.45">
      <c r="B28" s="42" t="s">
        <v>82</v>
      </c>
      <c r="C28" s="232" t="s">
        <v>83</v>
      </c>
      <c r="D28" s="75">
        <v>100</v>
      </c>
      <c r="E28" s="44" t="s">
        <v>36</v>
      </c>
      <c r="F28" s="45" t="s">
        <v>95</v>
      </c>
      <c r="G28" s="58"/>
      <c r="H28" s="229"/>
      <c r="I28" s="59"/>
      <c r="J28" s="228"/>
      <c r="K28" s="13"/>
      <c r="L28" s="32"/>
      <c r="M28" s="32"/>
      <c r="N28" s="32"/>
      <c r="O28" s="71"/>
      <c r="P28" s="191"/>
      <c r="Q28" s="191"/>
      <c r="R28" s="191"/>
    </row>
    <row r="29" spans="1:18" ht="17.600000000000001" thickTop="1" x14ac:dyDescent="0.55000000000000004">
      <c r="B29" s="49" t="s">
        <v>106</v>
      </c>
      <c r="C29" s="39" t="s">
        <v>107</v>
      </c>
      <c r="D29" s="40">
        <f>(D26/D28%)*D27</f>
        <v>7335.5531999999994</v>
      </c>
      <c r="E29" s="41" t="s">
        <v>88</v>
      </c>
      <c r="F29" s="41"/>
      <c r="G29" s="58"/>
      <c r="H29" s="229"/>
      <c r="I29" s="59"/>
      <c r="J29" s="228"/>
      <c r="K29" s="13"/>
      <c r="L29" s="32"/>
      <c r="M29" s="32"/>
      <c r="N29" s="32"/>
      <c r="O29" s="71"/>
      <c r="P29" s="191"/>
      <c r="Q29" s="191"/>
      <c r="R29" s="191"/>
    </row>
    <row r="30" spans="1:18" ht="14.6" x14ac:dyDescent="0.4">
      <c r="B30" s="73"/>
      <c r="C30" s="57"/>
      <c r="D30" s="250"/>
      <c r="E30" s="59"/>
      <c r="F30" s="228"/>
      <c r="G30" s="13"/>
      <c r="H30" s="32"/>
      <c r="I30" s="32"/>
      <c r="J30" s="32"/>
      <c r="K30" s="71"/>
      <c r="L30" s="191"/>
      <c r="M30" s="191"/>
      <c r="N30" s="191"/>
    </row>
    <row r="31" spans="1:18" ht="14.6" x14ac:dyDescent="0.4">
      <c r="A31" s="9" t="s">
        <v>108</v>
      </c>
      <c r="B31" s="71"/>
      <c r="C31" s="71"/>
      <c r="D31" s="71"/>
      <c r="E31" s="59"/>
      <c r="F31" s="228"/>
      <c r="G31" s="13"/>
      <c r="H31" s="32"/>
      <c r="I31" s="32"/>
      <c r="J31" s="32"/>
      <c r="K31" s="71"/>
      <c r="L31" s="191"/>
      <c r="M31" s="191"/>
      <c r="N31" s="191"/>
    </row>
    <row r="32" spans="1:18" ht="15" thickBot="1" x14ac:dyDescent="0.45">
      <c r="B32" s="73"/>
      <c r="C32" s="57"/>
      <c r="D32" s="58"/>
      <c r="E32" s="59"/>
      <c r="F32" s="228"/>
      <c r="G32" s="13"/>
      <c r="H32" s="32"/>
      <c r="I32" s="32"/>
      <c r="J32" s="32"/>
      <c r="K32" s="71"/>
      <c r="L32" s="191"/>
      <c r="M32" s="191"/>
      <c r="N32" s="191"/>
    </row>
    <row r="33" spans="2:18" ht="16.3" thickBot="1" x14ac:dyDescent="0.5">
      <c r="B33" s="299" t="s">
        <v>109</v>
      </c>
      <c r="C33" s="300"/>
      <c r="D33" s="300"/>
      <c r="E33" s="300"/>
      <c r="F33" s="301"/>
      <c r="G33" s="13"/>
      <c r="H33" s="32"/>
      <c r="I33" s="32"/>
      <c r="J33" s="32"/>
      <c r="K33" s="71"/>
      <c r="L33" s="191"/>
      <c r="M33" s="191"/>
      <c r="N33" s="191"/>
    </row>
    <row r="34" spans="2:18" ht="14.6" x14ac:dyDescent="0.4">
      <c r="B34" s="36" t="s">
        <v>12</v>
      </c>
      <c r="C34" s="37" t="s">
        <v>11</v>
      </c>
      <c r="D34" s="10">
        <v>2022</v>
      </c>
      <c r="E34" s="37" t="s">
        <v>7</v>
      </c>
      <c r="F34" s="36" t="s">
        <v>74</v>
      </c>
      <c r="G34" s="58"/>
      <c r="H34" s="229"/>
      <c r="I34" s="59"/>
      <c r="J34" s="228"/>
      <c r="K34" s="13"/>
      <c r="L34" s="32"/>
      <c r="M34" s="32"/>
      <c r="N34" s="32"/>
      <c r="O34" s="71"/>
      <c r="P34" s="191"/>
      <c r="Q34" s="191"/>
      <c r="R34" s="191"/>
    </row>
    <row r="35" spans="2:18" ht="16.75" x14ac:dyDescent="0.4">
      <c r="B35" s="33" t="s">
        <v>92</v>
      </c>
      <c r="C35" s="230" t="s">
        <v>110</v>
      </c>
      <c r="D35" s="68">
        <v>28.591999999999999</v>
      </c>
      <c r="E35" s="34" t="s">
        <v>77</v>
      </c>
      <c r="F35" s="35" t="s">
        <v>184</v>
      </c>
      <c r="G35" s="58"/>
      <c r="H35" s="229"/>
      <c r="I35" s="59"/>
      <c r="J35" s="228"/>
      <c r="K35" s="13"/>
      <c r="L35" s="32"/>
      <c r="M35" s="32"/>
      <c r="N35" s="32"/>
      <c r="O35" s="71"/>
      <c r="P35" s="191"/>
      <c r="Q35" s="191"/>
      <c r="R35" s="191"/>
    </row>
    <row r="36" spans="2:18" ht="17.149999999999999" x14ac:dyDescent="0.55000000000000004">
      <c r="B36" s="60" t="s">
        <v>78</v>
      </c>
      <c r="C36" s="230" t="s">
        <v>79</v>
      </c>
      <c r="D36" s="181">
        <v>56.4</v>
      </c>
      <c r="E36" s="231" t="s">
        <v>80</v>
      </c>
      <c r="F36" s="35" t="s">
        <v>94</v>
      </c>
      <c r="G36" s="38">
        <v>2</v>
      </c>
      <c r="H36" s="229"/>
      <c r="I36" s="59"/>
      <c r="J36" s="228"/>
      <c r="K36" s="13"/>
      <c r="L36" s="32"/>
      <c r="M36" s="32"/>
      <c r="N36" s="32"/>
      <c r="O36" s="71"/>
      <c r="P36" s="191"/>
      <c r="Q36" s="191"/>
      <c r="R36" s="191"/>
    </row>
    <row r="37" spans="2:18" ht="17.149999999999999" thickBot="1" x14ac:dyDescent="0.45">
      <c r="B37" s="42" t="s">
        <v>82</v>
      </c>
      <c r="C37" s="232" t="s">
        <v>83</v>
      </c>
      <c r="D37" s="75">
        <v>100</v>
      </c>
      <c r="E37" s="44" t="s">
        <v>36</v>
      </c>
      <c r="F37" s="45" t="s">
        <v>95</v>
      </c>
      <c r="G37" s="58"/>
      <c r="H37" s="229"/>
      <c r="I37" s="59"/>
      <c r="J37" s="228"/>
      <c r="K37" s="13"/>
      <c r="L37" s="32"/>
      <c r="M37" s="32"/>
      <c r="N37" s="32"/>
      <c r="O37" s="71"/>
      <c r="P37" s="191"/>
      <c r="Q37" s="191"/>
      <c r="R37" s="191"/>
    </row>
    <row r="38" spans="2:18" ht="17.600000000000001" thickTop="1" x14ac:dyDescent="0.55000000000000004">
      <c r="B38" s="49" t="s">
        <v>96</v>
      </c>
      <c r="C38" s="39" t="s">
        <v>111</v>
      </c>
      <c r="D38" s="40">
        <f>(D35/D37%)*D36</f>
        <v>1612.5888</v>
      </c>
      <c r="E38" s="41" t="s">
        <v>88</v>
      </c>
      <c r="F38" s="41"/>
      <c r="G38" s="58"/>
      <c r="H38" s="229"/>
      <c r="I38" s="59"/>
      <c r="J38" s="228"/>
      <c r="K38" s="13"/>
      <c r="L38" s="32"/>
      <c r="M38" s="32"/>
      <c r="N38" s="32"/>
      <c r="O38" s="71"/>
      <c r="P38" s="191"/>
      <c r="Q38" s="191"/>
      <c r="R38" s="191"/>
    </row>
    <row r="39" spans="2:18" ht="15" thickBot="1" x14ac:dyDescent="0.45">
      <c r="B39" s="73"/>
      <c r="C39" s="57"/>
      <c r="D39" s="58"/>
      <c r="E39" s="59"/>
      <c r="F39" s="228"/>
      <c r="G39" s="13"/>
      <c r="H39" s="32"/>
      <c r="I39" s="32"/>
      <c r="J39" s="32"/>
      <c r="K39" s="71"/>
      <c r="L39" s="191"/>
      <c r="M39" s="191"/>
      <c r="N39" s="191"/>
    </row>
    <row r="40" spans="2:18" ht="16.3" thickBot="1" x14ac:dyDescent="0.5">
      <c r="B40" s="299" t="s">
        <v>192</v>
      </c>
      <c r="C40" s="300"/>
      <c r="D40" s="300"/>
      <c r="E40" s="300"/>
      <c r="F40" s="301"/>
      <c r="G40" s="13"/>
      <c r="H40" s="32"/>
      <c r="I40" s="32"/>
      <c r="J40" s="32"/>
      <c r="K40" s="71"/>
      <c r="L40" s="191"/>
      <c r="M40" s="191"/>
      <c r="N40" s="191"/>
    </row>
    <row r="41" spans="2:18" ht="14.6" x14ac:dyDescent="0.4">
      <c r="B41" s="36" t="s">
        <v>12</v>
      </c>
      <c r="C41" s="37" t="s">
        <v>11</v>
      </c>
      <c r="D41" s="10">
        <v>2022</v>
      </c>
      <c r="E41" s="37" t="s">
        <v>7</v>
      </c>
      <c r="F41" s="36" t="s">
        <v>74</v>
      </c>
      <c r="G41" s="58"/>
      <c r="H41" s="229"/>
      <c r="I41" s="59"/>
      <c r="J41" s="228"/>
      <c r="K41" s="13"/>
      <c r="L41" s="32"/>
      <c r="M41" s="32"/>
      <c r="N41" s="32"/>
      <c r="O41" s="71"/>
      <c r="P41" s="191"/>
      <c r="Q41" s="191"/>
      <c r="R41" s="191"/>
    </row>
    <row r="42" spans="2:18" ht="16.75" x14ac:dyDescent="0.4">
      <c r="B42" s="33" t="s">
        <v>92</v>
      </c>
      <c r="C42" s="230" t="s">
        <v>112</v>
      </c>
      <c r="D42" s="285">
        <f>20.254+9.193</f>
        <v>29.447000000000003</v>
      </c>
      <c r="E42" s="34" t="s">
        <v>77</v>
      </c>
      <c r="F42" s="35" t="s">
        <v>184</v>
      </c>
      <c r="G42" s="58"/>
      <c r="H42" s="229"/>
      <c r="I42" s="59"/>
      <c r="J42" s="228"/>
      <c r="K42" s="13"/>
      <c r="L42" s="32"/>
      <c r="M42" s="32"/>
      <c r="N42" s="32"/>
      <c r="O42" s="71"/>
      <c r="P42" s="191"/>
      <c r="Q42" s="191"/>
      <c r="R42" s="191"/>
    </row>
    <row r="43" spans="2:18" ht="17.149999999999999" x14ac:dyDescent="0.55000000000000004">
      <c r="B43" s="60" t="s">
        <v>78</v>
      </c>
      <c r="C43" s="230" t="s">
        <v>79</v>
      </c>
      <c r="D43" s="181">
        <v>56.4</v>
      </c>
      <c r="E43" s="231" t="s">
        <v>80</v>
      </c>
      <c r="F43" s="35" t="s">
        <v>94</v>
      </c>
      <c r="G43" s="38">
        <v>2</v>
      </c>
      <c r="H43" s="229"/>
      <c r="I43" s="59"/>
      <c r="J43" s="228"/>
      <c r="K43" s="13"/>
      <c r="L43" s="32"/>
      <c r="M43" s="32"/>
      <c r="N43" s="32"/>
      <c r="O43" s="71"/>
      <c r="P43" s="191"/>
      <c r="Q43" s="191"/>
      <c r="R43" s="191"/>
    </row>
    <row r="44" spans="2:18" ht="17.149999999999999" thickBot="1" x14ac:dyDescent="0.45">
      <c r="B44" s="42" t="s">
        <v>82</v>
      </c>
      <c r="C44" s="232" t="s">
        <v>83</v>
      </c>
      <c r="D44" s="75">
        <v>100</v>
      </c>
      <c r="E44" s="44" t="s">
        <v>36</v>
      </c>
      <c r="F44" s="45" t="s">
        <v>95</v>
      </c>
      <c r="G44" s="58"/>
      <c r="H44" s="229"/>
      <c r="I44" s="59"/>
      <c r="J44" s="228"/>
      <c r="K44" s="13"/>
      <c r="L44" s="32"/>
      <c r="M44" s="32"/>
      <c r="N44" s="32"/>
      <c r="O44" s="71"/>
      <c r="P44" s="191"/>
      <c r="Q44" s="191"/>
      <c r="R44" s="191"/>
    </row>
    <row r="45" spans="2:18" ht="17.600000000000001" thickTop="1" x14ac:dyDescent="0.55000000000000004">
      <c r="B45" s="49" t="s">
        <v>100</v>
      </c>
      <c r="C45" s="39" t="s">
        <v>180</v>
      </c>
      <c r="D45" s="40">
        <f>(D42/D44%)*D43</f>
        <v>1660.8108000000002</v>
      </c>
      <c r="E45" s="41" t="s">
        <v>88</v>
      </c>
      <c r="F45" s="41"/>
      <c r="G45" s="58"/>
      <c r="H45" s="229"/>
      <c r="I45" s="59"/>
      <c r="J45" s="228"/>
      <c r="K45" s="13"/>
      <c r="L45" s="32"/>
      <c r="M45" s="32"/>
      <c r="N45" s="32"/>
      <c r="O45" s="71"/>
      <c r="P45" s="191"/>
      <c r="Q45" s="191"/>
      <c r="R45" s="191"/>
    </row>
    <row r="46" spans="2:18" ht="14.6" x14ac:dyDescent="0.4">
      <c r="B46" s="73"/>
      <c r="C46" s="57"/>
      <c r="D46" s="58"/>
      <c r="E46" s="59"/>
      <c r="F46" s="228"/>
      <c r="G46" s="13"/>
      <c r="H46" s="32"/>
      <c r="I46" s="32"/>
      <c r="J46" s="32"/>
      <c r="K46" s="71"/>
      <c r="L46" s="191"/>
      <c r="M46" s="191"/>
      <c r="N46" s="191"/>
    </row>
    <row r="47" spans="2:18" ht="15" thickBot="1" x14ac:dyDescent="0.45">
      <c r="B47" s="73"/>
      <c r="C47" s="57"/>
      <c r="D47" s="58"/>
      <c r="E47" s="59"/>
      <c r="F47" s="228"/>
      <c r="G47" s="13"/>
      <c r="H47" s="32"/>
      <c r="I47" s="32"/>
      <c r="J47" s="32"/>
      <c r="K47" s="71"/>
      <c r="L47" s="191"/>
      <c r="M47" s="191"/>
      <c r="N47" s="191"/>
    </row>
    <row r="48" spans="2:18" ht="16.3" thickBot="1" x14ac:dyDescent="0.5">
      <c r="B48" s="305" t="s">
        <v>113</v>
      </c>
      <c r="C48" s="306"/>
      <c r="D48" s="306"/>
      <c r="E48" s="306"/>
      <c r="F48" s="307"/>
      <c r="G48" s="13"/>
      <c r="H48" s="32"/>
      <c r="I48" s="32"/>
      <c r="J48" s="32"/>
      <c r="K48" s="71"/>
      <c r="L48" s="191"/>
      <c r="M48" s="191"/>
      <c r="N48" s="191"/>
    </row>
    <row r="49" spans="1:18" ht="14.6" x14ac:dyDescent="0.4">
      <c r="B49" s="36" t="s">
        <v>12</v>
      </c>
      <c r="C49" s="37" t="s">
        <v>11</v>
      </c>
      <c r="D49" s="10">
        <v>2022</v>
      </c>
      <c r="E49" s="36" t="s">
        <v>7</v>
      </c>
      <c r="F49" s="36" t="s">
        <v>74</v>
      </c>
      <c r="G49" s="58"/>
      <c r="H49" s="229"/>
      <c r="I49" s="59"/>
      <c r="J49" s="228"/>
      <c r="K49" s="13"/>
      <c r="L49" s="32"/>
      <c r="M49" s="32"/>
      <c r="N49" s="32"/>
      <c r="O49" s="71"/>
      <c r="P49" s="191"/>
      <c r="Q49" s="191"/>
      <c r="R49" s="191"/>
    </row>
    <row r="50" spans="1:18" ht="17.149999999999999" x14ac:dyDescent="0.55000000000000004">
      <c r="B50" s="55" t="s">
        <v>114</v>
      </c>
      <c r="C50" s="39" t="s">
        <v>115</v>
      </c>
      <c r="D50" s="40">
        <f>D13+D22+D29</f>
        <v>12717.2412</v>
      </c>
      <c r="E50" s="41" t="s">
        <v>88</v>
      </c>
      <c r="F50" s="48"/>
      <c r="G50" s="58"/>
      <c r="H50" s="229"/>
      <c r="I50" s="59"/>
      <c r="J50" s="228"/>
      <c r="K50" s="13"/>
      <c r="L50" s="32"/>
      <c r="M50" s="32"/>
      <c r="N50" s="32"/>
      <c r="O50" s="71"/>
      <c r="P50" s="191"/>
      <c r="Q50" s="191"/>
      <c r="R50" s="191"/>
    </row>
    <row r="51" spans="1:18" ht="14.6" x14ac:dyDescent="0.4">
      <c r="B51" s="73"/>
      <c r="C51" s="57"/>
      <c r="D51" s="58"/>
      <c r="E51" s="59"/>
      <c r="F51" s="228"/>
      <c r="G51" s="13"/>
      <c r="H51" s="32"/>
      <c r="I51" s="32"/>
      <c r="J51" s="32"/>
      <c r="K51" s="71"/>
      <c r="L51" s="191"/>
      <c r="M51" s="191"/>
      <c r="N51" s="191"/>
    </row>
    <row r="52" spans="1:18" s="71" customFormat="1" x14ac:dyDescent="0.35">
      <c r="A52" s="2"/>
      <c r="B52" s="2"/>
      <c r="C52" s="2"/>
      <c r="D52" s="137"/>
      <c r="E52" s="137"/>
      <c r="F52" s="2"/>
      <c r="G52" s="2"/>
      <c r="H52" s="212"/>
      <c r="I52" s="212"/>
      <c r="J52" s="212"/>
    </row>
    <row r="53" spans="1:18" ht="15.9" x14ac:dyDescent="0.45">
      <c r="A53" s="77" t="s">
        <v>116</v>
      </c>
      <c r="G53" s="26"/>
    </row>
    <row r="54" spans="1:18" ht="13.3" thickBot="1" x14ac:dyDescent="0.4"/>
    <row r="55" spans="1:18" ht="16.3" thickBot="1" x14ac:dyDescent="0.5">
      <c r="B55" s="299" t="s">
        <v>117</v>
      </c>
      <c r="C55" s="300"/>
      <c r="D55" s="300"/>
      <c r="E55" s="300"/>
      <c r="F55" s="301"/>
      <c r="G55" s="77"/>
      <c r="H55" s="239" t="s">
        <v>118</v>
      </c>
    </row>
    <row r="56" spans="1:18" ht="14.6" x14ac:dyDescent="0.4">
      <c r="B56" s="147" t="s">
        <v>12</v>
      </c>
      <c r="C56" s="148" t="s">
        <v>11</v>
      </c>
      <c r="D56" s="10">
        <v>2022</v>
      </c>
      <c r="E56" s="148" t="s">
        <v>7</v>
      </c>
      <c r="F56" s="139" t="s">
        <v>74</v>
      </c>
      <c r="J56" s="2"/>
    </row>
    <row r="57" spans="1:18" ht="14.6" x14ac:dyDescent="0.35">
      <c r="B57" s="33" t="s">
        <v>119</v>
      </c>
      <c r="C57" s="182" t="s">
        <v>120</v>
      </c>
      <c r="D57" s="68">
        <f>'BE Manure - AMS-III D'!D6*1000</f>
        <v>48444000</v>
      </c>
      <c r="E57" s="34" t="s">
        <v>121</v>
      </c>
      <c r="F57" s="35" t="s">
        <v>185</v>
      </c>
      <c r="J57" s="2"/>
    </row>
    <row r="58" spans="1:18" ht="14.6" x14ac:dyDescent="0.45">
      <c r="B58" s="33" t="s">
        <v>122</v>
      </c>
      <c r="C58" s="34" t="s">
        <v>123</v>
      </c>
      <c r="D58" s="46">
        <v>4.18</v>
      </c>
      <c r="E58" s="34" t="s">
        <v>124</v>
      </c>
      <c r="F58" s="48" t="s">
        <v>125</v>
      </c>
      <c r="J58" s="2"/>
    </row>
    <row r="59" spans="1:18" ht="14.6" x14ac:dyDescent="0.45">
      <c r="B59" s="33" t="s">
        <v>126</v>
      </c>
      <c r="C59" s="34" t="s">
        <v>127</v>
      </c>
      <c r="D59" s="79">
        <v>10.8</v>
      </c>
      <c r="E59" s="34" t="s">
        <v>128</v>
      </c>
      <c r="F59" s="48" t="s">
        <v>129</v>
      </c>
      <c r="G59" s="38">
        <v>2</v>
      </c>
      <c r="J59" s="2"/>
    </row>
    <row r="60" spans="1:18" ht="14.6" x14ac:dyDescent="0.45">
      <c r="B60" s="33" t="s">
        <v>130</v>
      </c>
      <c r="C60" s="34" t="s">
        <v>131</v>
      </c>
      <c r="D60" s="47">
        <v>70</v>
      </c>
      <c r="E60" s="34" t="s">
        <v>128</v>
      </c>
      <c r="F60" s="48" t="s">
        <v>21</v>
      </c>
      <c r="H60" s="216"/>
      <c r="I60" s="216"/>
      <c r="J60" s="2"/>
    </row>
    <row r="61" spans="1:18" ht="15" thickBot="1" x14ac:dyDescent="0.5">
      <c r="B61" s="141" t="s">
        <v>132</v>
      </c>
      <c r="C61" s="44" t="s">
        <v>133</v>
      </c>
      <c r="D61" s="149">
        <v>100</v>
      </c>
      <c r="E61" s="44" t="s">
        <v>36</v>
      </c>
      <c r="F61" s="45" t="s">
        <v>84</v>
      </c>
      <c r="J61" s="2"/>
    </row>
    <row r="62" spans="1:18" ht="15" thickTop="1" x14ac:dyDescent="0.35">
      <c r="B62" s="142" t="s">
        <v>134</v>
      </c>
      <c r="C62" s="150" t="s">
        <v>135</v>
      </c>
      <c r="D62" s="151">
        <f>D57*D58*(D60-D59)*POWER(10,-9)*1/D61%</f>
        <v>11.987758464000001</v>
      </c>
      <c r="E62" s="145" t="s">
        <v>77</v>
      </c>
      <c r="F62" s="50"/>
      <c r="J62" s="2"/>
    </row>
    <row r="63" spans="1:18" ht="13.3" thickBot="1" x14ac:dyDescent="0.4">
      <c r="H63" s="217"/>
    </row>
    <row r="64" spans="1:18" ht="16.3" thickBot="1" x14ac:dyDescent="0.5">
      <c r="B64" s="305" t="s">
        <v>136</v>
      </c>
      <c r="C64" s="306"/>
      <c r="D64" s="306"/>
      <c r="E64" s="306"/>
      <c r="F64" s="307"/>
      <c r="G64" s="77"/>
    </row>
    <row r="65" spans="2:13" ht="14.6" x14ac:dyDescent="0.4">
      <c r="B65" s="147" t="s">
        <v>12</v>
      </c>
      <c r="C65" s="148" t="s">
        <v>11</v>
      </c>
      <c r="D65" s="10">
        <v>2022</v>
      </c>
      <c r="E65" s="148" t="s">
        <v>7</v>
      </c>
      <c r="F65" s="139" t="s">
        <v>74</v>
      </c>
      <c r="J65" s="2"/>
    </row>
    <row r="66" spans="2:13" ht="14.6" x14ac:dyDescent="0.35">
      <c r="B66" s="33" t="s">
        <v>137</v>
      </c>
      <c r="C66" s="140" t="s">
        <v>138</v>
      </c>
      <c r="D66" s="68">
        <f>D62</f>
        <v>11.987758464000001</v>
      </c>
      <c r="E66" s="34" t="s">
        <v>77</v>
      </c>
      <c r="F66" s="35" t="s">
        <v>139</v>
      </c>
      <c r="J66" s="2"/>
    </row>
    <row r="67" spans="2:13" ht="14.6" x14ac:dyDescent="0.45">
      <c r="B67" s="60" t="s">
        <v>140</v>
      </c>
      <c r="C67" s="140" t="s">
        <v>141</v>
      </c>
      <c r="D67" s="181">
        <v>56.4</v>
      </c>
      <c r="E67" s="152" t="s">
        <v>142</v>
      </c>
      <c r="F67" s="35" t="s">
        <v>81</v>
      </c>
      <c r="G67" s="38">
        <v>2</v>
      </c>
      <c r="J67" s="2"/>
    </row>
    <row r="68" spans="2:13" ht="15" thickBot="1" x14ac:dyDescent="0.4">
      <c r="B68" s="42" t="s">
        <v>143</v>
      </c>
      <c r="C68" s="146" t="s">
        <v>144</v>
      </c>
      <c r="D68" s="75">
        <v>100</v>
      </c>
      <c r="E68" s="44" t="s">
        <v>36</v>
      </c>
      <c r="F68" s="45" t="s">
        <v>145</v>
      </c>
      <c r="J68" s="2"/>
    </row>
    <row r="69" spans="2:13" ht="15.45" thickTop="1" x14ac:dyDescent="0.45">
      <c r="B69" s="153" t="s">
        <v>146</v>
      </c>
      <c r="C69" s="143" t="s">
        <v>147</v>
      </c>
      <c r="D69" s="144">
        <f>((D66/D68%)*D67)</f>
        <v>676.10957736960006</v>
      </c>
      <c r="E69" s="145" t="s">
        <v>148</v>
      </c>
      <c r="F69" s="145"/>
      <c r="G69" s="11">
        <v>0</v>
      </c>
      <c r="J69" s="2"/>
    </row>
    <row r="70" spans="2:13" ht="14.6" x14ac:dyDescent="0.4">
      <c r="B70" s="56"/>
      <c r="C70" s="57"/>
      <c r="D70" s="58"/>
      <c r="E70" s="58"/>
      <c r="F70" s="59"/>
      <c r="G70" s="59"/>
    </row>
    <row r="71" spans="2:13" ht="15" thickBot="1" x14ac:dyDescent="0.45">
      <c r="B71" s="56"/>
      <c r="C71" s="57"/>
      <c r="D71" s="58"/>
      <c r="E71" s="58"/>
      <c r="F71" s="59"/>
      <c r="G71" s="59"/>
    </row>
    <row r="72" spans="2:13" ht="16.3" thickBot="1" x14ac:dyDescent="0.5">
      <c r="B72" s="302" t="s">
        <v>149</v>
      </c>
      <c r="C72" s="303"/>
      <c r="D72" s="303"/>
      <c r="E72" s="303"/>
      <c r="F72" s="304"/>
      <c r="G72" s="77"/>
      <c r="H72" s="215"/>
    </row>
    <row r="73" spans="2:13" ht="14.6" x14ac:dyDescent="0.4">
      <c r="B73" s="147" t="s">
        <v>12</v>
      </c>
      <c r="C73" s="148" t="s">
        <v>11</v>
      </c>
      <c r="D73" s="10">
        <v>2022</v>
      </c>
      <c r="E73" s="148" t="s">
        <v>7</v>
      </c>
      <c r="F73" s="147" t="s">
        <v>74</v>
      </c>
      <c r="J73" s="2"/>
    </row>
    <row r="74" spans="2:13" ht="14.6" x14ac:dyDescent="0.45">
      <c r="B74" s="55" t="s">
        <v>150</v>
      </c>
      <c r="C74" s="143" t="s">
        <v>151</v>
      </c>
      <c r="D74" s="144">
        <f>+D50+D69</f>
        <v>13393.3507773696</v>
      </c>
      <c r="E74" s="145" t="s">
        <v>148</v>
      </c>
      <c r="F74" s="48"/>
      <c r="J74" s="2"/>
    </row>
    <row r="76" spans="2:13" x14ac:dyDescent="0.35">
      <c r="C76" s="26"/>
      <c r="D76" s="72"/>
      <c r="M76" s="30"/>
    </row>
    <row r="77" spans="2:13" x14ac:dyDescent="0.35">
      <c r="C77" s="27"/>
    </row>
    <row r="78" spans="2:13" x14ac:dyDescent="0.35">
      <c r="B78" s="281" t="s">
        <v>182</v>
      </c>
      <c r="C78" s="27"/>
    </row>
    <row r="79" spans="2:13" ht="14.15" x14ac:dyDescent="0.35">
      <c r="B79" s="280" t="s">
        <v>183</v>
      </c>
      <c r="C79" s="27"/>
    </row>
    <row r="80" spans="2:13" ht="14.15" x14ac:dyDescent="0.35">
      <c r="B80" s="2" t="s">
        <v>187</v>
      </c>
      <c r="C80" s="27"/>
    </row>
    <row r="81" spans="3:12" x14ac:dyDescent="0.35">
      <c r="C81" s="27"/>
      <c r="G81" s="26"/>
    </row>
    <row r="82" spans="3:12" ht="14.6" x14ac:dyDescent="0.35">
      <c r="C82" s="27"/>
      <c r="I82" s="218"/>
      <c r="J82" s="218"/>
      <c r="K82" s="15"/>
      <c r="L82" s="16"/>
    </row>
    <row r="83" spans="3:12" ht="14.6" x14ac:dyDescent="0.35">
      <c r="C83" s="27"/>
      <c r="I83" s="218"/>
      <c r="J83" s="218"/>
      <c r="K83" s="15"/>
      <c r="L83" s="16"/>
    </row>
    <row r="84" spans="3:12" ht="14.6" x14ac:dyDescent="0.35">
      <c r="C84" s="27"/>
      <c r="I84" s="218"/>
      <c r="J84" s="218"/>
      <c r="K84" s="15"/>
      <c r="L84" s="16"/>
    </row>
    <row r="85" spans="3:12" ht="14.6" x14ac:dyDescent="0.35">
      <c r="C85" s="27"/>
      <c r="I85" s="218"/>
      <c r="J85" s="218"/>
      <c r="K85" s="15"/>
      <c r="L85" s="16"/>
    </row>
    <row r="86" spans="3:12" ht="14.6" x14ac:dyDescent="0.35">
      <c r="C86" s="27"/>
      <c r="I86" s="218"/>
      <c r="J86" s="218"/>
      <c r="K86" s="15"/>
      <c r="L86" s="16"/>
    </row>
    <row r="87" spans="3:12" ht="14.6" x14ac:dyDescent="0.35">
      <c r="C87" s="27"/>
      <c r="I87" s="218"/>
      <c r="J87" s="218"/>
      <c r="K87" s="15"/>
      <c r="L87" s="16"/>
    </row>
    <row r="88" spans="3:12" ht="14.6" x14ac:dyDescent="0.35">
      <c r="C88" s="27"/>
      <c r="I88" s="218"/>
      <c r="J88" s="218"/>
      <c r="K88" s="15"/>
      <c r="L88" s="16"/>
    </row>
    <row r="89" spans="3:12" ht="14.6" x14ac:dyDescent="0.35">
      <c r="C89" s="27"/>
      <c r="J89" s="218"/>
      <c r="K89" s="15"/>
      <c r="L89" s="16"/>
    </row>
    <row r="90" spans="3:12" ht="14.6" x14ac:dyDescent="0.35">
      <c r="C90" s="27"/>
      <c r="I90" s="218"/>
      <c r="J90" s="218"/>
      <c r="K90" s="15"/>
      <c r="L90" s="16"/>
    </row>
    <row r="91" spans="3:12" ht="14.6" x14ac:dyDescent="0.35">
      <c r="C91" s="27"/>
      <c r="I91" s="218"/>
      <c r="J91" s="218"/>
      <c r="K91" s="15"/>
      <c r="L91" s="16"/>
    </row>
    <row r="92" spans="3:12" ht="14.6" x14ac:dyDescent="0.35">
      <c r="C92" s="27"/>
      <c r="I92" s="218"/>
      <c r="J92" s="218"/>
      <c r="K92" s="15"/>
      <c r="L92" s="16"/>
    </row>
    <row r="93" spans="3:12" ht="14.6" x14ac:dyDescent="0.35">
      <c r="C93" s="27"/>
      <c r="I93" s="218"/>
      <c r="J93" s="218"/>
      <c r="K93" s="15"/>
      <c r="L93" s="16"/>
    </row>
    <row r="94" spans="3:12" ht="14.6" x14ac:dyDescent="0.35">
      <c r="C94" s="27"/>
      <c r="I94" s="218"/>
      <c r="J94" s="218"/>
      <c r="K94" s="15"/>
      <c r="L94" s="16"/>
    </row>
    <row r="95" spans="3:12" ht="14.6" x14ac:dyDescent="0.35">
      <c r="C95" s="27"/>
      <c r="I95" s="218"/>
      <c r="J95" s="218"/>
      <c r="K95" s="15"/>
      <c r="L95" s="16"/>
    </row>
    <row r="96" spans="3:12" ht="14.6" x14ac:dyDescent="0.35">
      <c r="C96" s="27"/>
      <c r="I96" s="218"/>
      <c r="J96" s="218"/>
      <c r="K96" s="15"/>
      <c r="L96" s="16"/>
    </row>
    <row r="97" spans="2:12" ht="14.6" x14ac:dyDescent="0.35">
      <c r="C97" s="27"/>
      <c r="I97" s="218"/>
      <c r="J97" s="218"/>
      <c r="K97" s="15"/>
      <c r="L97" s="16"/>
    </row>
    <row r="98" spans="2:12" ht="14.6" x14ac:dyDescent="0.35">
      <c r="B98" s="31"/>
      <c r="C98" s="27"/>
      <c r="I98" s="218"/>
      <c r="J98" s="218"/>
      <c r="K98" s="15"/>
      <c r="L98" s="16"/>
    </row>
    <row r="99" spans="2:12" ht="14.6" x14ac:dyDescent="0.35">
      <c r="C99" s="24"/>
      <c r="I99" s="218"/>
      <c r="J99" s="218"/>
      <c r="K99" s="15"/>
      <c r="L99" s="16"/>
    </row>
    <row r="100" spans="2:12" ht="14.6" x14ac:dyDescent="0.35">
      <c r="C100" s="24"/>
      <c r="I100" s="218"/>
      <c r="J100" s="218"/>
      <c r="K100" s="15"/>
      <c r="L100" s="16"/>
    </row>
    <row r="101" spans="2:12" ht="14.6" x14ac:dyDescent="0.35">
      <c r="C101" s="24"/>
      <c r="I101" s="218"/>
      <c r="J101" s="218"/>
      <c r="K101" s="15"/>
      <c r="L101" s="16"/>
    </row>
    <row r="102" spans="2:12" ht="14.6" x14ac:dyDescent="0.35">
      <c r="C102" s="24"/>
      <c r="I102" s="218"/>
      <c r="J102" s="218"/>
      <c r="K102" s="15"/>
      <c r="L102" s="16"/>
    </row>
    <row r="103" spans="2:12" ht="14.6" x14ac:dyDescent="0.35">
      <c r="C103" s="24"/>
      <c r="I103" s="218"/>
      <c r="J103" s="218"/>
      <c r="K103" s="15"/>
      <c r="L103" s="16"/>
    </row>
    <row r="104" spans="2:12" ht="14.6" x14ac:dyDescent="0.35">
      <c r="C104" s="24"/>
      <c r="I104" s="218"/>
      <c r="J104" s="218"/>
      <c r="K104" s="15"/>
      <c r="L104" s="16"/>
    </row>
    <row r="105" spans="2:12" ht="14.6" x14ac:dyDescent="0.35">
      <c r="C105" s="24"/>
      <c r="H105" s="219"/>
      <c r="I105" s="218"/>
      <c r="J105" s="218"/>
      <c r="K105" s="15"/>
      <c r="L105" s="20"/>
    </row>
    <row r="106" spans="2:12" ht="14.6" x14ac:dyDescent="0.35">
      <c r="C106" s="24"/>
      <c r="H106" s="219"/>
      <c r="I106" s="218"/>
      <c r="J106" s="218"/>
      <c r="K106" s="15"/>
      <c r="L106" s="20"/>
    </row>
    <row r="107" spans="2:12" ht="14.6" x14ac:dyDescent="0.35">
      <c r="C107" s="24"/>
      <c r="H107" s="219"/>
      <c r="I107" s="218"/>
      <c r="J107" s="218"/>
      <c r="K107" s="15"/>
      <c r="L107" s="20"/>
    </row>
    <row r="108" spans="2:12" ht="14.6" x14ac:dyDescent="0.35">
      <c r="C108" s="24"/>
      <c r="H108" s="219"/>
      <c r="I108" s="218"/>
      <c r="J108" s="218"/>
      <c r="K108" s="15"/>
      <c r="L108" s="20"/>
    </row>
    <row r="109" spans="2:12" ht="14.6" x14ac:dyDescent="0.35">
      <c r="C109" s="24"/>
      <c r="H109" s="219"/>
      <c r="I109" s="218"/>
      <c r="J109" s="218"/>
      <c r="K109" s="15"/>
      <c r="L109" s="20"/>
    </row>
    <row r="110" spans="2:12" ht="14.6" x14ac:dyDescent="0.35">
      <c r="C110" s="24"/>
      <c r="H110" s="219"/>
      <c r="I110" s="218"/>
      <c r="J110" s="218"/>
      <c r="K110" s="15"/>
      <c r="L110" s="20"/>
    </row>
    <row r="111" spans="2:12" ht="14.6" x14ac:dyDescent="0.35">
      <c r="C111" s="28"/>
      <c r="H111" s="219"/>
      <c r="I111" s="218"/>
      <c r="J111" s="218"/>
      <c r="K111" s="15"/>
      <c r="L111" s="20"/>
    </row>
    <row r="112" spans="2:12" ht="14.6" x14ac:dyDescent="0.35">
      <c r="B112" s="30"/>
      <c r="H112" s="219"/>
      <c r="I112" s="218"/>
      <c r="J112" s="218"/>
      <c r="K112" s="15"/>
      <c r="L112" s="20"/>
    </row>
    <row r="113" spans="2:16" ht="14.6" x14ac:dyDescent="0.35">
      <c r="C113" s="24"/>
      <c r="H113" s="219"/>
      <c r="I113" s="218"/>
      <c r="J113" s="218"/>
      <c r="K113" s="15"/>
      <c r="L113" s="20"/>
    </row>
    <row r="114" spans="2:16" ht="14.6" x14ac:dyDescent="0.35">
      <c r="H114" s="219"/>
      <c r="I114" s="218"/>
      <c r="J114" s="218"/>
      <c r="K114" s="15"/>
      <c r="L114" s="20"/>
    </row>
    <row r="115" spans="2:16" ht="14.6" x14ac:dyDescent="0.35">
      <c r="C115" s="24"/>
      <c r="H115" s="219"/>
      <c r="I115" s="218"/>
      <c r="J115" s="218"/>
      <c r="K115" s="15"/>
      <c r="L115" s="20"/>
    </row>
    <row r="116" spans="2:16" ht="14.6" x14ac:dyDescent="0.35">
      <c r="F116" s="29"/>
      <c r="H116" s="219"/>
      <c r="I116" s="218"/>
      <c r="J116" s="218"/>
      <c r="K116" s="15"/>
      <c r="L116" s="20"/>
    </row>
    <row r="117" spans="2:16" ht="14.6" x14ac:dyDescent="0.35">
      <c r="B117" s="15"/>
      <c r="H117" s="219"/>
      <c r="I117" s="218"/>
      <c r="J117" s="218"/>
      <c r="K117" s="15"/>
      <c r="L117" s="16"/>
    </row>
    <row r="118" spans="2:16" ht="14.6" x14ac:dyDescent="0.35">
      <c r="B118" s="19"/>
      <c r="H118" s="220"/>
      <c r="I118" s="220"/>
      <c r="J118" s="220"/>
    </row>
    <row r="119" spans="2:16" ht="14.6" x14ac:dyDescent="0.35">
      <c r="N119" s="14"/>
      <c r="O119" s="17"/>
      <c r="P119" s="25"/>
    </row>
    <row r="120" spans="2:16" ht="14.6" x14ac:dyDescent="0.35">
      <c r="N120" s="14"/>
      <c r="O120" s="17"/>
      <c r="P120" s="25"/>
    </row>
    <row r="121" spans="2:16" ht="14.6" x14ac:dyDescent="0.35">
      <c r="N121" s="21"/>
      <c r="O121" s="17"/>
      <c r="P121" s="25"/>
    </row>
    <row r="122" spans="2:16" ht="14.6" x14ac:dyDescent="0.35">
      <c r="N122" s="22"/>
      <c r="O122" s="17"/>
      <c r="P122" s="25"/>
    </row>
    <row r="124" spans="2:16" x14ac:dyDescent="0.35">
      <c r="L124" s="23"/>
    </row>
  </sheetData>
  <mergeCells count="10">
    <mergeCell ref="A17:A19"/>
    <mergeCell ref="B8:F8"/>
    <mergeCell ref="B72:F72"/>
    <mergeCell ref="B64:F64"/>
    <mergeCell ref="B55:F55"/>
    <mergeCell ref="B40:F40"/>
    <mergeCell ref="B33:F33"/>
    <mergeCell ref="B24:F24"/>
    <mergeCell ref="B15:F15"/>
    <mergeCell ref="B48:F48"/>
  </mergeCells>
  <phoneticPr fontId="8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workbookViewId="0">
      <selection activeCell="D11" sqref="D11"/>
    </sheetView>
  </sheetViews>
  <sheetFormatPr baseColWidth="10" defaultColWidth="10.84375" defaultRowHeight="12.9" x14ac:dyDescent="0.35"/>
  <cols>
    <col min="1" max="1" width="5.69140625" style="2" customWidth="1"/>
    <col min="2" max="2" width="38.53515625" style="2" customWidth="1"/>
    <col min="3" max="5" width="17.53515625" style="2" customWidth="1"/>
    <col min="6" max="6" width="33.4609375" style="2" bestFit="1" customWidth="1"/>
    <col min="7" max="7" width="32.69140625" style="2" bestFit="1" customWidth="1"/>
    <col min="8" max="10" width="16.4609375" style="2" customWidth="1"/>
    <col min="11" max="16384" width="10.84375" style="2"/>
  </cols>
  <sheetData>
    <row r="1" spans="1:8" s="71" customFormat="1" ht="18.45" x14ac:dyDescent="0.5">
      <c r="A1" s="106" t="s">
        <v>152</v>
      </c>
    </row>
    <row r="3" spans="1:8" ht="21" x14ac:dyDescent="0.65">
      <c r="A3" s="9" t="s">
        <v>153</v>
      </c>
      <c r="D3" s="61"/>
      <c r="E3" s="61"/>
      <c r="G3" s="65"/>
      <c r="H3" s="66"/>
    </row>
    <row r="8" spans="1:8" ht="14.6" x14ac:dyDescent="0.35">
      <c r="B8" s="208" t="s">
        <v>12</v>
      </c>
      <c r="C8" s="18" t="s">
        <v>11</v>
      </c>
      <c r="D8" s="63">
        <v>2022</v>
      </c>
      <c r="E8" s="18" t="s">
        <v>7</v>
      </c>
      <c r="F8" s="18" t="s">
        <v>154</v>
      </c>
    </row>
    <row r="9" spans="1:8" ht="17.149999999999999" x14ac:dyDescent="0.55000000000000004">
      <c r="B9" s="33" t="s">
        <v>155</v>
      </c>
      <c r="C9" s="64" t="s">
        <v>156</v>
      </c>
      <c r="D9" s="68">
        <f>'Overview '!C7</f>
        <v>8584.0721126618191</v>
      </c>
      <c r="E9" s="254" t="s">
        <v>157</v>
      </c>
      <c r="F9" s="35" t="s">
        <v>158</v>
      </c>
    </row>
    <row r="10" spans="1:8" ht="15" thickBot="1" x14ac:dyDescent="0.45">
      <c r="B10" s="62" t="s">
        <v>159</v>
      </c>
      <c r="C10" s="67">
        <v>0.1</v>
      </c>
      <c r="D10" s="43">
        <v>0.1</v>
      </c>
      <c r="E10" s="234" t="s">
        <v>36</v>
      </c>
      <c r="F10" s="45" t="s">
        <v>160</v>
      </c>
    </row>
    <row r="11" spans="1:8" ht="17.600000000000001" thickTop="1" x14ac:dyDescent="0.55000000000000004">
      <c r="B11" s="49" t="s">
        <v>161</v>
      </c>
      <c r="C11" s="39" t="s">
        <v>162</v>
      </c>
      <c r="D11" s="40">
        <f t="shared" ref="D11" si="0">D9*D10</f>
        <v>858.407211266182</v>
      </c>
      <c r="E11" s="41" t="s">
        <v>163</v>
      </c>
      <c r="F11" s="41"/>
    </row>
    <row r="13" spans="1:8" x14ac:dyDescent="0.35">
      <c r="C13" s="26"/>
      <c r="D13" s="72"/>
    </row>
    <row r="14" spans="1:8" ht="13.3" x14ac:dyDescent="0.35">
      <c r="B14" s="78"/>
      <c r="C14" s="78"/>
    </row>
    <row r="15" spans="1:8" ht="13.3" x14ac:dyDescent="0.35">
      <c r="B15" s="78"/>
      <c r="C15"/>
    </row>
  </sheetData>
  <pageMargins left="0.7" right="0.7" top="0.78740157499999996" bottom="0.78740157499999996" header="0.3" footer="0.3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1"/>
  <sheetViews>
    <sheetView workbookViewId="0">
      <selection activeCell="D6" sqref="D6"/>
    </sheetView>
  </sheetViews>
  <sheetFormatPr baseColWidth="10" defaultColWidth="10.84375" defaultRowHeight="12.9" x14ac:dyDescent="0.35"/>
  <cols>
    <col min="1" max="1" width="6.23046875" style="2" customWidth="1"/>
    <col min="2" max="2" width="14.15234375" style="2" customWidth="1"/>
    <col min="3" max="6" width="23.69140625" style="2" customWidth="1"/>
    <col min="7" max="7" width="20.23046875" style="2" customWidth="1"/>
    <col min="8" max="9" width="23.69140625" style="2" customWidth="1"/>
    <col min="10" max="10" width="12.23046875" style="2" customWidth="1"/>
    <col min="11" max="14" width="12.23046875" style="24" customWidth="1"/>
    <col min="15" max="15" width="13" style="24" bestFit="1" customWidth="1"/>
    <col min="16" max="19" width="12.23046875" style="24" customWidth="1"/>
    <col min="20" max="20" width="12.23046875" style="2" customWidth="1"/>
    <col min="21" max="21" width="11.23046875" style="2" customWidth="1"/>
    <col min="22" max="16384" width="10.84375" style="2"/>
  </cols>
  <sheetData>
    <row r="1" spans="1:21" s="213" customFormat="1" ht="18.45" x14ac:dyDescent="0.5">
      <c r="A1" s="236" t="s">
        <v>164</v>
      </c>
      <c r="K1" s="235"/>
      <c r="L1" s="235"/>
      <c r="M1" s="235"/>
      <c r="N1" s="235"/>
      <c r="O1" s="235"/>
      <c r="P1" s="235"/>
      <c r="Q1" s="235"/>
      <c r="R1" s="235"/>
      <c r="S1" s="235"/>
    </row>
    <row r="2" spans="1:21" ht="15" customHeight="1" x14ac:dyDescent="0.5">
      <c r="A2" s="7"/>
      <c r="D2" s="23"/>
    </row>
    <row r="3" spans="1:21" ht="15" customHeight="1" x14ac:dyDescent="0.5">
      <c r="A3" s="7"/>
      <c r="G3" s="277"/>
      <c r="J3" s="9"/>
      <c r="K3" s="202"/>
    </row>
    <row r="4" spans="1:21" ht="34.5" customHeight="1" x14ac:dyDescent="0.45">
      <c r="B4" s="209" t="s">
        <v>165</v>
      </c>
      <c r="C4" s="194" t="s">
        <v>166</v>
      </c>
      <c r="D4" s="194" t="s">
        <v>167</v>
      </c>
      <c r="E4" s="206" t="s">
        <v>168</v>
      </c>
      <c r="F4" s="195" t="s">
        <v>169</v>
      </c>
      <c r="H4" s="203" t="s">
        <v>170</v>
      </c>
      <c r="I4" s="210"/>
      <c r="K4" s="202"/>
      <c r="N4" s="196"/>
      <c r="O4" s="196"/>
      <c r="P4" s="196"/>
      <c r="Q4" s="196"/>
      <c r="R4" s="196"/>
      <c r="S4" s="196"/>
      <c r="T4" s="74"/>
      <c r="U4" s="74"/>
    </row>
    <row r="5" spans="1:21" ht="13.2" customHeight="1" x14ac:dyDescent="0.4">
      <c r="B5" s="63"/>
      <c r="C5" s="192" t="s">
        <v>171</v>
      </c>
      <c r="D5" s="195" t="s">
        <v>172</v>
      </c>
      <c r="E5" s="193" t="s">
        <v>173</v>
      </c>
      <c r="F5" s="237" t="s">
        <v>174</v>
      </c>
      <c r="H5" s="74"/>
      <c r="I5" s="210"/>
      <c r="K5" s="202"/>
      <c r="N5" s="25"/>
      <c r="O5" s="25"/>
      <c r="P5" s="25"/>
      <c r="Q5" s="25"/>
      <c r="R5" s="25"/>
      <c r="S5" s="25"/>
    </row>
    <row r="6" spans="1:21" ht="14.6" x14ac:dyDescent="0.4">
      <c r="B6" s="35">
        <v>2022</v>
      </c>
      <c r="C6" s="222">
        <v>37247878</v>
      </c>
      <c r="D6" s="222">
        <f>B37</f>
        <v>16711925</v>
      </c>
      <c r="E6" s="223">
        <f t="shared" ref="E6" si="0">C6/D6/F6*10</f>
        <v>56.118010535257639</v>
      </c>
      <c r="F6" s="238">
        <f t="shared" ref="F6" si="1">(35.2+37.6+40.9+40.9+42+41.7)/6/100</f>
        <v>0.39716666666666667</v>
      </c>
      <c r="H6" s="54"/>
      <c r="I6" s="211"/>
      <c r="N6" s="25"/>
      <c r="O6" s="197"/>
      <c r="P6" s="197"/>
      <c r="Q6" s="197"/>
      <c r="R6" s="197"/>
      <c r="S6" s="197"/>
      <c r="T6" s="198"/>
      <c r="U6" s="198"/>
    </row>
    <row r="7" spans="1:21" ht="14.6" x14ac:dyDescent="0.4">
      <c r="B7" s="30"/>
      <c r="C7" s="202"/>
      <c r="D7" s="265"/>
      <c r="E7" s="266"/>
      <c r="F7" s="267"/>
      <c r="H7" s="54"/>
      <c r="I7" s="211"/>
      <c r="N7" s="199"/>
      <c r="O7" s="25"/>
      <c r="P7" s="25"/>
      <c r="Q7" s="25"/>
      <c r="R7" s="25"/>
      <c r="S7" s="25"/>
      <c r="T7" s="137"/>
      <c r="U7" s="137"/>
    </row>
    <row r="8" spans="1:21" ht="14.6" x14ac:dyDescent="0.4">
      <c r="C8" s="202"/>
      <c r="D8" s="200"/>
      <c r="E8" s="279"/>
      <c r="F8" s="201"/>
      <c r="H8" s="9"/>
      <c r="J8" s="24"/>
      <c r="N8" s="25"/>
      <c r="O8" s="197"/>
      <c r="P8" s="197"/>
      <c r="Q8" s="197"/>
      <c r="R8" s="197"/>
      <c r="S8" s="197"/>
      <c r="T8" s="198"/>
      <c r="U8" s="198"/>
    </row>
    <row r="9" spans="1:21" ht="14.6" x14ac:dyDescent="0.4">
      <c r="C9" s="202"/>
      <c r="D9" s="200"/>
      <c r="E9" s="279"/>
      <c r="F9" s="279"/>
      <c r="G9" s="205"/>
      <c r="H9" s="204"/>
      <c r="I9" s="54"/>
      <c r="J9" s="24"/>
      <c r="L9" s="2"/>
      <c r="N9" s="25"/>
      <c r="O9" s="197"/>
      <c r="P9" s="197"/>
      <c r="Q9" s="197"/>
      <c r="R9" s="197"/>
      <c r="S9" s="197"/>
      <c r="T9" s="198"/>
      <c r="U9" s="198"/>
    </row>
    <row r="10" spans="1:21" ht="14.6" x14ac:dyDescent="0.4">
      <c r="B10" s="262">
        <v>2022</v>
      </c>
      <c r="F10" s="235"/>
      <c r="G10" s="235"/>
      <c r="H10" s="24"/>
      <c r="I10" s="24"/>
      <c r="J10" s="25"/>
      <c r="K10" s="25"/>
      <c r="L10" s="25"/>
      <c r="M10" s="25"/>
      <c r="N10" s="25"/>
      <c r="O10" s="25"/>
      <c r="P10" s="2"/>
      <c r="Q10" s="137"/>
      <c r="R10" s="2"/>
      <c r="S10" s="2"/>
    </row>
    <row r="11" spans="1:21" x14ac:dyDescent="0.35">
      <c r="B11" s="268">
        <v>31056</v>
      </c>
      <c r="F11" s="240"/>
      <c r="G11" s="235"/>
      <c r="H11" s="24"/>
      <c r="I11" s="24"/>
      <c r="J11" s="25"/>
      <c r="K11" s="25"/>
      <c r="L11" s="25"/>
      <c r="M11" s="25"/>
      <c r="N11" s="25"/>
      <c r="O11" s="25"/>
      <c r="P11" s="2"/>
      <c r="Q11" s="137"/>
      <c r="R11" s="2"/>
      <c r="S11" s="2"/>
    </row>
    <row r="12" spans="1:21" x14ac:dyDescent="0.35">
      <c r="B12" s="268">
        <v>693500</v>
      </c>
      <c r="C12" s="249"/>
      <c r="F12" s="213"/>
      <c r="G12" s="235"/>
      <c r="H12" s="24"/>
      <c r="I12" s="24"/>
      <c r="J12" s="25"/>
      <c r="K12" s="25"/>
      <c r="L12" s="25"/>
      <c r="M12" s="25"/>
      <c r="N12" s="25"/>
      <c r="O12" s="25"/>
      <c r="P12" s="2"/>
      <c r="Q12" s="137"/>
      <c r="R12" s="2"/>
      <c r="S12" s="2"/>
    </row>
    <row r="13" spans="1:21" x14ac:dyDescent="0.35">
      <c r="B13" s="268" t="s">
        <v>175</v>
      </c>
      <c r="C13" s="249"/>
      <c r="G13" s="24"/>
      <c r="H13" s="24"/>
      <c r="I13" s="24"/>
      <c r="J13" s="25"/>
      <c r="K13" s="25"/>
      <c r="L13" s="25"/>
      <c r="M13" s="25"/>
      <c r="N13" s="25"/>
      <c r="O13" s="25"/>
      <c r="P13" s="2"/>
      <c r="Q13" s="137"/>
      <c r="R13" s="2"/>
      <c r="S13" s="2"/>
    </row>
    <row r="14" spans="1:21" x14ac:dyDescent="0.35">
      <c r="B14" s="268">
        <v>3537512</v>
      </c>
      <c r="C14" s="249"/>
      <c r="G14" s="25"/>
      <c r="H14" s="24"/>
      <c r="I14" s="25"/>
      <c r="J14" s="25"/>
      <c r="K14" s="25"/>
      <c r="L14" s="25"/>
      <c r="M14" s="25"/>
      <c r="N14" s="25"/>
      <c r="O14" s="25"/>
      <c r="P14" s="2"/>
      <c r="Q14" s="137"/>
      <c r="R14" s="2"/>
      <c r="S14" s="2"/>
    </row>
    <row r="15" spans="1:21" x14ac:dyDescent="0.35">
      <c r="B15" s="268">
        <v>36988</v>
      </c>
      <c r="C15" s="249"/>
      <c r="G15" s="25"/>
      <c r="H15" s="24"/>
      <c r="I15" s="25"/>
      <c r="J15" s="25"/>
      <c r="K15" s="25"/>
      <c r="L15" s="25"/>
      <c r="M15" s="25"/>
      <c r="N15" s="25"/>
      <c r="O15" s="25"/>
      <c r="P15" s="2"/>
      <c r="Q15" s="137"/>
      <c r="R15" s="2"/>
      <c r="S15" s="2"/>
    </row>
    <row r="16" spans="1:21" x14ac:dyDescent="0.35">
      <c r="B16" s="268">
        <v>3133116</v>
      </c>
      <c r="C16" s="249"/>
      <c r="G16" s="25"/>
      <c r="H16" s="24"/>
      <c r="I16" s="25"/>
      <c r="J16" s="25"/>
      <c r="K16" s="25"/>
      <c r="L16" s="25"/>
      <c r="M16" s="25"/>
      <c r="N16" s="25"/>
      <c r="O16" s="25"/>
      <c r="P16" s="2"/>
      <c r="Q16" s="137"/>
      <c r="R16" s="2"/>
      <c r="S16" s="2"/>
    </row>
    <row r="17" spans="2:19" x14ac:dyDescent="0.35">
      <c r="B17" s="268">
        <v>121422</v>
      </c>
      <c r="G17" s="25"/>
      <c r="H17" s="24"/>
      <c r="I17" s="25"/>
      <c r="J17" s="25"/>
      <c r="K17" s="25"/>
      <c r="L17" s="25"/>
      <c r="M17" s="25"/>
      <c r="N17" s="25"/>
      <c r="O17" s="25"/>
      <c r="P17" s="2"/>
      <c r="Q17" s="137"/>
      <c r="R17" s="2"/>
      <c r="S17" s="2"/>
    </row>
    <row r="18" spans="2:19" x14ac:dyDescent="0.35">
      <c r="B18" s="268">
        <v>3958206</v>
      </c>
      <c r="G18" s="25"/>
      <c r="H18" s="24"/>
      <c r="I18" s="25"/>
      <c r="J18" s="25"/>
      <c r="K18" s="25"/>
      <c r="L18" s="25"/>
      <c r="M18" s="25"/>
      <c r="N18" s="25"/>
      <c r="O18" s="25"/>
      <c r="P18" s="2"/>
      <c r="Q18" s="137"/>
      <c r="R18" s="2"/>
      <c r="S18" s="2"/>
    </row>
    <row r="19" spans="2:19" x14ac:dyDescent="0.35">
      <c r="B19" s="268">
        <v>219814</v>
      </c>
      <c r="G19" s="25"/>
      <c r="H19" s="24"/>
      <c r="I19" s="25"/>
      <c r="J19" s="25"/>
      <c r="K19" s="25"/>
      <c r="L19" s="25"/>
      <c r="M19" s="25"/>
      <c r="N19" s="25"/>
      <c r="O19" s="25"/>
      <c r="P19" s="2"/>
      <c r="Q19" s="137"/>
      <c r="R19" s="2"/>
      <c r="S19" s="2"/>
    </row>
    <row r="20" spans="2:19" x14ac:dyDescent="0.35">
      <c r="B20" s="268">
        <v>1601054</v>
      </c>
      <c r="G20" s="25"/>
      <c r="H20" s="24"/>
      <c r="I20" s="25"/>
      <c r="J20" s="25"/>
      <c r="K20" s="25"/>
      <c r="L20" s="25"/>
      <c r="M20" s="25"/>
      <c r="N20" s="25"/>
      <c r="O20" s="25"/>
      <c r="P20" s="2"/>
      <c r="Q20" s="137"/>
      <c r="R20" s="2"/>
      <c r="S20" s="2"/>
    </row>
    <row r="21" spans="2:19" x14ac:dyDescent="0.35">
      <c r="B21" s="268">
        <v>1641150</v>
      </c>
      <c r="G21" s="25"/>
      <c r="H21" s="24"/>
      <c r="I21" s="25"/>
      <c r="J21" s="25"/>
      <c r="K21" s="25"/>
      <c r="L21" s="25"/>
      <c r="M21" s="25"/>
      <c r="N21" s="25"/>
      <c r="O21" s="25"/>
      <c r="P21" s="2"/>
      <c r="Q21" s="137"/>
      <c r="R21" s="2"/>
      <c r="S21" s="2"/>
    </row>
    <row r="22" spans="2:19" x14ac:dyDescent="0.35">
      <c r="B22" s="268">
        <v>27368</v>
      </c>
      <c r="G22" s="25"/>
      <c r="H22" s="24"/>
      <c r="I22" s="25"/>
      <c r="J22" s="25"/>
      <c r="K22" s="25"/>
      <c r="L22" s="25"/>
      <c r="M22" s="25"/>
      <c r="N22" s="25"/>
      <c r="O22" s="25"/>
      <c r="P22" s="2"/>
      <c r="Q22" s="137"/>
      <c r="R22" s="2"/>
      <c r="S22" s="2"/>
    </row>
    <row r="23" spans="2:19" x14ac:dyDescent="0.35">
      <c r="B23" s="268">
        <v>240053</v>
      </c>
      <c r="G23" s="25"/>
      <c r="H23" s="24"/>
      <c r="I23" s="25"/>
      <c r="J23" s="25"/>
      <c r="K23" s="25"/>
      <c r="L23" s="25"/>
      <c r="M23" s="25"/>
      <c r="N23" s="25"/>
      <c r="O23" s="25"/>
      <c r="P23" s="2"/>
      <c r="Q23" s="137"/>
      <c r="R23" s="2"/>
      <c r="S23" s="2"/>
    </row>
    <row r="24" spans="2:19" x14ac:dyDescent="0.35">
      <c r="B24" s="268">
        <v>145288</v>
      </c>
      <c r="G24" s="25"/>
      <c r="H24" s="24"/>
      <c r="I24" s="25"/>
      <c r="J24" s="25"/>
      <c r="K24" s="25"/>
      <c r="L24" s="25"/>
      <c r="M24" s="25"/>
      <c r="N24" s="25"/>
      <c r="O24" s="25"/>
      <c r="P24" s="2"/>
      <c r="Q24" s="137"/>
      <c r="R24" s="2"/>
      <c r="S24" s="2"/>
    </row>
    <row r="25" spans="2:19" x14ac:dyDescent="0.35">
      <c r="B25" s="268" t="s">
        <v>175</v>
      </c>
      <c r="G25" s="25"/>
      <c r="H25" s="24"/>
      <c r="I25" s="25"/>
      <c r="J25" s="25"/>
      <c r="K25" s="25"/>
      <c r="L25" s="25"/>
      <c r="M25" s="25"/>
      <c r="N25" s="25"/>
      <c r="O25" s="25"/>
      <c r="P25" s="2"/>
      <c r="Q25" s="137"/>
      <c r="R25" s="2"/>
      <c r="S25" s="2"/>
    </row>
    <row r="26" spans="2:19" x14ac:dyDescent="0.35">
      <c r="B26" s="268">
        <v>254556</v>
      </c>
      <c r="G26" s="25"/>
      <c r="H26" s="24"/>
      <c r="I26" s="25"/>
      <c r="J26" s="25"/>
      <c r="K26" s="25"/>
      <c r="L26" s="25"/>
      <c r="M26" s="25"/>
      <c r="N26" s="25"/>
      <c r="O26" s="25"/>
      <c r="P26" s="2"/>
      <c r="Q26" s="137"/>
      <c r="R26" s="2"/>
      <c r="S26" s="2"/>
    </row>
    <row r="27" spans="2:19" x14ac:dyDescent="0.35">
      <c r="B27" s="268">
        <v>50472</v>
      </c>
      <c r="G27" s="25"/>
      <c r="H27" s="24"/>
      <c r="I27" s="25"/>
      <c r="J27" s="25"/>
      <c r="K27" s="25"/>
      <c r="L27" s="25"/>
      <c r="M27" s="25"/>
      <c r="N27" s="25"/>
      <c r="O27" s="25"/>
      <c r="P27" s="2"/>
      <c r="Q27" s="137"/>
      <c r="R27" s="2"/>
      <c r="S27" s="2"/>
    </row>
    <row r="28" spans="2:19" x14ac:dyDescent="0.35">
      <c r="B28" s="268">
        <v>888453</v>
      </c>
      <c r="G28" s="25"/>
      <c r="H28" s="24"/>
      <c r="I28" s="25"/>
      <c r="J28" s="25"/>
      <c r="K28" s="25"/>
      <c r="L28" s="25"/>
      <c r="M28" s="25"/>
      <c r="N28" s="25"/>
      <c r="O28" s="25"/>
      <c r="P28" s="2"/>
      <c r="Q28" s="137"/>
      <c r="R28" s="2"/>
      <c r="S28" s="2"/>
    </row>
    <row r="29" spans="2:19" x14ac:dyDescent="0.35">
      <c r="B29" s="268">
        <v>24892</v>
      </c>
      <c r="G29" s="25"/>
      <c r="H29" s="24"/>
      <c r="I29" s="25"/>
      <c r="J29" s="25"/>
      <c r="K29" s="25"/>
      <c r="L29" s="25"/>
      <c r="M29" s="25"/>
      <c r="N29" s="25"/>
      <c r="O29" s="25"/>
      <c r="P29" s="2"/>
      <c r="Q29" s="137"/>
      <c r="R29" s="2"/>
      <c r="S29" s="2"/>
    </row>
    <row r="30" spans="2:19" x14ac:dyDescent="0.35">
      <c r="B30" s="268">
        <v>4053</v>
      </c>
      <c r="G30" s="25"/>
      <c r="H30" s="24"/>
      <c r="I30" s="25"/>
      <c r="J30" s="25"/>
      <c r="K30" s="25"/>
      <c r="L30" s="25"/>
      <c r="M30" s="25"/>
      <c r="N30" s="25"/>
      <c r="O30" s="25"/>
      <c r="P30" s="2"/>
      <c r="Q30" s="137"/>
      <c r="R30" s="2"/>
      <c r="S30" s="2"/>
    </row>
    <row r="31" spans="2:19" x14ac:dyDescent="0.35">
      <c r="B31" s="268">
        <v>37646</v>
      </c>
      <c r="G31" s="25"/>
      <c r="H31" s="24"/>
      <c r="I31" s="25"/>
      <c r="J31" s="25"/>
      <c r="K31" s="25"/>
      <c r="L31" s="25"/>
      <c r="M31" s="25"/>
      <c r="N31" s="25"/>
      <c r="O31" s="25"/>
      <c r="P31" s="2"/>
      <c r="Q31" s="137"/>
      <c r="R31" s="2"/>
      <c r="S31" s="2"/>
    </row>
    <row r="32" spans="2:19" x14ac:dyDescent="0.35">
      <c r="B32" s="268">
        <v>2983</v>
      </c>
      <c r="G32" s="25"/>
      <c r="H32" s="24"/>
      <c r="I32" s="25"/>
      <c r="J32" s="25"/>
      <c r="K32" s="25"/>
      <c r="L32" s="25"/>
      <c r="M32" s="25"/>
      <c r="N32" s="25"/>
      <c r="O32" s="25"/>
      <c r="P32" s="2"/>
      <c r="Q32" s="137"/>
      <c r="R32" s="2"/>
      <c r="S32" s="2"/>
    </row>
    <row r="33" spans="2:19" x14ac:dyDescent="0.35">
      <c r="B33" s="268" t="s">
        <v>176</v>
      </c>
      <c r="G33" s="24"/>
      <c r="H33" s="24"/>
      <c r="I33" s="24"/>
      <c r="J33" s="24"/>
      <c r="P33" s="2"/>
      <c r="Q33" s="2"/>
      <c r="R33" s="2"/>
      <c r="S33" s="2"/>
    </row>
    <row r="34" spans="2:19" x14ac:dyDescent="0.35">
      <c r="B34" s="268">
        <v>62343</v>
      </c>
      <c r="G34" s="24"/>
      <c r="H34" s="24"/>
      <c r="I34" s="24"/>
      <c r="J34" s="24"/>
      <c r="P34" s="2"/>
      <c r="Q34" s="2"/>
      <c r="R34" s="2"/>
      <c r="S34" s="2"/>
    </row>
    <row r="35" spans="2:19" x14ac:dyDescent="0.35">
      <c r="B35" s="263"/>
      <c r="G35" s="24"/>
      <c r="H35" s="24"/>
      <c r="I35" s="24"/>
      <c r="J35" s="24"/>
      <c r="P35" s="2"/>
      <c r="Q35" s="2"/>
      <c r="R35" s="2"/>
      <c r="S35" s="2"/>
    </row>
    <row r="36" spans="2:19" ht="13.3" thickBot="1" x14ac:dyDescent="0.4">
      <c r="B36" s="264"/>
      <c r="G36" s="24"/>
      <c r="H36" s="24"/>
      <c r="I36" s="24"/>
      <c r="J36" s="24"/>
      <c r="P36" s="2"/>
      <c r="Q36" s="2"/>
      <c r="R36" s="2"/>
      <c r="S36" s="2"/>
    </row>
    <row r="37" spans="2:19" ht="13.3" thickTop="1" x14ac:dyDescent="0.35">
      <c r="B37" s="272">
        <f>SUM(B11:B34)</f>
        <v>16711925</v>
      </c>
      <c r="G37" s="24"/>
      <c r="H37" s="24"/>
      <c r="I37" s="24"/>
      <c r="J37" s="24"/>
      <c r="P37" s="2"/>
      <c r="Q37" s="2"/>
      <c r="R37" s="2"/>
      <c r="S37" s="2"/>
    </row>
    <row r="38" spans="2:19" x14ac:dyDescent="0.35">
      <c r="D38" s="241"/>
    </row>
    <row r="39" spans="2:19" x14ac:dyDescent="0.35">
      <c r="D39" s="241"/>
    </row>
    <row r="40" spans="2:19" x14ac:dyDescent="0.35">
      <c r="D40" s="241"/>
    </row>
    <row r="41" spans="2:19" x14ac:dyDescent="0.35">
      <c r="D41" s="241"/>
    </row>
  </sheetData>
  <pageMargins left="0.7" right="0.7" top="0.78740157499999996" bottom="0.78740157499999996" header="0.3" footer="0.3"/>
  <pageSetup paperSize="9" orientation="portrait" r:id="rId1"/>
  <ignoredErrors>
    <ignoredError sqref="B33" numberStoredAsText="1"/>
  </ignoredErrors>
  <drawing r:id="rId2"/>
  <legacyDrawing r:id="rId3"/>
  <oleObjects>
    <mc:AlternateContent xmlns:mc="http://schemas.openxmlformats.org/markup-compatibility/2006">
      <mc:Choice Requires="x14">
        <oleObject progId="Equation.3" shapeId="34817" r:id="rId4">
          <objectPr defaultSize="0" autoPict="0" r:id="rId5">
            <anchor moveWithCells="1" sizeWithCells="1">
              <from>
                <xdr:col>6</xdr:col>
                <xdr:colOff>1355271</xdr:colOff>
                <xdr:row>4</xdr:row>
                <xdr:rowOff>125186</xdr:rowOff>
              </from>
              <to>
                <xdr:col>8</xdr:col>
                <xdr:colOff>1126671</xdr:colOff>
                <xdr:row>8</xdr:row>
                <xdr:rowOff>97971</xdr:rowOff>
              </to>
            </anchor>
          </objectPr>
        </oleObject>
      </mc:Choice>
      <mc:Fallback>
        <oleObject progId="Equation.3" shapeId="34817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"/>
  <sheetViews>
    <sheetView workbookViewId="0">
      <selection activeCell="B22" sqref="B22"/>
    </sheetView>
  </sheetViews>
  <sheetFormatPr baseColWidth="10" defaultColWidth="11.4609375" defaultRowHeight="12.45" x14ac:dyDescent="0.3"/>
  <cols>
    <col min="1" max="1" width="6.69140625" customWidth="1"/>
    <col min="2" max="2" width="16.23046875" customWidth="1"/>
    <col min="3" max="3" width="29.84375" customWidth="1"/>
  </cols>
  <sheetData>
    <row r="1" spans="1:3" ht="18.45" x14ac:dyDescent="0.5">
      <c r="A1" s="7" t="s">
        <v>177</v>
      </c>
    </row>
    <row r="3" spans="1:3" ht="15.9" x14ac:dyDescent="0.3">
      <c r="B3" s="209" t="s">
        <v>165</v>
      </c>
      <c r="C3" s="194" t="s">
        <v>178</v>
      </c>
    </row>
    <row r="4" spans="1:3" ht="17.149999999999999" x14ac:dyDescent="0.3">
      <c r="B4" s="63"/>
      <c r="C4" s="192" t="s">
        <v>179</v>
      </c>
    </row>
    <row r="5" spans="1:3" ht="14.6" x14ac:dyDescent="0.4">
      <c r="B5" s="35">
        <v>2022</v>
      </c>
      <c r="C5" s="207">
        <f>93616-'BE Manure - AMS-III D'!D6</f>
        <v>45172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g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E 6 U N a s A A A D 3 A A A A E g A A A E N v b m Z p Z y 9 Q Y W N r Y W d l L n h t b I S P v Q 6 C M B z E d x P f g X S n X 2 7 k T x l Y H C Q x M T G u D T T Q C K 2 h x f J u D j 6 S r y B E U T f H u / s l d / e 4 3 S E b u z a 6 q t 5 p a 1 L E M E W R 8 9 J U s r V G p c h Y l I n 1 C v a y P M t a R R N t X D K 6 K k W N 9 5 e E k B A C D h t s + 5 p w S h k 5 F b t D 2 a h O o g + s / 8 O x N n N t q Z C A 4 2 u N 4 J h x h j n l m A J Z T C i 0 + Q J T T u f 0 x 4 R 8 a P 3 Q K 1 G p O N 8 C W S S Q 9 w f x B A A A / / 8 D A F B L A w Q U A A I A C A A A A C E A o s o V k B k C A A A n B Q A A E w A A A E Z v c m 1 1 b G F z L 1 N l Y 3 R p b 2 4 x L m 2 M V N 1 u 2 j A U v k f q O 1 j m J p F o F n 7 W / V R c U F h X p o 2 x w d a L h g u T H I K H Y 1 v 2 S b U J 8 T Z 7 g 0 l 7 g P X F Z h L G V K W F 5 i J W z v m + 7 / z 5 x E K M X E k y K c / m e a 1 m l 8 x A Q u p 0 y u Y C w v A V 8 c Y s B d L x K e k S A X h S I + 7 5 l I M Q 4 C z j Z B E U U O t d c g F B X 0 k E i d a j / d f R F w v G R k m m l M 2 Y l N E A 7 A q V j i 6 4 S p k l o / f R 2 H A Z c w 0 g S L v 9 I s o A 0 D C t l U H S C l s t c k p u w a T c I p e p + y j g U M B P y Z v e y L 2 v t 5 g w b L v j 8 9 d e o J M F 9 R v k Z p h p A Z n L h G 0 r 6 9 J m 0 K Y z v 1 F m v 6 + t u y t k f T N M u v u S 6 W x z M 2 D I Z j t 4 n V 7 d / V 6 C I S l Y z B c I 5 A p Y A m b b k Y I T j I 3 K F E J p t t 4 / I Z f H z t M T Y h I z w Y z t o s l h n 0 m d v o W 7 n 9 K x 0 O l P f + j / m l P D p F 0 o k / W V y D P p f K 7 H j 6 b S W K + p i 5 X k M V r l 2 k c b B B 2 D I H z H T Y O s a a n S c v a h x L N O s N U r H B f 8 m 3 A T r n t i 4 f f Y s 8 w J x y q B i s A 7 J n N m e I H z U E m / K l X G e F 6 h X s L c V L j 3 I R 8 Y M 3 j A X 0 q / r N h 7 2 n B x l N c M q w G B H 6 e 1 q l 3 I 5 R N 4 n Q d 4 4 g m 8 s 2 p 9 e Z q 7 S d s D 3 A l o h G w O 5 g D m o 9 u 7 w 4 i R u j 0 m M o D 4 G G S q k L F D 8 9 j u v S 7 v K Q e i 3 U 1 2 s B K f / f l V x c / L X 8 W e U g E 8 T B v v Q 4 C A F R o e c w S + u 2 C r 6 + V 9 x s Y / q X H 5 2 E a e / w U A A P / / A w B Q S w E C L Q A U A A Y A C A A A A C E A K t 2 q Q N I A A A A 3 A Q A A E w A A A A A A A A A A A A A A A A A A A A A A W 0 N v b n R l b n R f V H l w Z X N d L n h t b F B L A Q I t A B Q A A g A I A A A A I Q B M T p Q 1 q w A A A P c A A A A S A A A A A A A A A A A A A A A A A A s D A A B D b 2 5 m a W c v U G F j a 2 F n Z S 5 4 b W x Q S w E C L Q A U A A I A C A A A A C E A o s o V k B k C A A A n B Q A A E w A A A A A A A A A A A A A A A A D m A w A A R m 9 y b X V s Y X M v U 2 V j d G l v b j E u b V B L B Q Y A A A A A A w A D A M I A A A A w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R s A A A A A A A C L G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5 J T I w K F B h Z 2 U l M j A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T A t M D l U M T Q 6 M z I 6 N D g u N z U 5 M T k 0 N F o i L z 4 8 R W 5 0 c n k g V H l w Z T 0 i R m l s b E N v b H V t b l R 5 c G V z I i B W Y W x 1 Z T 0 i c 0 J n T U d B d 1 l H Q m d Z R 0 J n W U d C Z 1 l H Q m d Z R 0 J n W U d C Z 1 l H Q m d Z P S I v P j x F b n R y e S B U e X B l P S J G a W x s Q 2 9 s d W 1 u T m F t Z X M i I F Z h b H V l P S J z W y Z x d W 9 0 O 1 B y b 2 R 1 Y 3 R z b 2 9 y d C Z x d W 9 0 O y w m c X V v d D t D b 2 x 1 b W 4 y J n F 1 b 3 Q 7 L C Z x d W 9 0 O 0 J p a m x h Z 2 V c b k F h L 2 1 l c 3 R j b 2 R l J n F 1 b 3 Q 7 L C Z x d W 9 0 O 0 p h b n V h c m l c b i h 0 b 2 4 p J n F 1 b 3 Q 7 L C Z x d W 9 0 O 0 N v b H V t b j U m c X V v d D s s J n F 1 b 3 Q 7 R m V i c n V h c m l c b i h 0 b 2 4 p J n F 1 b 3 Q 7 L C Z x d W 9 0 O 0 1 h Y X J 0 X G 4 o d G 9 u K S Z x d W 9 0 O y w m c X V v d D t D b 2 x 1 b W 4 4 J n F 1 b 3 Q 7 L C Z x d W 9 0 O 0 F w c m l s X G 4 o d G 9 u K S Z x d W 9 0 O y w m c X V v d D t D b 2 x 1 b W 4 x M C Z x d W 9 0 O y w m c X V v d D t N Z W l c b i h 0 b 2 4 p J n F 1 b 3 Q 7 L C Z x d W 9 0 O 0 N v b H V t b j E y J n F 1 b 3 Q 7 L C Z x d W 9 0 O 0 p 1 b m l c b i h 0 b 2 4 p J n F 1 b 3 Q 7 L C Z x d W 9 0 O 0 N v b H V t b j E 0 J n F 1 b 3 Q 7 L C Z x d W 9 0 O 0 p 1 b G l c b i h 0 b 2 4 p J n F 1 b 3 Q 7 L C Z x d W 9 0 O 0 N v b H V t b j E 2 J n F 1 b 3 Q 7 L C Z x d W 9 0 O 0 F 1 Z 3 V z d H V z X G 4 o d G 9 u K S Z x d W 9 0 O y w m c X V v d D t T Z X B 0 Z W 1 i Z X J c b i h 0 b 2 4 p J n F 1 b 3 Q 7 L C Z x d W 9 0 O 0 9 r d G 9 i Z X J c b i h 0 b 2 4 p J n F 1 b 3 Q 7 L C Z x d W 9 0 O 0 5 v d m V t Y m V y X G 4 o d G 9 u K S Z x d W 9 0 O y w m c X V v d D t E Z W N l b W J l c l x u K H R v b i k m c X V v d D s s J n F 1 b 3 Q 7 V G 9 0 Y W F s X G 4 o d G 9 u K S Z x d W 9 0 O y w m c X V v d D t n Y X M g c H J v Z H V j d G l l I H B l c i B 0 b 2 5 c b i h t w r M p J n F 1 b 3 Q 7 L C Z x d W 9 0 O 2 J p b 2 d h c y B w c m 9 k d W N 0 a W U m c X V v d D s s J n F 1 b 3 Q 7 K G 3 C s y k m c X V v d D s s J n F 1 b 3 Q 7 U H J v Z H V j d G l l I G V s Z W t 0 c m l j a X R l a X R c b i h r V 2 g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Z D E 3 Z W E z Y y 0 5 N z N j L T Q 1 Y T I t O W Y 1 Z C 1 j Y T Q x N z g 2 O D h m Z m Y i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Q p L 0 F 1 d G 9 S Z W 1 v d m V k Q 2 9 s d W 1 u c z E u e 1 B y b 2 R 1 Y 3 R z b 2 9 y d C w w f S Z x d W 9 0 O y w m c X V v d D t T Z W N 0 a W 9 u M S 9 U Y W J s Z T A w O S A o U G F n Z S A 0 K S 9 B d X R v U m V t b 3 Z l Z E N v b H V t b n M x L n t D b 2 x 1 b W 4 y L D F 9 J n F 1 b 3 Q 7 L C Z x d W 9 0 O 1 N l Y 3 R p b 2 4 x L 1 R h Y m x l M D A 5 I C h Q Y W d l I D Q p L 0 F 1 d G 9 S Z W 1 v d m V k Q 2 9 s d W 1 u c z E u e 0 J p a m x h Z 2 V c b k F h L 2 1 l c 3 R j b 2 R l L D J 9 J n F 1 b 3 Q 7 L C Z x d W 9 0 O 1 N l Y 3 R p b 2 4 x L 1 R h Y m x l M D A 5 I C h Q Y W d l I D Q p L 0 F 1 d G 9 S Z W 1 v d m V k Q 2 9 s d W 1 u c z E u e 0 p h b n V h c m l c b i h 0 b 2 4 p L D N 9 J n F 1 b 3 Q 7 L C Z x d W 9 0 O 1 N l Y 3 R p b 2 4 x L 1 R h Y m x l M D A 5 I C h Q Y W d l I D Q p L 0 F 1 d G 9 S Z W 1 v d m V k Q 2 9 s d W 1 u c z E u e 0 N v b H V t b j U s N H 0 m c X V v d D s s J n F 1 b 3 Q 7 U 2 V j d G l v b j E v V G F i b G U w M D k g K F B h Z 2 U g N C k v Q X V 0 b 1 J l b W 9 2 Z W R D b 2 x 1 b W 5 z M S 5 7 R m V i c n V h c m l c b i h 0 b 2 4 p L D V 9 J n F 1 b 3 Q 7 L C Z x d W 9 0 O 1 N l Y 3 R p b 2 4 x L 1 R h Y m x l M D A 5 I C h Q Y W d l I D Q p L 0 F 1 d G 9 S Z W 1 v d m V k Q 2 9 s d W 1 u c z E u e 0 1 h Y X J 0 X G 4 o d G 9 u K S w 2 f S Z x d W 9 0 O y w m c X V v d D t T Z W N 0 a W 9 u M S 9 U Y W J s Z T A w O S A o U G F n Z S A 0 K S 9 B d X R v U m V t b 3 Z l Z E N v b H V t b n M x L n t D b 2 x 1 b W 4 4 L D d 9 J n F 1 b 3 Q 7 L C Z x d W 9 0 O 1 N l Y 3 R p b 2 4 x L 1 R h Y m x l M D A 5 I C h Q Y W d l I D Q p L 0 F 1 d G 9 S Z W 1 v d m V k Q 2 9 s d W 1 u c z E u e 0 F w c m l s X G 4 o d G 9 u K S w 4 f S Z x d W 9 0 O y w m c X V v d D t T Z W N 0 a W 9 u M S 9 U Y W J s Z T A w O S A o U G F n Z S A 0 K S 9 B d X R v U m V t b 3 Z l Z E N v b H V t b n M x L n t D b 2 x 1 b W 4 x M C w 5 f S Z x d W 9 0 O y w m c X V v d D t T Z W N 0 a W 9 u M S 9 U Y W J s Z T A w O S A o U G F n Z S A 0 K S 9 B d X R v U m V t b 3 Z l Z E N v b H V t b n M x L n t N Z W l c b i h 0 b 2 4 p L D E w f S Z x d W 9 0 O y w m c X V v d D t T Z W N 0 a W 9 u M S 9 U Y W J s Z T A w O S A o U G F n Z S A 0 K S 9 B d X R v U m V t b 3 Z l Z E N v b H V t b n M x L n t D b 2 x 1 b W 4 x M i w x M X 0 m c X V v d D s s J n F 1 b 3 Q 7 U 2 V j d G l v b j E v V G F i b G U w M D k g K F B h Z 2 U g N C k v Q X V 0 b 1 J l b W 9 2 Z W R D b 2 x 1 b W 5 z M S 5 7 S n V u a V x u K H R v b i k s M T J 9 J n F 1 b 3 Q 7 L C Z x d W 9 0 O 1 N l Y 3 R p b 2 4 x L 1 R h Y m x l M D A 5 I C h Q Y W d l I D Q p L 0 F 1 d G 9 S Z W 1 v d m V k Q 2 9 s d W 1 u c z E u e 0 N v b H V t b j E 0 L D E z f S Z x d W 9 0 O y w m c X V v d D t T Z W N 0 a W 9 u M S 9 U Y W J s Z T A w O S A o U G F n Z S A 0 K S 9 B d X R v U m V t b 3 Z l Z E N v b H V t b n M x L n t K d W x p X G 4 o d G 9 u K S w x N H 0 m c X V v d D s s J n F 1 b 3 Q 7 U 2 V j d G l v b j E v V G F i b G U w M D k g K F B h Z 2 U g N C k v Q X V 0 b 1 J l b W 9 2 Z W R D b 2 x 1 b W 5 z M S 5 7 Q 2 9 s d W 1 u M T Y s M T V 9 J n F 1 b 3 Q 7 L C Z x d W 9 0 O 1 N l Y 3 R p b 2 4 x L 1 R h Y m x l M D A 5 I C h Q Y W d l I D Q p L 0 F 1 d G 9 S Z W 1 v d m V k Q 2 9 s d W 1 u c z E u e 0 F 1 Z 3 V z d H V z X G 4 o d G 9 u K S w x N n 0 m c X V v d D s s J n F 1 b 3 Q 7 U 2 V j d G l v b j E v V G F i b G U w M D k g K F B h Z 2 U g N C k v Q X V 0 b 1 J l b W 9 2 Z W R D b 2 x 1 b W 5 z M S 5 7 U 2 V w d G V t Y m V y X G 4 o d G 9 u K S w x N 3 0 m c X V v d D s s J n F 1 b 3 Q 7 U 2 V j d G l v b j E v V G F i b G U w M D k g K F B h Z 2 U g N C k v Q X V 0 b 1 J l b W 9 2 Z W R D b 2 x 1 b W 5 z M S 5 7 T 2 t 0 b 2 J l c l x u K H R v b i k s M T h 9 J n F 1 b 3 Q 7 L C Z x d W 9 0 O 1 N l Y 3 R p b 2 4 x L 1 R h Y m x l M D A 5 I C h Q Y W d l I D Q p L 0 F 1 d G 9 S Z W 1 v d m V k Q 2 9 s d W 1 u c z E u e 0 5 v d m V t Y m V y X G 4 o d G 9 u K S w x O X 0 m c X V v d D s s J n F 1 b 3 Q 7 U 2 V j d G l v b j E v V G F i b G U w M D k g K F B h Z 2 U g N C k v Q X V 0 b 1 J l b W 9 2 Z W R D b 2 x 1 b W 5 z M S 5 7 R G V j Z W 1 i Z X J c b i h 0 b 2 4 p L D I w f S Z x d W 9 0 O y w m c X V v d D t T Z W N 0 a W 9 u M S 9 U Y W J s Z T A w O S A o U G F n Z S A 0 K S 9 B d X R v U m V t b 3 Z l Z E N v b H V t b n M x L n t U b 3 R h Y W x c b i h 0 b 2 4 p L D I x f S Z x d W 9 0 O y w m c X V v d D t T Z W N 0 a W 9 u M S 9 U Y W J s Z T A w O S A o U G F n Z S A 0 K S 9 B d X R v U m V t b 3 Z l Z E N v b H V t b n M x L n t n Y X M g c H J v Z H V j d G l l I H B l c i B 0 b 2 5 c b i h t w r M p L D I y f S Z x d W 9 0 O y w m c X V v d D t T Z W N 0 a W 9 u M S 9 U Y W J s Z T A w O S A o U G F n Z S A 0 K S 9 B d X R v U m V t b 3 Z l Z E N v b H V t b n M x L n t i a W 9 n Y X M g c H J v Z H V j d G l l L D I z f S Z x d W 9 0 O y w m c X V v d D t T Z W N 0 a W 9 u M S 9 U Y W J s Z T A w O S A o U G F n Z S A 0 K S 9 B d X R v U m V t b 3 Z l Z E N v b H V t b n M x L n s o b c K z K S w y N H 0 m c X V v d D s s J n F 1 b 3 Q 7 U 2 V j d G l v b j E v V G F i b G U w M D k g K F B h Z 2 U g N C k v Q X V 0 b 1 J l b W 9 2 Z W R D b 2 x 1 b W 5 z M S 5 7 U H J v Z H V j d G l l I G V s Z W t 0 c m l j a X R l a X R c b i h r V 2 g p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V G F i b G U w M D k g K F B h Z 2 U g N C k v Q X V 0 b 1 J l b W 9 2 Z W R D b 2 x 1 b W 5 z M S 5 7 U H J v Z H V j d H N v b 3 J 0 L D B 9 J n F 1 b 3 Q 7 L C Z x d W 9 0 O 1 N l Y 3 R p b 2 4 x L 1 R h Y m x l M D A 5 I C h Q Y W d l I D Q p L 0 F 1 d G 9 S Z W 1 v d m V k Q 2 9 s d W 1 u c z E u e 0 N v b H V t b j I s M X 0 m c X V v d D s s J n F 1 b 3 Q 7 U 2 V j d G l v b j E v V G F i b G U w M D k g K F B h Z 2 U g N C k v Q X V 0 b 1 J l b W 9 2 Z W R D b 2 x 1 b W 5 z M S 5 7 Q m l q b G F n Z V x u Q W E v b W V z d G N v Z G U s M n 0 m c X V v d D s s J n F 1 b 3 Q 7 U 2 V j d G l v b j E v V G F i b G U w M D k g K F B h Z 2 U g N C k v Q X V 0 b 1 J l b W 9 2 Z W R D b 2 x 1 b W 5 z M S 5 7 S m F u d W F y a V x u K H R v b i k s M 3 0 m c X V v d D s s J n F 1 b 3 Q 7 U 2 V j d G l v b j E v V G F i b G U w M D k g K F B h Z 2 U g N C k v Q X V 0 b 1 J l b W 9 2 Z W R D b 2 x 1 b W 5 z M S 5 7 Q 2 9 s d W 1 u N S w 0 f S Z x d W 9 0 O y w m c X V v d D t T Z W N 0 a W 9 u M S 9 U Y W J s Z T A w O S A o U G F n Z S A 0 K S 9 B d X R v U m V t b 3 Z l Z E N v b H V t b n M x L n t G Z W J y d W F y a V x u K H R v b i k s N X 0 m c X V v d D s s J n F 1 b 3 Q 7 U 2 V j d G l v b j E v V G F i b G U w M D k g K F B h Z 2 U g N C k v Q X V 0 b 1 J l b W 9 2 Z W R D b 2 x 1 b W 5 z M S 5 7 T W F h c n R c b i h 0 b 2 4 p L D Z 9 J n F 1 b 3 Q 7 L C Z x d W 9 0 O 1 N l Y 3 R p b 2 4 x L 1 R h Y m x l M D A 5 I C h Q Y W d l I D Q p L 0 F 1 d G 9 S Z W 1 v d m V k Q 2 9 s d W 1 u c z E u e 0 N v b H V t b j g s N 3 0 m c X V v d D s s J n F 1 b 3 Q 7 U 2 V j d G l v b j E v V G F i b G U w M D k g K F B h Z 2 U g N C k v Q X V 0 b 1 J l b W 9 2 Z W R D b 2 x 1 b W 5 z M S 5 7 Q X B y a W x c b i h 0 b 2 4 p L D h 9 J n F 1 b 3 Q 7 L C Z x d W 9 0 O 1 N l Y 3 R p b 2 4 x L 1 R h Y m x l M D A 5 I C h Q Y W d l I D Q p L 0 F 1 d G 9 S Z W 1 v d m V k Q 2 9 s d W 1 u c z E u e 0 N v b H V t b j E w L D l 9 J n F 1 b 3 Q 7 L C Z x d W 9 0 O 1 N l Y 3 R p b 2 4 x L 1 R h Y m x l M D A 5 I C h Q Y W d l I D Q p L 0 F 1 d G 9 S Z W 1 v d m V k Q 2 9 s d W 1 u c z E u e 0 1 l a V x u K H R v b i k s M T B 9 J n F 1 b 3 Q 7 L C Z x d W 9 0 O 1 N l Y 3 R p b 2 4 x L 1 R h Y m x l M D A 5 I C h Q Y W d l I D Q p L 0 F 1 d G 9 S Z W 1 v d m V k Q 2 9 s d W 1 u c z E u e 0 N v b H V t b j E y L D E x f S Z x d W 9 0 O y w m c X V v d D t T Z W N 0 a W 9 u M S 9 U Y W J s Z T A w O S A o U G F n Z S A 0 K S 9 B d X R v U m V t b 3 Z l Z E N v b H V t b n M x L n t K d W 5 p X G 4 o d G 9 u K S w x M n 0 m c X V v d D s s J n F 1 b 3 Q 7 U 2 V j d G l v b j E v V G F i b G U w M D k g K F B h Z 2 U g N C k v Q X V 0 b 1 J l b W 9 2 Z W R D b 2 x 1 b W 5 z M S 5 7 Q 2 9 s d W 1 u M T Q s M T N 9 J n F 1 b 3 Q 7 L C Z x d W 9 0 O 1 N l Y 3 R p b 2 4 x L 1 R h Y m x l M D A 5 I C h Q Y W d l I D Q p L 0 F 1 d G 9 S Z W 1 v d m V k Q 2 9 s d W 1 u c z E u e 0 p 1 b G l c b i h 0 b 2 4 p L D E 0 f S Z x d W 9 0 O y w m c X V v d D t T Z W N 0 a W 9 u M S 9 U Y W J s Z T A w O S A o U G F n Z S A 0 K S 9 B d X R v U m V t b 3 Z l Z E N v b H V t b n M x L n t D b 2 x 1 b W 4 x N i w x N X 0 m c X V v d D s s J n F 1 b 3 Q 7 U 2 V j d G l v b j E v V G F i b G U w M D k g K F B h Z 2 U g N C k v Q X V 0 b 1 J l b W 9 2 Z W R D b 2 x 1 b W 5 z M S 5 7 Q X V n d X N 0 d X N c b i h 0 b 2 4 p L D E 2 f S Z x d W 9 0 O y w m c X V v d D t T Z W N 0 a W 9 u M S 9 U Y W J s Z T A w O S A o U G F n Z S A 0 K S 9 B d X R v U m V t b 3 Z l Z E N v b H V t b n M x L n t T Z X B 0 Z W 1 i Z X J c b i h 0 b 2 4 p L D E 3 f S Z x d W 9 0 O y w m c X V v d D t T Z W N 0 a W 9 u M S 9 U Y W J s Z T A w O S A o U G F n Z S A 0 K S 9 B d X R v U m V t b 3 Z l Z E N v b H V t b n M x L n t P a 3 R v Y m V y X G 4 o d G 9 u K S w x O H 0 m c X V v d D s s J n F 1 b 3 Q 7 U 2 V j d G l v b j E v V G F i b G U w M D k g K F B h Z 2 U g N C k v Q X V 0 b 1 J l b W 9 2 Z W R D b 2 x 1 b W 5 z M S 5 7 T m 9 2 Z W 1 i Z X J c b i h 0 b 2 4 p L D E 5 f S Z x d W 9 0 O y w m c X V v d D t T Z W N 0 a W 9 u M S 9 U Y W J s Z T A w O S A o U G F n Z S A 0 K S 9 B d X R v U m V t b 3 Z l Z E N v b H V t b n M x L n t E Z W N l b W J l c l x u K H R v b i k s M j B 9 J n F 1 b 3 Q 7 L C Z x d W 9 0 O 1 N l Y 3 R p b 2 4 x L 1 R h Y m x l M D A 5 I C h Q Y W d l I D Q p L 0 F 1 d G 9 S Z W 1 v d m V k Q 2 9 s d W 1 u c z E u e 1 R v d G F h b F x u K H R v b i k s M j F 9 J n F 1 b 3 Q 7 L C Z x d W 9 0 O 1 N l Y 3 R p b 2 4 x L 1 R h Y m x l M D A 5 I C h Q Y W d l I D Q p L 0 F 1 d G 9 S Z W 1 v d m V k Q 2 9 s d W 1 u c z E u e 2 d h c y B w c m 9 k d W N 0 a W U g c G V y I H R v b l x u K G 3 C s y k s M j J 9 J n F 1 b 3 Q 7 L C Z x d W 9 0 O 1 N l Y 3 R p b 2 4 x L 1 R h Y m x l M D A 5 I C h Q Y W d l I D Q p L 0 F 1 d G 9 S Z W 1 v d m V k Q 2 9 s d W 1 u c z E u e 2 J p b 2 d h c y B w c m 9 k d W N 0 a W U s M j N 9 J n F 1 b 3 Q 7 L C Z x d W 9 0 O 1 N l Y 3 R p b 2 4 x L 1 R h Y m x l M D A 5 I C h Q Y W d l I D Q p L 0 F 1 d G 9 S Z W 1 v d m V k Q 2 9 s d W 1 u c z E u e y h t w r M p L D I 0 f S Z x d W 9 0 O y w m c X V v d D t T Z W N 0 a W 9 u M S 9 U Y W J s Z T A w O S A o U G F n Z S A 0 K S 9 B d X R v U m V t b 3 Z l Z E N v b H V t b n M x L n t Q c m 9 k d W N 0 a W U g Z W x l a 3 R y a W N p d G V p d F x u K G t X a C k s M j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C k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C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0 K S 9 I J U M z J U I 2 a G V y J T I w Z 2 V z d H V m d G U l M j B I Z W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0 K S 9 H Z S V D M y V B N G 5 k Z X J 0 Z X I l M j B U e X A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k m s 9 0 C g o V K o v q x z C a 1 4 g c A A A A A A g A A A A A A A 2 Y A A M A A A A A Q A A A A e C 0 A 9 v F P A q 9 g S I 7 A A w G A F w A A A A A E g A A A o A A A A B A A A A C 1 G i R M u K I W 9 0 u 2 G y N q I 2 n f U A A A A C g z l Z F Y Y S Y o w j 2 4 E b u N i n C k U D n d V K k X U v P E z A 2 H S 0 5 v d I P c N k 6 2 Q A U H h p H h G G U m e Y c d E f 7 a s X U s o 6 r c G A T Q z B K 5 a a w p T 9 q S t P l j h C 5 P 0 Q j P F A A A A F k H D j 5 A g H 5 K w 4 k U b K b w Q I G 4 t O S d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D53BDD448B649A6517D16A62D4BB4" ma:contentTypeVersion="15" ma:contentTypeDescription="Ein neues Dokument erstellen." ma:contentTypeScope="" ma:versionID="3cf53f173f9a47565558ea0e9f80034d">
  <xsd:schema xmlns:xsd="http://www.w3.org/2001/XMLSchema" xmlns:xs="http://www.w3.org/2001/XMLSchema" xmlns:p="http://schemas.microsoft.com/office/2006/metadata/properties" xmlns:ns2="7ca3d383-1f55-45f6-8c4b-700fa9864a4f" xmlns:ns3="89ba5e8a-041f-419c-8c28-74ac63adf4ea" targetNamespace="http://schemas.microsoft.com/office/2006/metadata/properties" ma:root="true" ma:fieldsID="048415a84f4aca771ee8b2ef79d17d16" ns2:_="" ns3:_="">
    <xsd:import namespace="7ca3d383-1f55-45f6-8c4b-700fa9864a4f"/>
    <xsd:import namespace="89ba5e8a-041f-419c-8c28-74ac63adf4e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a3d383-1f55-45f6-8c4b-700fa9864a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b648f48d-85a7-424d-af88-4c7331119079}" ma:internalName="TaxCatchAll" ma:showField="CatchAllData" ma:web="7ca3d383-1f55-45f6-8c4b-700fa9864a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a5e8a-041f-419c-8c28-74ac63adf4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058b5545-f9af-4778-b81a-1d650be88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a3d383-1f55-45f6-8c4b-700fa9864a4f" xsi:nil="true"/>
    <lcf76f155ced4ddcb4097134ff3c332f xmlns="89ba5e8a-041f-419c-8c28-74ac63adf4ea">
      <Terms xmlns="http://schemas.microsoft.com/office/infopath/2007/PartnerControls"/>
    </lcf76f155ced4ddcb4097134ff3c332f>
    <_dlc_DocId xmlns="7ca3d383-1f55-45f6-8c4b-700fa9864a4f">KQRU2QVKV3FE-63532325-30244</_dlc_DocId>
    <_dlc_DocIdUrl xmlns="7ca3d383-1f55-45f6-8c4b-700fa9864a4f">
      <Url>https://firstclimateag.sharepoint.com/sites/FirstClimate-intern/_layouts/15/DocIdRedir.aspx?ID=KQRU2QVKV3FE-63532325-30244</Url>
      <Description>KQRU2QVKV3FE-63532325-30244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535C49C-DE71-4B05-81D9-D4698A73D5D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D58309C-4BCE-4240-9B90-02DAAFFE07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6A3DB4-4925-4385-94AC-6952987D7465}"/>
</file>

<file path=customXml/itemProps4.xml><?xml version="1.0" encoding="utf-8"?>
<ds:datastoreItem xmlns:ds="http://schemas.openxmlformats.org/officeDocument/2006/customXml" ds:itemID="{3A990282-ACD8-4D4D-957B-8E4316F7191F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65492df7-a2f5-4e02-a230-4bf94d85bb40"/>
    <ds:schemaRef ds:uri="http://purl.org/dc/dcmitype/"/>
    <ds:schemaRef ds:uri="http://purl.org/dc/terms/"/>
    <ds:schemaRef ds:uri="http://schemas.microsoft.com/office/infopath/2007/PartnerControls"/>
    <ds:schemaRef ds:uri="dd1b43a4-58ce-49d2-9fee-203cea7beb2a"/>
    <ds:schemaRef ds:uri="http://www.w3.org/XML/1998/namespace"/>
    <ds:schemaRef ds:uri="f112fe92-de0e-4bc6-9ec2-87a33e4d0d43"/>
    <ds:schemaRef ds:uri="a5322561-a19b-47d7-859c-b977f3e6a72b"/>
  </ds:schemaRefs>
</ds:datastoreItem>
</file>

<file path=customXml/itemProps5.xml><?xml version="1.0" encoding="utf-8"?>
<ds:datastoreItem xmlns:ds="http://schemas.openxmlformats.org/officeDocument/2006/customXml" ds:itemID="{AD17F745-8287-422C-82BB-9CD640E5BAB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Overview </vt:lpstr>
      <vt:lpstr>BE Manure - AMS-III D</vt:lpstr>
      <vt:lpstr>BE Heat - AMS-I C</vt:lpstr>
      <vt:lpstr>PE - Physical leakage</vt:lpstr>
      <vt:lpstr>Biogas production</vt:lpstr>
      <vt:lpstr>Co-Substrates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p.kalathas@ges-energie.de</dc:creator>
  <cp:keywords/>
  <dc:description/>
  <cp:lastModifiedBy>Pauline Kalathas</cp:lastModifiedBy>
  <cp:revision/>
  <dcterms:created xsi:type="dcterms:W3CDTF">2017-05-23T08:36:43Z</dcterms:created>
  <dcterms:modified xsi:type="dcterms:W3CDTF">2024-09-11T09:13:04Z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0x0101000A5D53BDD448B649A6517D16A62D4BB4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_dlc_DocIdItemGuid">
    <vt:lpwstr>a659fdbd-2bd4-4a40-b660-144e20f3f87e</vt:lpwstr>
  </property>
</Properties>
</file>