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7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zeyneppinarozturk/Library/Mobile Documents/com~apple~CloudDocs/Documents/Pakistan/Validation/ITR/"/>
    </mc:Choice>
  </mc:AlternateContent>
  <xr:revisionPtr revIDLastSave="0" documentId="13_ncr:1_{B86E769D-5346-9943-91B5-D5978C3036CE}" xr6:coauthVersionLast="47" xr6:coauthVersionMax="47" xr10:uidLastSave="{00000000-0000-0000-0000-000000000000}"/>
  <bookViews>
    <workbookView xWindow="14500" yWindow="500" windowWidth="28800" windowHeight="15800" xr2:uid="{00000000-000D-0000-FFFF-FFFF00000000}"/>
  </bookViews>
  <sheets>
    <sheet name="IPCC Tier-1" sheetId="8" r:id="rId1"/>
    <sheet name="Project Emissions" sheetId="7" r:id="rId2"/>
    <sheet name="SDG 13" sheetId="9" r:id="rId3"/>
    <sheet name="SDG 1" sheetId="5" r:id="rId4"/>
    <sheet name="SDG 6" sheetId="6" r:id="rId5"/>
    <sheet name="Residue Management" sheetId="10" r:id="rId6"/>
  </sheets>
  <definedNames>
    <definedName name="_ftn1" localSheetId="0">'IPCC Tier-1'!#REF!</definedName>
    <definedName name="_ftnref1" localSheetId="0">'IPCC Tier-1'!#REF!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" i="6" l="1"/>
  <c r="C6" i="6"/>
  <c r="C7" i="6"/>
  <c r="C9" i="6"/>
  <c r="K32" i="10"/>
  <c r="K31" i="10"/>
  <c r="J31" i="10"/>
  <c r="J32" i="10"/>
  <c r="I31" i="10"/>
  <c r="I32" i="10"/>
  <c r="D32" i="10"/>
  <c r="D29" i="10"/>
  <c r="C14" i="10"/>
  <c r="C13" i="10"/>
  <c r="C12" i="10"/>
  <c r="C11" i="10"/>
  <c r="C10" i="10"/>
  <c r="E19" i="10"/>
  <c r="E18" i="10"/>
  <c r="C5" i="10"/>
  <c r="C22" i="8"/>
  <c r="C7" i="10"/>
  <c r="F18" i="10"/>
  <c r="G18" i="10"/>
  <c r="D20" i="10"/>
  <c r="C6" i="10"/>
  <c r="C31" i="8"/>
  <c r="D27" i="8"/>
  <c r="D22" i="8"/>
  <c r="C5" i="6"/>
  <c r="A22" i="8"/>
  <c r="E20" i="8"/>
  <c r="D4" i="7"/>
  <c r="E21" i="8"/>
  <c r="H19" i="8"/>
  <c r="H20" i="8"/>
  <c r="H21" i="8"/>
  <c r="C28" i="7"/>
  <c r="B30" i="7"/>
  <c r="B36" i="7"/>
  <c r="B27" i="7"/>
  <c r="C27" i="7"/>
  <c r="D11" i="7"/>
  <c r="D12" i="7"/>
  <c r="C4" i="5"/>
  <c r="C5" i="5"/>
  <c r="C8" i="5"/>
  <c r="C9" i="5"/>
  <c r="C15" i="5"/>
  <c r="C16" i="5"/>
  <c r="C19" i="5"/>
  <c r="C23" i="5"/>
  <c r="C24" i="5"/>
  <c r="B13" i="8"/>
  <c r="D13" i="7"/>
  <c r="B17" i="7"/>
  <c r="F3" i="9"/>
  <c r="E7" i="8"/>
  <c r="J7" i="8"/>
  <c r="C39" i="7"/>
  <c r="B39" i="7"/>
  <c r="F19" i="10"/>
  <c r="E20" i="10"/>
  <c r="E22" i="8"/>
  <c r="D30" i="8"/>
  <c r="D29" i="8"/>
  <c r="D28" i="8"/>
  <c r="D26" i="8"/>
  <c r="B14" i="8"/>
  <c r="B44" i="7"/>
  <c r="B18" i="7"/>
  <c r="F4" i="9"/>
  <c r="F5" i="9"/>
  <c r="F6" i="9"/>
  <c r="F7" i="9"/>
  <c r="D5" i="7"/>
  <c r="K7" i="8"/>
  <c r="D4" i="9"/>
  <c r="F7" i="8"/>
  <c r="G19" i="10"/>
  <c r="J19" i="10"/>
  <c r="I19" i="10"/>
  <c r="K19" i="10"/>
  <c r="H19" i="10"/>
  <c r="F20" i="10"/>
  <c r="H18" i="10"/>
  <c r="I18" i="10"/>
  <c r="K18" i="10"/>
  <c r="J18" i="10"/>
  <c r="B7" i="7"/>
  <c r="B46" i="7"/>
  <c r="C44" i="7"/>
  <c r="C46" i="7"/>
  <c r="D51" i="7"/>
  <c r="D3" i="9"/>
  <c r="L7" i="8"/>
  <c r="C4" i="9"/>
  <c r="C5" i="9"/>
  <c r="C3" i="9"/>
  <c r="C13" i="9"/>
  <c r="J20" i="10"/>
  <c r="G20" i="10"/>
  <c r="H20" i="10"/>
  <c r="K20" i="10"/>
  <c r="I20" i="10"/>
  <c r="D8" i="7"/>
  <c r="D7" i="7"/>
  <c r="D5" i="9"/>
  <c r="D6" i="9"/>
  <c r="D7" i="9"/>
  <c r="D13" i="9"/>
  <c r="E3" i="9"/>
  <c r="G3" i="9"/>
  <c r="G13" i="9"/>
  <c r="E4" i="9"/>
  <c r="G4" i="9"/>
  <c r="D9" i="9"/>
  <c r="D11" i="9"/>
  <c r="C6" i="9"/>
  <c r="E5" i="9"/>
  <c r="G5" i="9"/>
  <c r="F9" i="9"/>
  <c r="F11" i="9"/>
  <c r="E6" i="9"/>
  <c r="G6" i="9"/>
  <c r="C7" i="9"/>
  <c r="E7" i="9"/>
  <c r="G7" i="9"/>
  <c r="C9" i="9"/>
  <c r="C11" i="9"/>
  <c r="E9" i="9"/>
  <c r="G9" i="9"/>
  <c r="G11" i="9"/>
  <c r="E11" i="9"/>
  <c r="D52" i="7"/>
</calcChain>
</file>

<file path=xl/sharedStrings.xml><?xml version="1.0" encoding="utf-8"?>
<sst xmlns="http://schemas.openxmlformats.org/spreadsheetml/2006/main" count="254" uniqueCount="203">
  <si>
    <t>SFw</t>
  </si>
  <si>
    <t>SFo</t>
  </si>
  <si>
    <t>Baseline</t>
  </si>
  <si>
    <t>Project</t>
  </si>
  <si>
    <t>Emission Factor</t>
  </si>
  <si>
    <t>Project Scenarios</t>
  </si>
  <si>
    <t>Emission Reduction Factor</t>
  </si>
  <si>
    <t>SFp</t>
  </si>
  <si>
    <t>ha</t>
  </si>
  <si>
    <t>day</t>
  </si>
  <si>
    <t>tCO2e/tCH4</t>
  </si>
  <si>
    <t xml:space="preserve">Cultivation period of rice in year y (days/year) </t>
  </si>
  <si>
    <t xml:space="preserve">Global warming potential of CH4 </t>
  </si>
  <si>
    <t>Rs</t>
  </si>
  <si>
    <t>Total savings by the project</t>
  </si>
  <si>
    <t>Rs/ha</t>
  </si>
  <si>
    <t>Total savings per ha</t>
  </si>
  <si>
    <t>https://iesco.com.pk/index.php/customer-services/tariff-guide</t>
  </si>
  <si>
    <t>Rs/kWh</t>
  </si>
  <si>
    <t>Unit price for electricity</t>
  </si>
  <si>
    <t>kWh/ha</t>
  </si>
  <si>
    <t>Energy saved on average</t>
  </si>
  <si>
    <t>7-8 irrigaiton events</t>
  </si>
  <si>
    <t>Irrigation events saved</t>
  </si>
  <si>
    <t>Energy consumed for irrigation of 1 ha</t>
  </si>
  <si>
    <t>kW</t>
  </si>
  <si>
    <t>Average pump power</t>
  </si>
  <si>
    <t>on average, electric motor power = 7.5 hp</t>
  </si>
  <si>
    <t>HP</t>
  </si>
  <si>
    <t>Avearge pump power</t>
  </si>
  <si>
    <t>hrs/ha</t>
  </si>
  <si>
    <t>Hours to irrigate one ha</t>
  </si>
  <si>
    <t>HP to kW</t>
  </si>
  <si>
    <r>
      <t>hrs/</t>
    </r>
    <r>
      <rPr>
        <sz val="10"/>
        <color theme="1"/>
        <rFont val="Arial"/>
        <family val="2"/>
      </rPr>
      <t>acre</t>
    </r>
  </si>
  <si>
    <t>Hours to irrigate one acre</t>
  </si>
  <si>
    <t>t</t>
  </si>
  <si>
    <t>t/ha</t>
  </si>
  <si>
    <t>Water saved per ha</t>
  </si>
  <si>
    <t>ha to acres</t>
  </si>
  <si>
    <t>7-8 irrigation events per season</t>
  </si>
  <si>
    <t>1000 gallons to m3</t>
  </si>
  <si>
    <t>m2 to ha</t>
  </si>
  <si>
    <t>m3/ha</t>
  </si>
  <si>
    <t>Water consumption/level per ha</t>
  </si>
  <si>
    <t>acres to m2</t>
  </si>
  <si>
    <r>
      <t>m3/</t>
    </r>
    <r>
      <rPr>
        <sz val="10"/>
        <color theme="1"/>
        <rFont val="Arial"/>
        <family val="2"/>
      </rPr>
      <t>acre</t>
    </r>
  </si>
  <si>
    <r>
      <t xml:space="preserve">Water consumption/level  per </t>
    </r>
    <r>
      <rPr>
        <sz val="10"/>
        <color theme="1"/>
        <rFont val="Arial"/>
        <family val="2"/>
      </rPr>
      <t>acre</t>
    </r>
  </si>
  <si>
    <t>inches to cm</t>
  </si>
  <si>
    <t>inches/acre</t>
  </si>
  <si>
    <t>Water level on field</t>
  </si>
  <si>
    <t>Conversion factors</t>
  </si>
  <si>
    <t xml:space="preserve">Unit </t>
  </si>
  <si>
    <t>Value</t>
  </si>
  <si>
    <t>Parameters</t>
  </si>
  <si>
    <t>Level of water</t>
  </si>
  <si>
    <t>cm/acre</t>
  </si>
  <si>
    <t>Amount of water per acre</t>
  </si>
  <si>
    <t>m3</t>
  </si>
  <si>
    <t>Amount of water per ha</t>
  </si>
  <si>
    <t>Saved irrigation events</t>
  </si>
  <si>
    <t xml:space="preserve">Total amunt of water saved per ha </t>
  </si>
  <si>
    <t>Total water saved by the project</t>
  </si>
  <si>
    <t>m3 or tons</t>
  </si>
  <si>
    <r>
      <t>EF_</t>
    </r>
    <r>
      <rPr>
        <sz val="12"/>
        <color theme="1"/>
        <rFont val="Calibri (Body)"/>
      </rPr>
      <t>BL,c</t>
    </r>
  </si>
  <si>
    <t>Type of fertilizer</t>
  </si>
  <si>
    <t>% N by weight</t>
  </si>
  <si>
    <t>kg/acre</t>
  </si>
  <si>
    <t>Urea</t>
  </si>
  <si>
    <t>DAP</t>
  </si>
  <si>
    <t>Total</t>
  </si>
  <si>
    <t>1 acre</t>
  </si>
  <si>
    <t>equals</t>
  </si>
  <si>
    <t>TOTAL</t>
  </si>
  <si>
    <t>L/acre</t>
  </si>
  <si>
    <t>L/ha</t>
  </si>
  <si>
    <t>tonne/TJ</t>
  </si>
  <si>
    <t>http://www.gcisc.org.pk/SNC_Pakistan.pdf</t>
  </si>
  <si>
    <t>Total tCO2</t>
  </si>
  <si>
    <t>MJ/l</t>
  </si>
  <si>
    <t>TJ/l</t>
  </si>
  <si>
    <t>tCO2/ l diesel</t>
  </si>
  <si>
    <t>Emissions per ha (tCO2/ha)</t>
  </si>
  <si>
    <t>Quantity of HSD used in Baseline scenario</t>
  </si>
  <si>
    <t>GCV of HSD</t>
  </si>
  <si>
    <t>Converted for lt diesel</t>
  </si>
  <si>
    <t>Share of land cultivated by tractor</t>
  </si>
  <si>
    <t>Difference</t>
  </si>
  <si>
    <t>Percentage to Total ERs</t>
  </si>
  <si>
    <t>Baseline scenario</t>
  </si>
  <si>
    <t>Project scenario</t>
  </si>
  <si>
    <t xml:space="preserve">Land Preparation </t>
  </si>
  <si>
    <t>N2O Emissions</t>
  </si>
  <si>
    <t>CO2 Emissions</t>
  </si>
  <si>
    <t>Section 2.4. Energy Efficiency in Agriculture Sector, National Action Plan</t>
  </si>
  <si>
    <t>https://neeca.pk/neecagov/neecafiles/DRAFT-NEEC-ACTION-PLAN-2023-2030.pdf</t>
  </si>
  <si>
    <t>Quantity of HSD used in Project scenario</t>
  </si>
  <si>
    <t>Source</t>
  </si>
  <si>
    <t>Table 5</t>
  </si>
  <si>
    <t>Table 4</t>
  </si>
  <si>
    <t>Table 6</t>
  </si>
  <si>
    <t>Calculated</t>
  </si>
  <si>
    <t>* https://cgspace.cgiar.org/bitstream/handle/10568/115013/WP%20365%20Aberdeen%20Rice%20cropping.pdf</t>
  </si>
  <si>
    <t xml:space="preserve">
Change the water regime from continuously to AWD</t>
  </si>
  <si>
    <t>For single cropping, continiously flooding</t>
  </si>
  <si>
    <t>Average number of cattles</t>
  </si>
  <si>
    <t xml:space="preserve">Average land holdings </t>
  </si>
  <si>
    <t>acre</t>
  </si>
  <si>
    <t>Animal dung used as farm manure</t>
  </si>
  <si>
    <t>Average droppings</t>
  </si>
  <si>
    <t>kg/head/day</t>
  </si>
  <si>
    <t>t/acre/year</t>
  </si>
  <si>
    <t>t/ha/year</t>
  </si>
  <si>
    <t>Farmyard manure applied</t>
  </si>
  <si>
    <t>SFo Calculation for Farmyard Manure</t>
  </si>
  <si>
    <t>No. of farmers</t>
  </si>
  <si>
    <t>Year </t>
  </si>
  <si>
    <t>Average land (acres)</t>
  </si>
  <si>
    <t>Total land (acres)</t>
  </si>
  <si>
    <t>700 (existing)</t>
  </si>
  <si>
    <t>25 </t>
  </si>
  <si>
    <t>1300 (new)</t>
  </si>
  <si>
    <t>33 </t>
  </si>
  <si>
    <t>Total land (ha)</t>
  </si>
  <si>
    <t>Area of project fields in year y (ha)- 2022</t>
  </si>
  <si>
    <t>Area of project fields in year y (ha)- 2023 onwards</t>
  </si>
  <si>
    <t>SFo (Farmyard manure)</t>
  </si>
  <si>
    <t>Year</t>
  </si>
  <si>
    <t>Baseline Emissions</t>
  </si>
  <si>
    <t>Project emissions</t>
  </si>
  <si>
    <t>Net Emision Reductions</t>
  </si>
  <si>
    <t>Annual Average</t>
  </si>
  <si>
    <t>percentage</t>
  </si>
  <si>
    <t>Country</t>
  </si>
  <si>
    <t>Share of rice area irrigated (year)[1]</t>
  </si>
  <si>
    <t xml:space="preserve">Share of rice area in the region </t>
  </si>
  <si>
    <t xml:space="preserve">Country specific EF </t>
  </si>
  <si>
    <t>India</t>
  </si>
  <si>
    <t>58.7% (2008)</t>
  </si>
  <si>
    <t>Bangladesh</t>
  </si>
  <si>
    <t>73% (2008)</t>
  </si>
  <si>
    <t>100% (2010)</t>
  </si>
  <si>
    <t>-</t>
  </si>
  <si>
    <t>Pakistan</t>
  </si>
  <si>
    <t>Nepal</t>
  </si>
  <si>
    <t>46% (2006)</t>
  </si>
  <si>
    <t>Sri Lanka</t>
  </si>
  <si>
    <t>74% (2006)</t>
  </si>
  <si>
    <t>[1] Rice Almanac 4th Edition</t>
  </si>
  <si>
    <r>
      <t>Rice Area (x10</t>
    </r>
    <r>
      <rPr>
        <vertAlign val="superscript"/>
        <sz val="11"/>
        <color rgb="FF4D4D4C"/>
        <rFont val="Verdana"/>
        <family val="2"/>
      </rPr>
      <t>3</t>
    </r>
    <r>
      <rPr>
        <sz val="11"/>
        <color rgb="FF4D4D4C"/>
        <rFont val="Verdana"/>
        <family val="2"/>
      </rPr>
      <t xml:space="preserve"> ha) (2010)</t>
    </r>
  </si>
  <si>
    <t>Total area harvested</t>
  </si>
  <si>
    <t>Mha</t>
  </si>
  <si>
    <t>Residue produced</t>
  </si>
  <si>
    <t>Mt</t>
  </si>
  <si>
    <t>Potential residue burned</t>
  </si>
  <si>
    <t xml:space="preserve"> Mt</t>
  </si>
  <si>
    <t>Residue produced per ha</t>
  </si>
  <si>
    <t>Potential residue burned per ha</t>
  </si>
  <si>
    <t>CO2 produced per ton</t>
  </si>
  <si>
    <t>t/t</t>
  </si>
  <si>
    <t>CO produced per ton</t>
  </si>
  <si>
    <t>PM</t>
  </si>
  <si>
    <t>Ash</t>
  </si>
  <si>
    <t>SO2</t>
  </si>
  <si>
    <t>Residue burned (t)</t>
  </si>
  <si>
    <t>tCO2</t>
  </si>
  <si>
    <t>tCO</t>
  </si>
  <si>
    <t>PM (ton)</t>
  </si>
  <si>
    <t>Ash (ton)</t>
  </si>
  <si>
    <t>SO2 (ton)</t>
  </si>
  <si>
    <t>GS Methodology</t>
  </si>
  <si>
    <t>1st year</t>
  </si>
  <si>
    <t>2nd year</t>
  </si>
  <si>
    <t>kgN/ha</t>
  </si>
  <si>
    <t>2nd year onwards</t>
  </si>
  <si>
    <t>PE (N2O)
Correction Factor</t>
  </si>
  <si>
    <t>N2O Correction</t>
  </si>
  <si>
    <t>Emision Reductions</t>
  </si>
  <si>
    <t>ER (tCO2 /acre)</t>
  </si>
  <si>
    <t>Baseline Scenario</t>
  </si>
  <si>
    <t>Project Scenario</t>
  </si>
  <si>
    <t>Production of residue per acre (kg/ac)</t>
  </si>
  <si>
    <t>Total incorporation (t/ha)</t>
  </si>
  <si>
    <t>Total (t/ha)</t>
  </si>
  <si>
    <t>Partial Incorporation (t/ha)</t>
  </si>
  <si>
    <t>Source:</t>
  </si>
  <si>
    <t>http://www.aerc.edu.pk/wp-content/uploads/2019/12/Paper-845-TANVIR-AHMED-V-1.pdf</t>
  </si>
  <si>
    <t>Table 2</t>
  </si>
  <si>
    <t>Project ID</t>
  </si>
  <si>
    <t>Project title</t>
  </si>
  <si>
    <t>Project Developer</t>
  </si>
  <si>
    <t xml:space="preserve">NetZeroAg Ltd </t>
  </si>
  <si>
    <t>Methane Reduction from Rice Cultivation in Punjab Pakistan</t>
  </si>
  <si>
    <t>100% removal (REM)</t>
  </si>
  <si>
    <t>100% burning (CBR)</t>
  </si>
  <si>
    <t>Removal of upper part burning of lower part (RPBL)</t>
  </si>
  <si>
    <t>Removal of upper part incorporation of lower part (RPIN)</t>
  </si>
  <si>
    <t>100% incorporation (IN)</t>
  </si>
  <si>
    <t>Partial incorporation (kg/ac) (RPBL)</t>
  </si>
  <si>
    <t>Total area cultivated by tractor (ha)</t>
  </si>
  <si>
    <t>EF (CO2) for Diesel*</t>
  </si>
  <si>
    <t>*Table 9, Pakistan 2nd National Communication</t>
  </si>
  <si>
    <t>No of farmers who applied AWD</t>
  </si>
  <si>
    <t>Amount of water  saved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</si>
</sst>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0.000"/>
    <numFmt numFmtId="167" formatCode="0.0%"/>
    <numFmt numFmtId="168" formatCode="_(* #,##0.000_);_(* \(#,##0.000\);_(* &quot;-&quot;??_);_(@_)"/>
    <numFmt numFmtId="169" formatCode="0.0000"/>
    <numFmt numFmtId="175" formatCode="#,##0.0000"/>
  </numFmts>
  <fonts count="21" x14ac:knownFonts="1">
    <font>
      <sz val="10"/>
      <color theme="1"/>
      <name val="Arial"/>
      <family val="2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 (Body)"/>
    </font>
    <font>
      <sz val="12"/>
      <color theme="1"/>
      <name val="Arial"/>
      <family val="2"/>
    </font>
    <font>
      <b/>
      <sz val="12"/>
      <color rgb="FF4C4C49"/>
      <name val="Verdana"/>
      <family val="2"/>
    </font>
    <font>
      <sz val="12"/>
      <color rgb="FF4C4C49"/>
      <name val="Verdana"/>
      <family val="2"/>
    </font>
    <font>
      <b/>
      <sz val="12"/>
      <color theme="1"/>
      <name val="Verdana"/>
      <family val="2"/>
    </font>
    <font>
      <sz val="12"/>
      <color theme="1"/>
      <name val="Verdana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u/>
      <sz val="10"/>
      <color theme="10"/>
      <name val="Arial"/>
      <family val="2"/>
    </font>
    <font>
      <sz val="11"/>
      <color rgb="FF4D4D4C"/>
      <name val="Verdana"/>
      <family val="2"/>
    </font>
    <font>
      <vertAlign val="superscript"/>
      <sz val="11"/>
      <color rgb="FF4D4D4C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8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8" fillId="0" borderId="0" applyNumberFormat="0" applyFill="0" applyBorder="0" applyAlignment="0" applyProtection="0"/>
  </cellStyleXfs>
  <cellXfs count="158">
    <xf numFmtId="0" fontId="0" fillId="0" borderId="0" xfId="0"/>
    <xf numFmtId="0" fontId="9" fillId="0" borderId="0" xfId="0" applyFont="1"/>
    <xf numFmtId="0" fontId="9" fillId="0" borderId="0" xfId="0" applyFont="1" applyAlignment="1">
      <alignment horizontal="left" vertical="center" wrapText="1"/>
    </xf>
    <xf numFmtId="0" fontId="7" fillId="0" borderId="0" xfId="2"/>
    <xf numFmtId="0" fontId="9" fillId="0" borderId="0" xfId="2" applyFont="1"/>
    <xf numFmtId="43" fontId="9" fillId="0" borderId="0" xfId="3" applyFont="1"/>
    <xf numFmtId="165" fontId="9" fillId="0" borderId="0" xfId="2" applyNumberFormat="1" applyFont="1"/>
    <xf numFmtId="165" fontId="7" fillId="0" borderId="0" xfId="2" applyNumberFormat="1"/>
    <xf numFmtId="2" fontId="7" fillId="0" borderId="0" xfId="2" applyNumberFormat="1"/>
    <xf numFmtId="166" fontId="7" fillId="0" borderId="0" xfId="2" applyNumberFormat="1"/>
    <xf numFmtId="0" fontId="7" fillId="0" borderId="0" xfId="0" applyFont="1"/>
    <xf numFmtId="0" fontId="7" fillId="0" borderId="0" xfId="0" applyFont="1" applyAlignment="1">
      <alignment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4" fontId="7" fillId="0" borderId="2" xfId="0" applyNumberFormat="1" applyFont="1" applyBorder="1" applyAlignment="1">
      <alignment horizontal="center" vertical="center"/>
    </xf>
    <xf numFmtId="4" fontId="7" fillId="0" borderId="1" xfId="0" applyNumberFormat="1" applyFont="1" applyBorder="1" applyAlignment="1">
      <alignment vertical="center"/>
    </xf>
    <xf numFmtId="4" fontId="7" fillId="0" borderId="2" xfId="0" applyNumberFormat="1" applyFont="1" applyBorder="1" applyAlignment="1">
      <alignment vertical="center"/>
    </xf>
    <xf numFmtId="0" fontId="7" fillId="0" borderId="0" xfId="0" applyFont="1" applyAlignment="1">
      <alignment horizontal="left" vertical="center" wrapText="1"/>
    </xf>
    <xf numFmtId="4" fontId="7" fillId="0" borderId="0" xfId="0" applyNumberFormat="1" applyFont="1" applyAlignment="1">
      <alignment horizontal="center" vertical="center" wrapText="1"/>
    </xf>
    <xf numFmtId="4" fontId="7" fillId="0" borderId="0" xfId="0" applyNumberFormat="1" applyFont="1" applyAlignment="1">
      <alignment horizontal="center" vertical="center"/>
    </xf>
    <xf numFmtId="4" fontId="7" fillId="0" borderId="0" xfId="0" applyNumberFormat="1" applyFont="1" applyAlignment="1">
      <alignment vertical="center"/>
    </xf>
    <xf numFmtId="0" fontId="11" fillId="0" borderId="0" xfId="0" applyFont="1" applyAlignment="1">
      <alignment wrapText="1"/>
    </xf>
    <xf numFmtId="0" fontId="12" fillId="0" borderId="3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9" fontId="13" fillId="0" borderId="6" xfId="4" applyFont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2" fontId="13" fillId="0" borderId="6" xfId="0" applyNumberFormat="1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13" fillId="0" borderId="8" xfId="0" applyFont="1" applyBorder="1" applyAlignment="1">
      <alignment vertical="center" wrapText="1"/>
    </xf>
    <xf numFmtId="0" fontId="13" fillId="0" borderId="9" xfId="0" applyFont="1" applyBorder="1" applyAlignment="1">
      <alignment vertical="center" wrapText="1"/>
    </xf>
    <xf numFmtId="2" fontId="13" fillId="0" borderId="11" xfId="0" applyNumberFormat="1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13" fillId="0" borderId="13" xfId="0" applyFont="1" applyBorder="1" applyAlignment="1">
      <alignment vertical="center" wrapText="1"/>
    </xf>
    <xf numFmtId="2" fontId="13" fillId="0" borderId="14" xfId="0" applyNumberFormat="1" applyFont="1" applyBorder="1" applyAlignment="1">
      <alignment vertical="center" wrapText="1"/>
    </xf>
    <xf numFmtId="0" fontId="14" fillId="0" borderId="0" xfId="0" applyFont="1"/>
    <xf numFmtId="0" fontId="15" fillId="0" borderId="0" xfId="0" applyFont="1"/>
    <xf numFmtId="2" fontId="15" fillId="0" borderId="0" xfId="0" applyNumberFormat="1" applyFont="1"/>
    <xf numFmtId="0" fontId="15" fillId="0" borderId="1" xfId="0" applyFont="1" applyBorder="1"/>
    <xf numFmtId="0" fontId="15" fillId="0" borderId="11" xfId="0" applyFont="1" applyBorder="1"/>
    <xf numFmtId="0" fontId="15" fillId="0" borderId="0" xfId="0" applyFont="1" applyAlignment="1">
      <alignment wrapText="1"/>
    </xf>
    <xf numFmtId="0" fontId="14" fillId="0" borderId="0" xfId="0" applyFont="1" applyAlignment="1">
      <alignment wrapText="1"/>
    </xf>
    <xf numFmtId="167" fontId="15" fillId="0" borderId="0" xfId="4" applyNumberFormat="1" applyFont="1"/>
    <xf numFmtId="0" fontId="14" fillId="0" borderId="15" xfId="0" applyFont="1" applyBorder="1"/>
    <xf numFmtId="0" fontId="15" fillId="0" borderId="7" xfId="0" applyFont="1" applyBorder="1"/>
    <xf numFmtId="0" fontId="14" fillId="0" borderId="12" xfId="0" applyFont="1" applyBorder="1" applyAlignment="1">
      <alignment wrapText="1"/>
    </xf>
    <xf numFmtId="168" fontId="15" fillId="0" borderId="13" xfId="1" applyNumberFormat="1" applyFont="1" applyBorder="1"/>
    <xf numFmtId="166" fontId="15" fillId="0" borderId="14" xfId="0" applyNumberFormat="1" applyFont="1" applyBorder="1"/>
    <xf numFmtId="0" fontId="14" fillId="0" borderId="8" xfId="0" applyFont="1" applyBorder="1" applyAlignment="1">
      <alignment wrapText="1"/>
    </xf>
    <xf numFmtId="0" fontId="14" fillId="0" borderId="9" xfId="0" applyFont="1" applyBorder="1" applyAlignment="1">
      <alignment wrapText="1"/>
    </xf>
    <xf numFmtId="9" fontId="15" fillId="0" borderId="1" xfId="4" applyFont="1" applyBorder="1"/>
    <xf numFmtId="0" fontId="14" fillId="0" borderId="7" xfId="0" applyFont="1" applyBorder="1"/>
    <xf numFmtId="0" fontId="14" fillId="0" borderId="10" xfId="0" applyFont="1" applyBorder="1" applyAlignment="1">
      <alignment wrapText="1"/>
    </xf>
    <xf numFmtId="9" fontId="15" fillId="0" borderId="11" xfId="0" applyNumberFormat="1" applyFont="1" applyBorder="1"/>
    <xf numFmtId="0" fontId="15" fillId="0" borderId="10" xfId="0" applyFont="1" applyBorder="1"/>
    <xf numFmtId="0" fontId="14" fillId="0" borderId="12" xfId="0" applyFont="1" applyBorder="1"/>
    <xf numFmtId="0" fontId="6" fillId="0" borderId="0" xfId="0" applyFont="1" applyAlignment="1">
      <alignment horizontal="left" vertical="center" wrapText="1"/>
    </xf>
    <xf numFmtId="4" fontId="6" fillId="0" borderId="0" xfId="0" applyNumberFormat="1" applyFont="1" applyAlignment="1">
      <alignment horizontal="center" vertical="center"/>
    </xf>
    <xf numFmtId="4" fontId="6" fillId="0" borderId="0" xfId="0" applyNumberFormat="1" applyFont="1" applyAlignment="1">
      <alignment vertical="center"/>
    </xf>
    <xf numFmtId="4" fontId="6" fillId="0" borderId="0" xfId="0" applyNumberFormat="1" applyFont="1" applyAlignment="1">
      <alignment horizontal="center" vertical="center" wrapText="1"/>
    </xf>
    <xf numFmtId="4" fontId="7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/>
    </xf>
    <xf numFmtId="4" fontId="6" fillId="0" borderId="1" xfId="0" applyNumberFormat="1" applyFont="1" applyBorder="1" applyAlignment="1">
      <alignment vertical="center"/>
    </xf>
    <xf numFmtId="0" fontId="6" fillId="0" borderId="2" xfId="0" applyFont="1" applyBorder="1" applyAlignment="1">
      <alignment horizontal="left" vertical="center" wrapText="1"/>
    </xf>
    <xf numFmtId="49" fontId="5" fillId="0" borderId="0" xfId="0" applyNumberFormat="1" applyFont="1" applyAlignment="1">
      <alignment horizontal="center" vertical="center"/>
    </xf>
    <xf numFmtId="3" fontId="7" fillId="0" borderId="0" xfId="0" applyNumberFormat="1" applyFont="1" applyAlignment="1">
      <alignment vertical="center"/>
    </xf>
    <xf numFmtId="164" fontId="9" fillId="0" borderId="0" xfId="1" applyNumberFormat="1" applyFont="1"/>
    <xf numFmtId="0" fontId="9" fillId="0" borderId="1" xfId="0" applyFont="1" applyBorder="1"/>
    <xf numFmtId="0" fontId="7" fillId="0" borderId="1" xfId="0" applyFont="1" applyBorder="1"/>
    <xf numFmtId="0" fontId="5" fillId="0" borderId="1" xfId="0" applyFont="1" applyBorder="1"/>
    <xf numFmtId="9" fontId="7" fillId="0" borderId="1" xfId="0" applyNumberFormat="1" applyFont="1" applyBorder="1"/>
    <xf numFmtId="2" fontId="7" fillId="0" borderId="1" xfId="0" applyNumberFormat="1" applyFont="1" applyBorder="1"/>
    <xf numFmtId="169" fontId="7" fillId="0" borderId="1" xfId="0" applyNumberFormat="1" applyFont="1" applyBorder="1"/>
    <xf numFmtId="0" fontId="11" fillId="0" borderId="1" xfId="0" applyFont="1" applyBorder="1" applyAlignment="1">
      <alignment wrapText="1"/>
    </xf>
    <xf numFmtId="0" fontId="11" fillId="0" borderId="1" xfId="0" applyFont="1" applyBorder="1"/>
    <xf numFmtId="0" fontId="16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164" fontId="11" fillId="0" borderId="1" xfId="1" applyNumberFormat="1" applyFont="1" applyBorder="1" applyAlignment="1">
      <alignment wrapText="1"/>
    </xf>
    <xf numFmtId="0" fontId="17" fillId="0" borderId="0" xfId="0" applyFont="1"/>
    <xf numFmtId="164" fontId="16" fillId="0" borderId="1" xfId="1" applyNumberFormat="1" applyFont="1" applyBorder="1" applyAlignment="1">
      <alignment wrapText="1"/>
    </xf>
    <xf numFmtId="164" fontId="11" fillId="0" borderId="1" xfId="1" applyNumberFormat="1" applyFont="1" applyBorder="1"/>
    <xf numFmtId="164" fontId="11" fillId="0" borderId="1" xfId="0" applyNumberFormat="1" applyFont="1" applyBorder="1" applyAlignment="1">
      <alignment wrapText="1"/>
    </xf>
    <xf numFmtId="164" fontId="15" fillId="0" borderId="11" xfId="1" applyNumberFormat="1" applyFont="1" applyBorder="1"/>
    <xf numFmtId="164" fontId="15" fillId="0" borderId="1" xfId="1" applyNumberFormat="1" applyFont="1" applyBorder="1"/>
    <xf numFmtId="164" fontId="15" fillId="0" borderId="13" xfId="1" applyNumberFormat="1" applyFont="1" applyBorder="1"/>
    <xf numFmtId="164" fontId="15" fillId="0" borderId="14" xfId="0" applyNumberFormat="1" applyFont="1" applyBorder="1"/>
    <xf numFmtId="164" fontId="15" fillId="0" borderId="0" xfId="0" applyNumberFormat="1" applyFont="1"/>
    <xf numFmtId="0" fontId="18" fillId="0" borderId="0" xfId="5" applyAlignment="1">
      <alignment vertical="center"/>
    </xf>
    <xf numFmtId="9" fontId="11" fillId="0" borderId="1" xfId="4" applyFont="1" applyBorder="1" applyAlignment="1">
      <alignment wrapText="1"/>
    </xf>
    <xf numFmtId="9" fontId="0" fillId="0" borderId="0" xfId="4" applyFont="1"/>
    <xf numFmtId="2" fontId="17" fillId="0" borderId="0" xfId="0" applyNumberFormat="1" applyFont="1"/>
    <xf numFmtId="167" fontId="17" fillId="0" borderId="0" xfId="4" applyNumberFormat="1" applyFont="1"/>
    <xf numFmtId="2" fontId="17" fillId="0" borderId="0" xfId="4" applyNumberFormat="1" applyFont="1"/>
    <xf numFmtId="2" fontId="8" fillId="0" borderId="0" xfId="4" applyNumberFormat="1" applyFont="1"/>
    <xf numFmtId="166" fontId="8" fillId="0" borderId="0" xfId="4" applyNumberFormat="1" applyFont="1"/>
    <xf numFmtId="43" fontId="0" fillId="0" borderId="1" xfId="0" applyNumberFormat="1" applyBorder="1"/>
    <xf numFmtId="164" fontId="0" fillId="0" borderId="1" xfId="0" applyNumberFormat="1" applyBorder="1"/>
    <xf numFmtId="4" fontId="4" fillId="0" borderId="1" xfId="0" applyNumberFormat="1" applyFont="1" applyBorder="1" applyAlignment="1">
      <alignment horizontal="center" vertical="center" wrapText="1"/>
    </xf>
    <xf numFmtId="0" fontId="14" fillId="2" borderId="0" xfId="0" applyFont="1" applyFill="1"/>
    <xf numFmtId="1" fontId="14" fillId="2" borderId="0" xfId="0" applyNumberFormat="1" applyFont="1" applyFill="1"/>
    <xf numFmtId="164" fontId="14" fillId="2" borderId="0" xfId="1" applyNumberFormat="1" applyFont="1" applyFill="1"/>
    <xf numFmtId="164" fontId="15" fillId="0" borderId="0" xfId="1" applyNumberFormat="1" applyFont="1"/>
    <xf numFmtId="0" fontId="3" fillId="0" borderId="0" xfId="2" applyFont="1"/>
    <xf numFmtId="1" fontId="7" fillId="0" borderId="0" xfId="2" applyNumberFormat="1"/>
    <xf numFmtId="0" fontId="17" fillId="0" borderId="1" xfId="0" applyFont="1" applyBorder="1"/>
    <xf numFmtId="0" fontId="17" fillId="0" borderId="1" xfId="0" applyFont="1" applyBorder="1" applyAlignment="1">
      <alignment wrapText="1"/>
    </xf>
    <xf numFmtId="0" fontId="0" fillId="0" borderId="1" xfId="0" applyBorder="1"/>
    <xf numFmtId="164" fontId="0" fillId="0" borderId="1" xfId="1" applyNumberFormat="1" applyFont="1" applyBorder="1"/>
    <xf numFmtId="164" fontId="8" fillId="0" borderId="1" xfId="1" applyNumberFormat="1" applyFont="1" applyBorder="1"/>
    <xf numFmtId="3" fontId="0" fillId="0" borderId="1" xfId="0" applyNumberFormat="1" applyBorder="1"/>
    <xf numFmtId="164" fontId="17" fillId="0" borderId="1" xfId="0" applyNumberFormat="1" applyFont="1" applyBorder="1"/>
    <xf numFmtId="2" fontId="0" fillId="0" borderId="0" xfId="0" applyNumberFormat="1"/>
    <xf numFmtId="10" fontId="0" fillId="0" borderId="0" xfId="0" applyNumberFormat="1"/>
    <xf numFmtId="43" fontId="0" fillId="0" borderId="0" xfId="0" applyNumberFormat="1"/>
    <xf numFmtId="164" fontId="0" fillId="0" borderId="0" xfId="0" applyNumberFormat="1"/>
    <xf numFmtId="0" fontId="19" fillId="0" borderId="3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7" fillId="0" borderId="0" xfId="0" applyFont="1" applyAlignment="1">
      <alignment wrapText="1"/>
    </xf>
    <xf numFmtId="2" fontId="17" fillId="0" borderId="0" xfId="0" applyNumberFormat="1" applyFont="1" applyAlignment="1">
      <alignment wrapText="1"/>
    </xf>
    <xf numFmtId="9" fontId="19" fillId="0" borderId="4" xfId="4" applyFont="1" applyBorder="1" applyAlignment="1">
      <alignment vertical="center" wrapText="1"/>
    </xf>
    <xf numFmtId="9" fontId="19" fillId="0" borderId="6" xfId="4" applyFont="1" applyBorder="1" applyAlignment="1">
      <alignment vertical="center" wrapText="1"/>
    </xf>
    <xf numFmtId="167" fontId="19" fillId="0" borderId="6" xfId="4" applyNumberFormat="1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2" fontId="0" fillId="0" borderId="1" xfId="0" applyNumberFormat="1" applyBorder="1"/>
    <xf numFmtId="0" fontId="0" fillId="0" borderId="7" xfId="0" applyBorder="1"/>
    <xf numFmtId="0" fontId="17" fillId="0" borderId="8" xfId="0" applyFont="1" applyBorder="1" applyAlignment="1">
      <alignment wrapText="1"/>
    </xf>
    <xf numFmtId="2" fontId="17" fillId="0" borderId="8" xfId="0" applyNumberFormat="1" applyFont="1" applyBorder="1" applyAlignment="1">
      <alignment wrapText="1"/>
    </xf>
    <xf numFmtId="2" fontId="17" fillId="0" borderId="9" xfId="0" applyNumberFormat="1" applyFont="1" applyBorder="1"/>
    <xf numFmtId="0" fontId="17" fillId="0" borderId="10" xfId="0" applyFont="1" applyBorder="1"/>
    <xf numFmtId="2" fontId="0" fillId="0" borderId="11" xfId="0" applyNumberFormat="1" applyBorder="1"/>
    <xf numFmtId="0" fontId="17" fillId="0" borderId="12" xfId="0" applyFont="1" applyBorder="1"/>
    <xf numFmtId="0" fontId="19" fillId="0" borderId="13" xfId="0" applyFont="1" applyBorder="1" applyAlignment="1">
      <alignment vertical="center" wrapText="1"/>
    </xf>
    <xf numFmtId="2" fontId="0" fillId="0" borderId="13" xfId="0" applyNumberFormat="1" applyBorder="1"/>
    <xf numFmtId="2" fontId="0" fillId="0" borderId="14" xfId="0" applyNumberFormat="1" applyBorder="1"/>
    <xf numFmtId="0" fontId="18" fillId="0" borderId="0" xfId="5"/>
    <xf numFmtId="0" fontId="2" fillId="0" borderId="0" xfId="0" applyFont="1"/>
    <xf numFmtId="0" fontId="14" fillId="0" borderId="0" xfId="0" applyFont="1" applyAlignment="1">
      <alignment horizontal="center" wrapText="1"/>
    </xf>
    <xf numFmtId="164" fontId="14" fillId="0" borderId="0" xfId="1" applyNumberFormat="1" applyFont="1" applyFill="1"/>
    <xf numFmtId="0" fontId="7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wrapText="1"/>
    </xf>
    <xf numFmtId="0" fontId="9" fillId="0" borderId="18" xfId="0" applyFont="1" applyBorder="1" applyAlignment="1">
      <alignment horizontal="center" wrapText="1"/>
    </xf>
    <xf numFmtId="0" fontId="9" fillId="0" borderId="19" xfId="0" applyFont="1" applyBorder="1" applyAlignment="1">
      <alignment horizontal="center" wrapText="1"/>
    </xf>
    <xf numFmtId="0" fontId="7" fillId="0" borderId="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4" fillId="2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2" applyFont="1"/>
    <xf numFmtId="3" fontId="7" fillId="0" borderId="0" xfId="2" applyNumberFormat="1"/>
    <xf numFmtId="164" fontId="7" fillId="0" borderId="0" xfId="1" applyNumberFormat="1" applyFont="1"/>
    <xf numFmtId="175" fontId="7" fillId="0" borderId="2" xfId="0" applyNumberFormat="1" applyFont="1" applyBorder="1" applyAlignment="1">
      <alignment horizontal="center" vertical="center" wrapText="1"/>
    </xf>
  </cellXfs>
  <cellStyles count="6">
    <cellStyle name="Comma" xfId="1" builtinId="3"/>
    <cellStyle name="Comma 2" xfId="3" xr:uid="{199B06C1-AFB9-7042-8260-D772E3432BF4}"/>
    <cellStyle name="Hyperlink" xfId="5" builtinId="8"/>
    <cellStyle name="Normal" xfId="0" builtinId="0"/>
    <cellStyle name="Normal 2" xfId="2" xr:uid="{90E2F6D8-D046-6F4B-BA99-71FE44518B51}"/>
    <cellStyle name="Percent" xfId="4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266700</xdr:colOff>
      <xdr:row>18</xdr:row>
      <xdr:rowOff>127000</xdr:rowOff>
    </xdr:from>
    <xdr:to>
      <xdr:col>5</xdr:col>
      <xdr:colOff>3035300</xdr:colOff>
      <xdr:row>34</xdr:row>
      <xdr:rowOff>117460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9A83A51-9A51-CB7E-228D-5495C3BDBD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42000" y="3898900"/>
          <a:ext cx="7772400" cy="37623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applewebdata://0A969450-9244-4FA3-BE2F-F9B428A01810/" TargetMode="External"/><Relationship Id="rId1" Type="http://schemas.openxmlformats.org/officeDocument/2006/relationships/hyperlink" Target="applewebdata://0A969450-9244-4FA3-BE2F-F9B428A01810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erc.edu.pk/wp-content/uploads/2019/12/Paper-845-TANVIR-AHMED-V-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F7E42-1E68-BB41-99AC-ED46241DC2B6}">
  <dimension ref="A1:M33"/>
  <sheetViews>
    <sheetView tabSelected="1" topLeftCell="C1" workbookViewId="0">
      <selection activeCell="F7" sqref="F7"/>
    </sheetView>
  </sheetViews>
  <sheetFormatPr baseColWidth="10" defaultColWidth="9.1640625" defaultRowHeight="16" x14ac:dyDescent="0.2"/>
  <cols>
    <col min="1" max="1" width="35.5" style="10" customWidth="1"/>
    <col min="2" max="2" width="26" style="10" customWidth="1"/>
    <col min="3" max="3" width="17.83203125" style="10" customWidth="1"/>
    <col min="4" max="4" width="15.1640625" style="10" customWidth="1"/>
    <col min="5" max="5" width="15" style="10" customWidth="1"/>
    <col min="6" max="6" width="23.33203125" style="11" customWidth="1"/>
    <col min="7" max="7" width="28.33203125" style="11" customWidth="1"/>
    <col min="8" max="8" width="26.6640625" style="10" customWidth="1"/>
    <col min="9" max="9" width="18.5" style="10" customWidth="1"/>
    <col min="10" max="10" width="13" style="10" customWidth="1"/>
    <col min="11" max="11" width="13.5" style="10" customWidth="1"/>
    <col min="12" max="12" width="17.5" style="10" customWidth="1"/>
    <col min="13" max="16384" width="9.1640625" style="10"/>
  </cols>
  <sheetData>
    <row r="1" spans="1:12" x14ac:dyDescent="0.2">
      <c r="A1" s="1" t="s">
        <v>187</v>
      </c>
      <c r="B1" s="10">
        <v>11709</v>
      </c>
    </row>
    <row r="2" spans="1:12" x14ac:dyDescent="0.2">
      <c r="A2" s="1" t="s">
        <v>188</v>
      </c>
      <c r="B2" s="139" t="s">
        <v>191</v>
      </c>
    </row>
    <row r="3" spans="1:12" x14ac:dyDescent="0.2">
      <c r="A3" s="1" t="s">
        <v>189</v>
      </c>
      <c r="B3" s="139" t="s">
        <v>190</v>
      </c>
    </row>
    <row r="4" spans="1:12" x14ac:dyDescent="0.2">
      <c r="A4" s="1"/>
    </row>
    <row r="5" spans="1:12" x14ac:dyDescent="0.2">
      <c r="B5" s="150" t="s">
        <v>63</v>
      </c>
      <c r="C5" s="150" t="s">
        <v>2</v>
      </c>
      <c r="D5" s="150"/>
      <c r="E5" s="150"/>
      <c r="F5" s="150"/>
      <c r="G5" s="142" t="s">
        <v>5</v>
      </c>
      <c r="H5" s="150" t="s">
        <v>3</v>
      </c>
      <c r="I5" s="150"/>
      <c r="J5" s="150"/>
      <c r="K5" s="150"/>
      <c r="L5" s="142" t="s">
        <v>6</v>
      </c>
    </row>
    <row r="6" spans="1:12" ht="34" x14ac:dyDescent="0.2">
      <c r="B6" s="150"/>
      <c r="C6" s="12" t="s">
        <v>0</v>
      </c>
      <c r="D6" s="12" t="s">
        <v>7</v>
      </c>
      <c r="E6" s="12" t="s">
        <v>1</v>
      </c>
      <c r="F6" s="13" t="s">
        <v>4</v>
      </c>
      <c r="G6" s="142"/>
      <c r="H6" s="12" t="s">
        <v>0</v>
      </c>
      <c r="I6" s="12" t="s">
        <v>7</v>
      </c>
      <c r="J6" s="12" t="s">
        <v>1</v>
      </c>
      <c r="K6" s="13" t="s">
        <v>4</v>
      </c>
      <c r="L6" s="142"/>
    </row>
    <row r="7" spans="1:12" ht="68" customHeight="1" x14ac:dyDescent="0.2">
      <c r="A7" s="67" t="s">
        <v>103</v>
      </c>
      <c r="B7" s="157">
        <v>1.0769</v>
      </c>
      <c r="C7" s="14">
        <v>1</v>
      </c>
      <c r="D7" s="14">
        <v>0.89</v>
      </c>
      <c r="E7" s="14">
        <f>POWER((1+('Residue Management'!K31*0.19)+H21),0.59)</f>
        <v>1.2705219823197518</v>
      </c>
      <c r="F7" s="62">
        <f>B7*C7*D7*E7</f>
        <v>1.2177203592565251</v>
      </c>
      <c r="G7" s="145" t="s">
        <v>102</v>
      </c>
      <c r="H7" s="16">
        <v>0.55000000000000004</v>
      </c>
      <c r="I7" s="16">
        <v>0.89</v>
      </c>
      <c r="J7" s="16">
        <f>POWER((1+('Residue Management'!K32*0.19)+H21),0.59)</f>
        <v>1.2748129239160457</v>
      </c>
      <c r="K7" s="16">
        <f>B7*H7*I7*J7</f>
        <v>0.67200813548606031</v>
      </c>
      <c r="L7" s="16">
        <f>F7-K7</f>
        <v>0.5457122237704648</v>
      </c>
    </row>
    <row r="8" spans="1:12" ht="17" x14ac:dyDescent="0.2">
      <c r="A8" s="63" t="s">
        <v>96</v>
      </c>
      <c r="B8" s="101" t="s">
        <v>169</v>
      </c>
      <c r="C8" s="65" t="s">
        <v>98</v>
      </c>
      <c r="D8" s="65" t="s">
        <v>97</v>
      </c>
      <c r="E8" s="65" t="s">
        <v>99</v>
      </c>
      <c r="F8" s="64" t="s">
        <v>100</v>
      </c>
      <c r="G8" s="146"/>
      <c r="H8" s="65" t="s">
        <v>98</v>
      </c>
      <c r="I8" s="65" t="s">
        <v>97</v>
      </c>
      <c r="J8" s="65" t="s">
        <v>99</v>
      </c>
      <c r="K8" s="66" t="s">
        <v>100</v>
      </c>
      <c r="L8" s="15"/>
    </row>
    <row r="9" spans="1:12" x14ac:dyDescent="0.2">
      <c r="A9" s="143" t="s">
        <v>101</v>
      </c>
      <c r="B9" s="143"/>
      <c r="C9" s="143"/>
      <c r="D9" s="143"/>
      <c r="E9" s="143"/>
      <c r="F9" s="143"/>
      <c r="H9" s="59"/>
      <c r="I9" s="59"/>
      <c r="J9" s="59"/>
      <c r="K9" s="60"/>
      <c r="L9" s="20"/>
    </row>
    <row r="10" spans="1:12" x14ac:dyDescent="0.2">
      <c r="A10" s="58"/>
      <c r="B10" s="18"/>
      <c r="C10" s="59"/>
      <c r="D10" s="59"/>
      <c r="E10" s="59"/>
      <c r="F10" s="61"/>
      <c r="H10" s="59"/>
      <c r="I10" s="59"/>
      <c r="J10" s="59"/>
      <c r="K10" s="60"/>
      <c r="L10" s="20"/>
    </row>
    <row r="11" spans="1:12" ht="17" x14ac:dyDescent="0.2">
      <c r="A11" s="21" t="s">
        <v>70</v>
      </c>
      <c r="B11" s="21" t="s">
        <v>71</v>
      </c>
      <c r="C11" s="21">
        <v>0.40468564219999997</v>
      </c>
      <c r="D11" s="21" t="s">
        <v>8</v>
      </c>
      <c r="E11" s="59"/>
      <c r="F11" s="61"/>
      <c r="G11" s="10"/>
      <c r="J11" s="68"/>
      <c r="K11" s="60"/>
      <c r="L11" s="20"/>
    </row>
    <row r="12" spans="1:12" x14ac:dyDescent="0.2">
      <c r="A12" s="21"/>
      <c r="B12" s="21"/>
      <c r="C12" s="21"/>
      <c r="D12" s="21"/>
      <c r="E12" s="59"/>
      <c r="F12" s="61"/>
      <c r="G12" s="1"/>
      <c r="J12" s="68"/>
      <c r="K12" s="60"/>
      <c r="L12" s="20"/>
    </row>
    <row r="13" spans="1:12" ht="34" x14ac:dyDescent="0.2">
      <c r="A13" s="79" t="s">
        <v>123</v>
      </c>
      <c r="B13" s="84">
        <f>E20</f>
        <v>7081.9987384999995</v>
      </c>
      <c r="C13" s="78" t="s">
        <v>8</v>
      </c>
      <c r="D13" s="69"/>
      <c r="E13" s="20"/>
      <c r="F13" s="20"/>
      <c r="G13" s="147" t="s">
        <v>113</v>
      </c>
      <c r="H13" s="148"/>
      <c r="I13" s="149"/>
    </row>
    <row r="14" spans="1:12" ht="34" x14ac:dyDescent="0.2">
      <c r="A14" s="79" t="s">
        <v>124</v>
      </c>
      <c r="B14" s="84">
        <f>E22</f>
        <v>24443.012788879998</v>
      </c>
      <c r="C14" s="78" t="s">
        <v>8</v>
      </c>
      <c r="D14" s="69"/>
      <c r="E14" s="20"/>
      <c r="F14" s="20"/>
      <c r="G14" s="71" t="s">
        <v>104</v>
      </c>
      <c r="H14" s="72">
        <v>8</v>
      </c>
      <c r="I14" s="72"/>
    </row>
    <row r="15" spans="1:12" ht="34" x14ac:dyDescent="0.2">
      <c r="A15" s="79" t="s">
        <v>11</v>
      </c>
      <c r="B15" s="78">
        <v>130</v>
      </c>
      <c r="C15" s="78" t="s">
        <v>9</v>
      </c>
      <c r="D15" s="20"/>
      <c r="E15" s="20"/>
      <c r="F15" s="20"/>
      <c r="G15" s="71" t="s">
        <v>105</v>
      </c>
      <c r="H15" s="72">
        <v>27</v>
      </c>
      <c r="I15" s="73" t="s">
        <v>106</v>
      </c>
    </row>
    <row r="16" spans="1:12" ht="34" x14ac:dyDescent="0.2">
      <c r="A16" s="79" t="s">
        <v>12</v>
      </c>
      <c r="B16" s="78">
        <v>28</v>
      </c>
      <c r="C16" s="78" t="s">
        <v>10</v>
      </c>
      <c r="D16" s="20"/>
      <c r="E16" s="20"/>
      <c r="F16" s="20"/>
      <c r="G16" s="80" t="s">
        <v>107</v>
      </c>
      <c r="H16" s="74">
        <v>0.59</v>
      </c>
      <c r="I16" s="73" t="s">
        <v>131</v>
      </c>
    </row>
    <row r="17" spans="1:13" x14ac:dyDescent="0.2">
      <c r="F17" s="18"/>
      <c r="G17" s="71" t="s">
        <v>108</v>
      </c>
      <c r="H17" s="75">
        <v>15</v>
      </c>
      <c r="I17" s="73" t="s">
        <v>109</v>
      </c>
      <c r="J17" s="20"/>
      <c r="K17" s="20"/>
      <c r="L17" s="20"/>
      <c r="M17" s="20"/>
    </row>
    <row r="18" spans="1:13" x14ac:dyDescent="0.2">
      <c r="F18" s="18"/>
      <c r="G18" s="71"/>
      <c r="H18" s="75"/>
      <c r="I18" s="73"/>
      <c r="J18" s="20"/>
      <c r="K18" s="20"/>
      <c r="L18" s="20"/>
    </row>
    <row r="19" spans="1:13" ht="34" x14ac:dyDescent="0.2">
      <c r="A19" s="79" t="s">
        <v>114</v>
      </c>
      <c r="B19" s="79" t="s">
        <v>115</v>
      </c>
      <c r="C19" s="79" t="s">
        <v>116</v>
      </c>
      <c r="D19" s="79" t="s">
        <v>117</v>
      </c>
      <c r="E19" s="79" t="s">
        <v>122</v>
      </c>
      <c r="F19" s="18"/>
      <c r="G19" s="144" t="s">
        <v>112</v>
      </c>
      <c r="H19" s="76">
        <f>((H17*365/1000)*H16*H14)/H15</f>
        <v>0.95711111111111091</v>
      </c>
      <c r="I19" s="73" t="s">
        <v>110</v>
      </c>
      <c r="J19" s="20"/>
      <c r="K19" s="20"/>
      <c r="L19" s="20"/>
      <c r="M19" s="20"/>
    </row>
    <row r="20" spans="1:13" ht="17" x14ac:dyDescent="0.2">
      <c r="A20" s="77" t="s">
        <v>118</v>
      </c>
      <c r="B20" s="77">
        <v>2022</v>
      </c>
      <c r="C20" s="81">
        <v>25</v>
      </c>
      <c r="D20" s="81">
        <v>17500</v>
      </c>
      <c r="E20" s="81">
        <f>D20*C11</f>
        <v>7081.9987384999995</v>
      </c>
      <c r="F20" s="19"/>
      <c r="G20" s="144"/>
      <c r="H20" s="75">
        <f>H19/C11</f>
        <v>2.3650730624095044</v>
      </c>
      <c r="I20" s="73" t="s">
        <v>111</v>
      </c>
      <c r="J20" s="20"/>
    </row>
    <row r="21" spans="1:13" ht="17" x14ac:dyDescent="0.2">
      <c r="A21" s="77" t="s">
        <v>120</v>
      </c>
      <c r="B21" s="77">
        <v>2023</v>
      </c>
      <c r="C21" s="81">
        <v>33</v>
      </c>
      <c r="D21" s="81">
        <v>42900</v>
      </c>
      <c r="E21" s="81">
        <f>D21*C11</f>
        <v>17361.014050379999</v>
      </c>
      <c r="F21" s="17"/>
      <c r="G21" s="71" t="s">
        <v>125</v>
      </c>
      <c r="H21" s="75">
        <f>(H20*0.21)</f>
        <v>0.49666534310599592</v>
      </c>
      <c r="I21" s="72"/>
    </row>
    <row r="22" spans="1:13" x14ac:dyDescent="0.2">
      <c r="A22" s="83">
        <f>700+1300</f>
        <v>2000</v>
      </c>
      <c r="B22" s="77"/>
      <c r="C22" s="81">
        <f>AVERAGE(C20,C21)</f>
        <v>29</v>
      </c>
      <c r="D22" s="85">
        <f>D20+D21</f>
        <v>60400</v>
      </c>
      <c r="E22" s="83">
        <f>SUM(E20:E21)</f>
        <v>24443.012788879998</v>
      </c>
      <c r="F22" s="10"/>
      <c r="G22" s="2"/>
      <c r="H22" s="70"/>
      <c r="K22" s="11"/>
      <c r="L22" s="11"/>
    </row>
    <row r="23" spans="1:13" x14ac:dyDescent="0.2">
      <c r="A23" s="21"/>
      <c r="B23"/>
      <c r="C23"/>
      <c r="D23"/>
      <c r="E23"/>
      <c r="F23" s="10"/>
      <c r="G23" s="10"/>
      <c r="H23" s="1"/>
      <c r="I23" s="1"/>
      <c r="K23" s="11"/>
      <c r="L23" s="11"/>
    </row>
    <row r="25" spans="1:13" ht="51" x14ac:dyDescent="0.2">
      <c r="A25" s="79" t="s">
        <v>132</v>
      </c>
      <c r="B25" s="79" t="s">
        <v>133</v>
      </c>
      <c r="C25" s="79" t="s">
        <v>148</v>
      </c>
      <c r="D25" s="79" t="s">
        <v>134</v>
      </c>
      <c r="E25" s="79" t="s">
        <v>135</v>
      </c>
      <c r="G25" s="10"/>
    </row>
    <row r="26" spans="1:13" ht="17" x14ac:dyDescent="0.2">
      <c r="A26" s="77" t="s">
        <v>136</v>
      </c>
      <c r="B26" s="77" t="s">
        <v>137</v>
      </c>
      <c r="C26" s="81">
        <v>13253.5</v>
      </c>
      <c r="D26" s="92">
        <f>C26/$C$31</f>
        <v>0.44384722291991091</v>
      </c>
      <c r="E26" s="77">
        <v>0.85</v>
      </c>
      <c r="G26" s="10"/>
    </row>
    <row r="27" spans="1:13" ht="17" x14ac:dyDescent="0.2">
      <c r="A27" s="77" t="s">
        <v>138</v>
      </c>
      <c r="B27" s="77" t="s">
        <v>139</v>
      </c>
      <c r="C27" s="81">
        <v>11700</v>
      </c>
      <c r="D27" s="92">
        <f>C27/$C$31</f>
        <v>0.39182197217059328</v>
      </c>
      <c r="E27" s="77">
        <v>0.97</v>
      </c>
      <c r="G27" s="10"/>
    </row>
    <row r="28" spans="1:13" ht="17" x14ac:dyDescent="0.2">
      <c r="A28" s="77" t="s">
        <v>142</v>
      </c>
      <c r="B28" s="77" t="s">
        <v>140</v>
      </c>
      <c r="C28" s="81">
        <v>2365.3000000000002</v>
      </c>
      <c r="D28" s="92">
        <f>C28/$C$31</f>
        <v>7.9211667587615747E-2</v>
      </c>
      <c r="E28" s="77" t="s">
        <v>141</v>
      </c>
      <c r="G28" s="10"/>
    </row>
    <row r="29" spans="1:13" ht="17" x14ac:dyDescent="0.2">
      <c r="A29" s="77" t="s">
        <v>143</v>
      </c>
      <c r="B29" s="77" t="s">
        <v>144</v>
      </c>
      <c r="C29" s="77">
        <v>1481.3</v>
      </c>
      <c r="D29" s="92">
        <f>C29/$C$31</f>
        <v>4.9607340801393146E-2</v>
      </c>
      <c r="E29" s="79" t="s">
        <v>141</v>
      </c>
      <c r="G29" s="10"/>
    </row>
    <row r="30" spans="1:13" ht="17" x14ac:dyDescent="0.2">
      <c r="A30" s="77" t="s">
        <v>145</v>
      </c>
      <c r="B30" s="77" t="s">
        <v>146</v>
      </c>
      <c r="C30" s="81">
        <v>1060.4000000000001</v>
      </c>
      <c r="D30" s="92">
        <f>C30/$C$31</f>
        <v>3.5511796520486937E-2</v>
      </c>
      <c r="E30" s="77" t="s">
        <v>141</v>
      </c>
      <c r="G30" s="10"/>
    </row>
    <row r="31" spans="1:13" ht="17" x14ac:dyDescent="0.2">
      <c r="A31" s="77" t="s">
        <v>72</v>
      </c>
      <c r="B31" s="77"/>
      <c r="C31" s="81">
        <f>SUM(C26:C30)</f>
        <v>29860.5</v>
      </c>
      <c r="D31" s="77"/>
      <c r="E31" s="77"/>
      <c r="G31" s="10"/>
    </row>
    <row r="32" spans="1:13" x14ac:dyDescent="0.2">
      <c r="B32"/>
      <c r="C32"/>
      <c r="D32"/>
      <c r="E32"/>
      <c r="F32"/>
    </row>
    <row r="33" spans="1:7" x14ac:dyDescent="0.2">
      <c r="A33" s="91" t="s">
        <v>147</v>
      </c>
      <c r="B33"/>
      <c r="C33"/>
      <c r="D33"/>
      <c r="E33"/>
      <c r="G33" s="10"/>
    </row>
  </sheetData>
  <mergeCells count="9">
    <mergeCell ref="L5:L6"/>
    <mergeCell ref="A9:F9"/>
    <mergeCell ref="G19:G20"/>
    <mergeCell ref="G7:G8"/>
    <mergeCell ref="G13:I13"/>
    <mergeCell ref="B5:B6"/>
    <mergeCell ref="C5:F5"/>
    <mergeCell ref="G5:G6"/>
    <mergeCell ref="H5:K5"/>
  </mergeCells>
  <hyperlinks>
    <hyperlink ref="B25" r:id="rId1" location="_ftn1" display="applewebdata://0A969450-9244-4FA3-BE2F-F9B428A01810/ - _ftn1" xr:uid="{C19D0769-A524-C340-BB01-8C01A42A6926}"/>
    <hyperlink ref="A33" r:id="rId2" location="_ftnref1" display="applewebdata://0A969450-9244-4FA3-BE2F-F9B428A01810/ - _ftnref1" xr:uid="{D76C601A-BB4E-0847-8870-1D2E5B8876A3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037D9-5D6C-4742-9E52-E2FE5FC7D379}">
  <dimension ref="A2:F52"/>
  <sheetViews>
    <sheetView workbookViewId="0">
      <selection activeCell="B18" sqref="B18"/>
    </sheetView>
  </sheetViews>
  <sheetFormatPr baseColWidth="10" defaultRowHeight="16" x14ac:dyDescent="0.2"/>
  <cols>
    <col min="1" max="1" width="29.1640625" style="38" customWidth="1"/>
    <col min="2" max="2" width="20.33203125" style="38" customWidth="1"/>
    <col min="3" max="3" width="23.6640625" style="38" customWidth="1"/>
    <col min="4" max="4" width="18.6640625" style="38" customWidth="1"/>
    <col min="5" max="5" width="47" style="38" customWidth="1"/>
    <col min="6" max="6" width="45.6640625" style="38" customWidth="1"/>
    <col min="7" max="16384" width="10.83203125" style="38"/>
  </cols>
  <sheetData>
    <row r="2" spans="1:5" x14ac:dyDescent="0.2">
      <c r="A2" s="37" t="s">
        <v>91</v>
      </c>
    </row>
    <row r="3" spans="1:5" x14ac:dyDescent="0.2">
      <c r="A3" s="37"/>
    </row>
    <row r="4" spans="1:5" x14ac:dyDescent="0.2">
      <c r="A4" s="37" t="s">
        <v>2</v>
      </c>
      <c r="B4" s="38">
        <v>121</v>
      </c>
      <c r="C4" s="38" t="s">
        <v>172</v>
      </c>
      <c r="D4" s="105">
        <f>(B4*'IPCC Tier-1'!E20*0.00786*265)/1000</f>
        <v>1784.8825158630195</v>
      </c>
      <c r="E4" s="38" t="s">
        <v>170</v>
      </c>
    </row>
    <row r="5" spans="1:5" x14ac:dyDescent="0.2">
      <c r="A5" s="37"/>
      <c r="D5" s="105">
        <f>(B4*'IPCC Tier-1'!E22*0.00786*265)/1000</f>
        <v>6160.394511892936</v>
      </c>
      <c r="E5" s="38" t="s">
        <v>173</v>
      </c>
    </row>
    <row r="6" spans="1:5" x14ac:dyDescent="0.2">
      <c r="A6" s="37" t="s">
        <v>3</v>
      </c>
    </row>
    <row r="7" spans="1:5" x14ac:dyDescent="0.2">
      <c r="A7" s="37"/>
      <c r="B7" s="39">
        <f>D13</f>
        <v>107.49084094884157</v>
      </c>
      <c r="C7" s="38" t="s">
        <v>172</v>
      </c>
      <c r="D7" s="105">
        <f>(B7*'IPCC Tier-1'!E20*0.00786*265)/1000</f>
        <v>1585.6076250000001</v>
      </c>
      <c r="E7" s="38" t="s">
        <v>170</v>
      </c>
    </row>
    <row r="8" spans="1:5" x14ac:dyDescent="0.2">
      <c r="A8" s="37"/>
      <c r="D8" s="105">
        <f>(B7*'IPCC Tier-1'!E22*0.00786*265)/1000</f>
        <v>5472.6114600000001</v>
      </c>
      <c r="E8" s="38" t="s">
        <v>173</v>
      </c>
    </row>
    <row r="9" spans="1:5" ht="17" thickBot="1" x14ac:dyDescent="0.25"/>
    <row r="10" spans="1:5" ht="18" thickBot="1" x14ac:dyDescent="0.25">
      <c r="A10" s="22" t="s">
        <v>64</v>
      </c>
      <c r="B10" s="23" t="s">
        <v>65</v>
      </c>
      <c r="C10" s="23" t="s">
        <v>66</v>
      </c>
      <c r="D10" s="23" t="s">
        <v>172</v>
      </c>
    </row>
    <row r="11" spans="1:5" ht="18" thickBot="1" x14ac:dyDescent="0.25">
      <c r="A11" s="24" t="s">
        <v>67</v>
      </c>
      <c r="B11" s="25">
        <v>0.46</v>
      </c>
      <c r="C11" s="26">
        <v>75</v>
      </c>
      <c r="D11" s="27">
        <f>(B11*C11)/C15</f>
        <v>85.251356614598478</v>
      </c>
    </row>
    <row r="12" spans="1:5" ht="18" thickBot="1" x14ac:dyDescent="0.25">
      <c r="A12" s="24" t="s">
        <v>68</v>
      </c>
      <c r="B12" s="25">
        <v>0.18</v>
      </c>
      <c r="C12" s="26">
        <v>50</v>
      </c>
      <c r="D12" s="27">
        <f>(B12*C12)/C15</f>
        <v>22.23948433424308</v>
      </c>
    </row>
    <row r="13" spans="1:5" ht="18" thickBot="1" x14ac:dyDescent="0.25">
      <c r="A13" s="28" t="s">
        <v>69</v>
      </c>
      <c r="B13" s="26"/>
      <c r="C13" s="26"/>
      <c r="D13" s="27">
        <f>D11+D12</f>
        <v>107.49084094884157</v>
      </c>
    </row>
    <row r="15" spans="1:5" x14ac:dyDescent="0.2">
      <c r="A15" s="38" t="s">
        <v>70</v>
      </c>
      <c r="B15" s="38" t="s">
        <v>71</v>
      </c>
      <c r="C15" s="38">
        <v>0.40468564219999997</v>
      </c>
      <c r="D15" s="38" t="s">
        <v>8</v>
      </c>
    </row>
    <row r="17" spans="1:6" s="37" customFormat="1" x14ac:dyDescent="0.2">
      <c r="A17" s="152" t="s">
        <v>174</v>
      </c>
      <c r="B17" s="103">
        <f>ROUND((D13*'IPCC Tier-1'!E20*0.00314*265)/1000,0)</f>
        <v>633</v>
      </c>
      <c r="C17" s="102" t="s">
        <v>170</v>
      </c>
    </row>
    <row r="18" spans="1:6" x14ac:dyDescent="0.2">
      <c r="A18" s="152"/>
      <c r="B18" s="104">
        <f>ROUND((D13*'IPCC Tier-1'!E22*0.00314*265)/1000,0)</f>
        <v>2186</v>
      </c>
      <c r="C18" s="102" t="s">
        <v>171</v>
      </c>
    </row>
    <row r="19" spans="1:6" x14ac:dyDescent="0.2">
      <c r="A19" s="140"/>
      <c r="B19" s="141"/>
      <c r="C19" s="37"/>
    </row>
    <row r="20" spans="1:6" ht="17" x14ac:dyDescent="0.2">
      <c r="A20" s="140" t="s">
        <v>92</v>
      </c>
      <c r="B20" s="141"/>
      <c r="C20" s="37"/>
    </row>
    <row r="21" spans="1:6" x14ac:dyDescent="0.2">
      <c r="A21" s="140"/>
      <c r="B21" s="141"/>
      <c r="C21" s="37"/>
    </row>
    <row r="22" spans="1:6" x14ac:dyDescent="0.2">
      <c r="A22" s="140"/>
      <c r="B22" s="141"/>
      <c r="C22" s="37"/>
    </row>
    <row r="24" spans="1:6" x14ac:dyDescent="0.2">
      <c r="A24" s="37"/>
    </row>
    <row r="25" spans="1:6" ht="17" thickBot="1" x14ac:dyDescent="0.25"/>
    <row r="26" spans="1:6" ht="18" thickBot="1" x14ac:dyDescent="0.25">
      <c r="A26" s="45" t="s">
        <v>90</v>
      </c>
      <c r="B26" s="31" t="s">
        <v>73</v>
      </c>
      <c r="C26" s="32" t="s">
        <v>74</v>
      </c>
    </row>
    <row r="27" spans="1:6" ht="34" x14ac:dyDescent="0.2">
      <c r="A27" s="30" t="s">
        <v>82</v>
      </c>
      <c r="B27" s="29">
        <f>24*0.6+20*0.4</f>
        <v>22.4</v>
      </c>
      <c r="C27" s="33">
        <f>B27/C15</f>
        <v>55.351605454116111</v>
      </c>
    </row>
    <row r="28" spans="1:6" ht="35" thickBot="1" x14ac:dyDescent="0.25">
      <c r="A28" s="34" t="s">
        <v>95</v>
      </c>
      <c r="B28" s="35">
        <v>20</v>
      </c>
      <c r="C28" s="36">
        <f>B28/C15</f>
        <v>49.421076298317956</v>
      </c>
    </row>
    <row r="29" spans="1:6" x14ac:dyDescent="0.2">
      <c r="A29" s="37" t="s">
        <v>83</v>
      </c>
      <c r="B29" s="38">
        <v>37.5</v>
      </c>
      <c r="C29" s="38" t="s">
        <v>78</v>
      </c>
    </row>
    <row r="30" spans="1:6" x14ac:dyDescent="0.2">
      <c r="B30" s="38">
        <f>B29/1000000</f>
        <v>3.7499999999999997E-5</v>
      </c>
      <c r="C30" s="38" t="s">
        <v>79</v>
      </c>
    </row>
    <row r="32" spans="1:6" x14ac:dyDescent="0.2">
      <c r="D32" s="39"/>
      <c r="E32" s="151"/>
      <c r="F32" s="138"/>
    </row>
    <row r="33" spans="1:6" x14ac:dyDescent="0.2">
      <c r="D33" s="39"/>
      <c r="E33" s="151"/>
    </row>
    <row r="34" spans="1:6" x14ac:dyDescent="0.2">
      <c r="A34" s="37" t="s">
        <v>199</v>
      </c>
      <c r="B34" s="38">
        <v>73.2</v>
      </c>
      <c r="C34" s="38" t="s">
        <v>75</v>
      </c>
      <c r="E34" s="151"/>
    </row>
    <row r="35" spans="1:6" ht="34" x14ac:dyDescent="0.2">
      <c r="A35" s="42" t="s">
        <v>200</v>
      </c>
      <c r="B35" s="38" t="s">
        <v>76</v>
      </c>
      <c r="E35" s="151"/>
    </row>
    <row r="36" spans="1:6" x14ac:dyDescent="0.2">
      <c r="A36" s="38" t="s">
        <v>84</v>
      </c>
      <c r="B36" s="38">
        <f>B30*B34</f>
        <v>2.745E-3</v>
      </c>
      <c r="C36" s="38" t="s">
        <v>80</v>
      </c>
      <c r="E36" s="38" t="s">
        <v>93</v>
      </c>
    </row>
    <row r="37" spans="1:6" ht="34" customHeight="1" thickBot="1" x14ac:dyDescent="0.25">
      <c r="E37" s="151" t="s">
        <v>94</v>
      </c>
      <c r="F37" s="151"/>
    </row>
    <row r="38" spans="1:6" ht="34" x14ac:dyDescent="0.2">
      <c r="A38" s="46"/>
      <c r="B38" s="50" t="s">
        <v>88</v>
      </c>
      <c r="C38" s="51" t="s">
        <v>89</v>
      </c>
    </row>
    <row r="39" spans="1:6" ht="35" thickBot="1" x14ac:dyDescent="0.25">
      <c r="A39" s="47" t="s">
        <v>81</v>
      </c>
      <c r="B39" s="48">
        <f>B36*C27</f>
        <v>0.15194015697154872</v>
      </c>
      <c r="C39" s="49">
        <f>B36*C28</f>
        <v>0.13566085443888279</v>
      </c>
    </row>
    <row r="41" spans="1:6" ht="17" thickBot="1" x14ac:dyDescent="0.25"/>
    <row r="42" spans="1:6" ht="34" x14ac:dyDescent="0.2">
      <c r="A42" s="53"/>
      <c r="B42" s="50" t="s">
        <v>88</v>
      </c>
      <c r="C42" s="51" t="s">
        <v>89</v>
      </c>
    </row>
    <row r="43" spans="1:6" ht="34" x14ac:dyDescent="0.2">
      <c r="A43" s="54" t="s">
        <v>85</v>
      </c>
      <c r="B43" s="52">
        <v>0.6</v>
      </c>
      <c r="C43" s="55">
        <v>1</v>
      </c>
    </row>
    <row r="44" spans="1:6" ht="34" x14ac:dyDescent="0.2">
      <c r="A44" s="54" t="s">
        <v>198</v>
      </c>
      <c r="B44" s="87">
        <f>('IPCC Tier-1'!B13+'IPCC Tier-1'!B14)*B43</f>
        <v>18915.006916427996</v>
      </c>
      <c r="C44" s="86">
        <f>'IPCC Tier-1'!B13+'IPCC Tier-1'!B14</f>
        <v>31525.011527379997</v>
      </c>
    </row>
    <row r="45" spans="1:6" x14ac:dyDescent="0.2">
      <c r="A45" s="56"/>
      <c r="B45" s="40"/>
      <c r="C45" s="41"/>
    </row>
    <row r="46" spans="1:6" ht="17" thickBot="1" x14ac:dyDescent="0.25">
      <c r="A46" s="57" t="s">
        <v>77</v>
      </c>
      <c r="B46" s="88">
        <f>B39*B44</f>
        <v>2873.9491199999993</v>
      </c>
      <c r="C46" s="89">
        <f>C39*C44</f>
        <v>4276.71</v>
      </c>
    </row>
    <row r="47" spans="1:6" ht="34" x14ac:dyDescent="0.2">
      <c r="C47" s="43" t="s">
        <v>87</v>
      </c>
    </row>
    <row r="50" spans="4:4" x14ac:dyDescent="0.2">
      <c r="D50" s="37" t="s">
        <v>86</v>
      </c>
    </row>
    <row r="51" spans="4:4" x14ac:dyDescent="0.2">
      <c r="D51" s="90">
        <f>C46-B46</f>
        <v>1402.7608800000007</v>
      </c>
    </row>
    <row r="52" spans="4:4" x14ac:dyDescent="0.2">
      <c r="D52" s="44">
        <f>D51/'SDG 13'!E11</f>
        <v>3.9617731886554805E-2</v>
      </c>
    </row>
  </sheetData>
  <mergeCells count="3">
    <mergeCell ref="E32:E35"/>
    <mergeCell ref="A17:A18"/>
    <mergeCell ref="E37:F3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7DB26-0B41-714F-8DF6-5A529AC7CAFC}">
  <dimension ref="B2:G13"/>
  <sheetViews>
    <sheetView topLeftCell="C1" zoomScale="150" workbookViewId="0">
      <selection activeCell="E3" sqref="E3"/>
    </sheetView>
  </sheetViews>
  <sheetFormatPr baseColWidth="10" defaultRowHeight="13" x14ac:dyDescent="0.15"/>
  <cols>
    <col min="2" max="2" width="14.83203125" customWidth="1"/>
    <col min="3" max="3" width="19" customWidth="1"/>
    <col min="4" max="4" width="20.5" customWidth="1"/>
    <col min="5" max="5" width="25.33203125" customWidth="1"/>
    <col min="6" max="6" width="16.1640625" customWidth="1"/>
    <col min="7" max="7" width="19.83203125" customWidth="1"/>
  </cols>
  <sheetData>
    <row r="2" spans="2:7" ht="14" x14ac:dyDescent="0.15">
      <c r="B2" s="108" t="s">
        <v>126</v>
      </c>
      <c r="C2" s="108" t="s">
        <v>127</v>
      </c>
      <c r="D2" s="108" t="s">
        <v>128</v>
      </c>
      <c r="E2" s="108" t="s">
        <v>176</v>
      </c>
      <c r="F2" s="109" t="s">
        <v>175</v>
      </c>
      <c r="G2" s="108" t="s">
        <v>129</v>
      </c>
    </row>
    <row r="3" spans="2:7" x14ac:dyDescent="0.15">
      <c r="B3" s="110">
        <v>2022</v>
      </c>
      <c r="C3" s="111">
        <f>('IPCC Tier-1'!F7*'IPCC Tier-1'!B13*'IPCC Tier-1'!B15*'IPCC Tier-1'!B16)/1000</f>
        <v>31390.974335085735</v>
      </c>
      <c r="D3" s="111">
        <f>(('IPCC Tier-1'!K7*'IPCC Tier-1'!B13*'IPCC Tier-1'!B15*'IPCC Tier-1'!B16)/1000)</f>
        <v>17323.345194697416</v>
      </c>
      <c r="E3" s="100">
        <f>ROUNDDOWN((C3-D3)*(1-0.15),0)</f>
        <v>11957</v>
      </c>
      <c r="F3" s="100">
        <f>'Project Emissions'!B17</f>
        <v>633</v>
      </c>
      <c r="G3" s="100">
        <f>E3-F3</f>
        <v>11324</v>
      </c>
    </row>
    <row r="4" spans="2:7" x14ac:dyDescent="0.15">
      <c r="B4" s="110">
        <v>2023</v>
      </c>
      <c r="C4" s="111">
        <f>('IPCC Tier-1'!F7*'IPCC Tier-1'!B14*'IPCC Tier-1'!B15*'IPCC Tier-1'!B16)/1000</f>
        <v>108343.70570509591</v>
      </c>
      <c r="D4" s="111">
        <f>(('IPCC Tier-1'!K7*'IPCC Tier-1'!B14*'IPCC Tier-1'!B15*'IPCC Tier-1'!B16)/1000)</f>
        <v>59790.288557698521</v>
      </c>
      <c r="E4" s="112">
        <f>ROUNDDOWN((C4-D4)*(1-0.15),0)</f>
        <v>41270</v>
      </c>
      <c r="F4" s="113">
        <f>'Project Emissions'!B18</f>
        <v>2186</v>
      </c>
      <c r="G4" s="100">
        <f t="shared" ref="G4:G7" si="0">E4-F4</f>
        <v>39084</v>
      </c>
    </row>
    <row r="5" spans="2:7" x14ac:dyDescent="0.15">
      <c r="B5" s="110">
        <v>2024</v>
      </c>
      <c r="C5" s="100">
        <f>C4</f>
        <v>108343.70570509591</v>
      </c>
      <c r="D5" s="100">
        <f>D4</f>
        <v>59790.288557698521</v>
      </c>
      <c r="E5" s="112">
        <f t="shared" ref="E5:E7" si="1">ROUNDDOWN((C5-D5)*(1-0.15),0)</f>
        <v>41270</v>
      </c>
      <c r="F5" s="113">
        <f>F4</f>
        <v>2186</v>
      </c>
      <c r="G5" s="100">
        <f t="shared" si="0"/>
        <v>39084</v>
      </c>
    </row>
    <row r="6" spans="2:7" x14ac:dyDescent="0.15">
      <c r="B6" s="110">
        <v>2025</v>
      </c>
      <c r="C6" s="100">
        <f t="shared" ref="C6:C7" si="2">C5</f>
        <v>108343.70570509591</v>
      </c>
      <c r="D6" s="100">
        <f t="shared" ref="D6:D7" si="3">D5</f>
        <v>59790.288557698521</v>
      </c>
      <c r="E6" s="112">
        <f t="shared" si="1"/>
        <v>41270</v>
      </c>
      <c r="F6" s="113">
        <f t="shared" ref="F6:F7" si="4">F5</f>
        <v>2186</v>
      </c>
      <c r="G6" s="100">
        <f t="shared" si="0"/>
        <v>39084</v>
      </c>
    </row>
    <row r="7" spans="2:7" x14ac:dyDescent="0.15">
      <c r="B7" s="110">
        <v>2026</v>
      </c>
      <c r="C7" s="100">
        <f t="shared" si="2"/>
        <v>108343.70570509591</v>
      </c>
      <c r="D7" s="100">
        <f t="shared" si="3"/>
        <v>59790.288557698521</v>
      </c>
      <c r="E7" s="112">
        <f t="shared" si="1"/>
        <v>41270</v>
      </c>
      <c r="F7" s="113">
        <f t="shared" si="4"/>
        <v>2186</v>
      </c>
      <c r="G7" s="100">
        <f t="shared" si="0"/>
        <v>39084</v>
      </c>
    </row>
    <row r="8" spans="2:7" x14ac:dyDescent="0.15">
      <c r="B8" s="110"/>
      <c r="C8" s="110"/>
      <c r="D8" s="110"/>
      <c r="E8" s="110"/>
      <c r="F8" s="110"/>
      <c r="G8" s="110"/>
    </row>
    <row r="9" spans="2:7" x14ac:dyDescent="0.15">
      <c r="B9" s="108" t="s">
        <v>72</v>
      </c>
      <c r="C9" s="114">
        <f>SUM(C3:C7)</f>
        <v>464765.79715546936</v>
      </c>
      <c r="D9" s="114">
        <f>SUM(D3:D7)</f>
        <v>256484.49942549149</v>
      </c>
      <c r="E9" s="114">
        <f>SUM(E3:E7)</f>
        <v>177037</v>
      </c>
      <c r="F9" s="114">
        <f>SUM(F3:F7)</f>
        <v>9377</v>
      </c>
      <c r="G9" s="114">
        <f>SUM(G3:G7)</f>
        <v>167660</v>
      </c>
    </row>
    <row r="10" spans="2:7" x14ac:dyDescent="0.15">
      <c r="B10" s="110"/>
      <c r="C10" s="110"/>
      <c r="D10" s="110"/>
      <c r="E10" s="110"/>
      <c r="F10" s="110"/>
      <c r="G10" s="110"/>
    </row>
    <row r="11" spans="2:7" ht="14" x14ac:dyDescent="0.15">
      <c r="B11" s="109" t="s">
        <v>130</v>
      </c>
      <c r="C11" s="114">
        <f>C9/5</f>
        <v>92953.159431093867</v>
      </c>
      <c r="D11" s="114">
        <f t="shared" ref="D11:G11" si="5">D9/5</f>
        <v>51296.899885098297</v>
      </c>
      <c r="E11" s="114">
        <f t="shared" si="5"/>
        <v>35407.4</v>
      </c>
      <c r="F11" s="114">
        <f t="shared" si="5"/>
        <v>1875.4</v>
      </c>
      <c r="G11" s="114">
        <f t="shared" si="5"/>
        <v>33532</v>
      </c>
    </row>
    <row r="12" spans="2:7" x14ac:dyDescent="0.15">
      <c r="B12" s="110"/>
      <c r="C12" s="110"/>
      <c r="D12" s="110"/>
      <c r="E12" s="110"/>
      <c r="F12" s="110"/>
      <c r="G12" s="110"/>
    </row>
    <row r="13" spans="2:7" x14ac:dyDescent="0.15">
      <c r="B13" s="108" t="s">
        <v>177</v>
      </c>
      <c r="C13" s="99">
        <f>C3/'IPCC Tier-1'!$D$20</f>
        <v>1.7937699620048992</v>
      </c>
      <c r="D13" s="99">
        <f>D3/'IPCC Tier-1'!$D$20</f>
        <v>0.98990543969699518</v>
      </c>
      <c r="E13" s="99"/>
      <c r="F13" s="99"/>
      <c r="G13" s="99">
        <f>G3/'IPCC Tier-1'!D20</f>
        <v>0.64708571428571426</v>
      </c>
    </row>
  </sheetData>
  <pageMargins left="0.7" right="0.7" top="0.75" bottom="0.75" header="0.3" footer="0.3"/>
  <ignoredErrors>
    <ignoredError sqref="E5:E7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10B99-0A47-C44F-8B74-71AFD8F37306}">
  <dimension ref="B2:J28"/>
  <sheetViews>
    <sheetView workbookViewId="0">
      <selection activeCell="E29" sqref="E29"/>
    </sheetView>
  </sheetViews>
  <sheetFormatPr baseColWidth="10" defaultColWidth="11" defaultRowHeight="16" x14ac:dyDescent="0.2"/>
  <cols>
    <col min="1" max="1" width="11" style="3"/>
    <col min="2" max="2" width="37.6640625" style="3" customWidth="1"/>
    <col min="3" max="3" width="15.1640625" style="3" customWidth="1"/>
    <col min="4" max="4" width="15.83203125" style="3" customWidth="1"/>
    <col min="5" max="5" width="26.33203125" style="3" customWidth="1"/>
    <col min="6" max="8" width="11" style="3"/>
    <col min="9" max="9" width="16.1640625" style="3" customWidth="1"/>
    <col min="10" max="16384" width="11" style="3"/>
  </cols>
  <sheetData>
    <row r="2" spans="2:10" x14ac:dyDescent="0.2">
      <c r="B2" s="4" t="s">
        <v>53</v>
      </c>
      <c r="C2" s="4" t="s">
        <v>52</v>
      </c>
      <c r="D2" s="4" t="s">
        <v>51</v>
      </c>
      <c r="I2" s="3" t="s">
        <v>50</v>
      </c>
    </row>
    <row r="3" spans="2:10" x14ac:dyDescent="0.2">
      <c r="B3" s="3" t="s">
        <v>49</v>
      </c>
      <c r="C3" s="3">
        <v>3</v>
      </c>
      <c r="D3" s="3" t="s">
        <v>48</v>
      </c>
      <c r="I3" s="3" t="s">
        <v>47</v>
      </c>
      <c r="J3" s="3">
        <v>2.54</v>
      </c>
    </row>
    <row r="4" spans="2:10" x14ac:dyDescent="0.2">
      <c r="B4" s="3" t="s">
        <v>46</v>
      </c>
      <c r="C4" s="3">
        <f>(C3/100)*J3*J4</f>
        <v>308.37073200000003</v>
      </c>
      <c r="D4" s="3" t="s">
        <v>45</v>
      </c>
      <c r="I4" s="3" t="s">
        <v>44</v>
      </c>
      <c r="J4" s="3">
        <v>4046.86</v>
      </c>
    </row>
    <row r="5" spans="2:10" x14ac:dyDescent="0.2">
      <c r="B5" s="3" t="s">
        <v>43</v>
      </c>
      <c r="C5" s="9">
        <f>C4*(J5/J4)</f>
        <v>762</v>
      </c>
      <c r="D5" s="3" t="s">
        <v>42</v>
      </c>
      <c r="I5" s="3" t="s">
        <v>41</v>
      </c>
      <c r="J5" s="3">
        <v>10000</v>
      </c>
    </row>
    <row r="6" spans="2:10" x14ac:dyDescent="0.2">
      <c r="I6" s="3" t="s">
        <v>40</v>
      </c>
      <c r="J6" s="3">
        <v>3.7854100000000002</v>
      </c>
    </row>
    <row r="7" spans="2:10" x14ac:dyDescent="0.2">
      <c r="B7" s="3" t="s">
        <v>23</v>
      </c>
      <c r="C7" s="3">
        <v>7.5</v>
      </c>
      <c r="E7" s="3" t="s">
        <v>39</v>
      </c>
      <c r="I7" s="3" t="s">
        <v>38</v>
      </c>
      <c r="J7" s="3">
        <v>2.47105</v>
      </c>
    </row>
    <row r="8" spans="2:10" x14ac:dyDescent="0.2">
      <c r="B8" s="3" t="s">
        <v>37</v>
      </c>
      <c r="C8" s="8">
        <f>C7*C5</f>
        <v>5715</v>
      </c>
      <c r="D8" s="3" t="s">
        <v>36</v>
      </c>
    </row>
    <row r="9" spans="2:10" x14ac:dyDescent="0.2">
      <c r="B9" s="4" t="s">
        <v>14</v>
      </c>
      <c r="C9" s="5">
        <f>C8*7085</f>
        <v>40490775</v>
      </c>
      <c r="D9" s="4" t="s">
        <v>35</v>
      </c>
    </row>
    <row r="12" spans="2:10" x14ac:dyDescent="0.2">
      <c r="B12" s="3" t="s">
        <v>34</v>
      </c>
      <c r="C12" s="3">
        <v>3</v>
      </c>
      <c r="D12" s="3" t="s">
        <v>33</v>
      </c>
      <c r="I12" s="3" t="s">
        <v>32</v>
      </c>
      <c r="J12" s="3">
        <v>0.73549900000000001</v>
      </c>
    </row>
    <row r="13" spans="2:10" x14ac:dyDescent="0.2">
      <c r="B13" s="3" t="s">
        <v>31</v>
      </c>
      <c r="C13" s="8">
        <v>7.5</v>
      </c>
      <c r="D13" s="3" t="s">
        <v>30</v>
      </c>
    </row>
    <row r="14" spans="2:10" x14ac:dyDescent="0.2">
      <c r="B14" s="3" t="s">
        <v>29</v>
      </c>
      <c r="C14" s="8">
        <v>7.5</v>
      </c>
      <c r="D14" s="3" t="s">
        <v>28</v>
      </c>
      <c r="E14" s="3" t="s">
        <v>27</v>
      </c>
    </row>
    <row r="15" spans="2:10" x14ac:dyDescent="0.2">
      <c r="B15" s="3" t="s">
        <v>26</v>
      </c>
      <c r="C15" s="8">
        <f>C14*J12</f>
        <v>5.5162424999999997</v>
      </c>
      <c r="D15" s="3" t="s">
        <v>25</v>
      </c>
    </row>
    <row r="16" spans="2:10" x14ac:dyDescent="0.2">
      <c r="B16" s="3" t="s">
        <v>24</v>
      </c>
      <c r="C16" s="7">
        <f>C15*C13</f>
        <v>41.371818749999996</v>
      </c>
      <c r="D16" s="3" t="s">
        <v>20</v>
      </c>
    </row>
    <row r="18" spans="2:5" x14ac:dyDescent="0.2">
      <c r="B18" s="3" t="s">
        <v>23</v>
      </c>
      <c r="C18" s="3">
        <v>7.5</v>
      </c>
      <c r="E18" s="3" t="s">
        <v>22</v>
      </c>
    </row>
    <row r="19" spans="2:5" x14ac:dyDescent="0.2">
      <c r="B19" s="3" t="s">
        <v>21</v>
      </c>
      <c r="C19" s="7">
        <f>C16*C18</f>
        <v>310.28864062499997</v>
      </c>
      <c r="D19" s="3" t="s">
        <v>20</v>
      </c>
    </row>
    <row r="21" spans="2:5" x14ac:dyDescent="0.2">
      <c r="B21" s="3" t="s">
        <v>19</v>
      </c>
      <c r="C21" s="3">
        <v>8.69</v>
      </c>
      <c r="D21" s="3" t="s">
        <v>18</v>
      </c>
      <c r="E21" s="3" t="s">
        <v>17</v>
      </c>
    </row>
    <row r="23" spans="2:5" x14ac:dyDescent="0.2">
      <c r="B23" s="4" t="s">
        <v>16</v>
      </c>
      <c r="C23" s="6">
        <f>C19*C21</f>
        <v>2696.4082870312495</v>
      </c>
      <c r="D23" s="4" t="s">
        <v>15</v>
      </c>
    </row>
    <row r="24" spans="2:5" x14ac:dyDescent="0.2">
      <c r="B24" s="4" t="s">
        <v>14</v>
      </c>
      <c r="C24" s="5">
        <f>C23*7085</f>
        <v>19104052.713616405</v>
      </c>
      <c r="D24" s="4" t="s">
        <v>13</v>
      </c>
    </row>
    <row r="26" spans="2:5" x14ac:dyDescent="0.2">
      <c r="B26" s="106"/>
    </row>
    <row r="27" spans="2:5" x14ac:dyDescent="0.2">
      <c r="C27" s="9"/>
      <c r="D27" s="106"/>
    </row>
    <row r="28" spans="2:5" x14ac:dyDescent="0.2">
      <c r="C28" s="107"/>
      <c r="D28" s="106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8A51E-09AF-D941-AC18-5C95DE485F6B}">
  <dimension ref="B1:G11"/>
  <sheetViews>
    <sheetView workbookViewId="0">
      <selection activeCell="B23" sqref="B23"/>
    </sheetView>
  </sheetViews>
  <sheetFormatPr baseColWidth="10" defaultRowHeight="16" x14ac:dyDescent="0.2"/>
  <cols>
    <col min="1" max="1" width="10.83203125" style="3"/>
    <col min="2" max="2" width="32.5" style="3" customWidth="1"/>
    <col min="3" max="3" width="15" style="3" bestFit="1" customWidth="1"/>
    <col min="4" max="16384" width="10.83203125" style="3"/>
  </cols>
  <sheetData>
    <row r="1" spans="2:7" x14ac:dyDescent="0.2">
      <c r="B1" s="4" t="s">
        <v>201</v>
      </c>
      <c r="C1" s="155">
        <v>2000</v>
      </c>
    </row>
    <row r="2" spans="2:7" x14ac:dyDescent="0.2">
      <c r="B2" s="154"/>
      <c r="C2" s="155"/>
    </row>
    <row r="3" spans="2:7" x14ac:dyDescent="0.2">
      <c r="B3" s="4" t="s">
        <v>202</v>
      </c>
    </row>
    <row r="4" spans="2:7" x14ac:dyDescent="0.2">
      <c r="B4" s="3" t="s">
        <v>54</v>
      </c>
      <c r="C4" s="3">
        <v>3</v>
      </c>
      <c r="D4" s="3" t="s">
        <v>48</v>
      </c>
      <c r="F4" s="3" t="s">
        <v>47</v>
      </c>
      <c r="G4" s="3">
        <v>2.54</v>
      </c>
    </row>
    <row r="5" spans="2:7" x14ac:dyDescent="0.2">
      <c r="C5" s="3">
        <f>C4*G4</f>
        <v>7.62</v>
      </c>
      <c r="D5" s="3" t="s">
        <v>55</v>
      </c>
      <c r="F5" s="3" t="s">
        <v>44</v>
      </c>
      <c r="G5" s="3">
        <v>4046.86</v>
      </c>
    </row>
    <row r="6" spans="2:7" x14ac:dyDescent="0.2">
      <c r="B6" s="3" t="s">
        <v>56</v>
      </c>
      <c r="C6" s="8">
        <f>(C5/100)*G5</f>
        <v>308.37073200000003</v>
      </c>
      <c r="D6" s="3" t="s">
        <v>57</v>
      </c>
      <c r="F6" s="3" t="s">
        <v>38</v>
      </c>
      <c r="G6" s="3">
        <v>2.47105</v>
      </c>
    </row>
    <row r="7" spans="2:7" x14ac:dyDescent="0.2">
      <c r="B7" s="3" t="s">
        <v>58</v>
      </c>
      <c r="C7" s="7">
        <f>C6*G6</f>
        <v>761.9994973086001</v>
      </c>
      <c r="D7" s="3" t="s">
        <v>57</v>
      </c>
    </row>
    <row r="8" spans="2:7" x14ac:dyDescent="0.2">
      <c r="B8" s="3" t="s">
        <v>59</v>
      </c>
      <c r="C8" s="3">
        <v>7.5</v>
      </c>
    </row>
    <row r="9" spans="2:7" x14ac:dyDescent="0.2">
      <c r="B9" s="3" t="s">
        <v>60</v>
      </c>
      <c r="C9" s="107">
        <f>C7*C8</f>
        <v>5714.996229814501</v>
      </c>
      <c r="D9" s="3" t="s">
        <v>57</v>
      </c>
    </row>
    <row r="11" spans="2:7" x14ac:dyDescent="0.2">
      <c r="B11" s="3" t="s">
        <v>61</v>
      </c>
      <c r="C11" s="156">
        <f>C9*'IPCC Tier-1'!E22</f>
        <v>139691725.93375683</v>
      </c>
      <c r="D11" s="3" t="s">
        <v>62</v>
      </c>
    </row>
  </sheetData>
  <pageMargins left="0.7" right="0.7" top="0.75" bottom="0.75" header="0.3" footer="0.3"/>
  <ignoredErrors>
    <ignoredError sqref="C6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DA55B-CF07-5349-A2F5-CBD0A112E813}">
  <dimension ref="B3:R37"/>
  <sheetViews>
    <sheetView topLeftCell="A15" workbookViewId="0">
      <selection activeCell="K32" sqref="K32"/>
    </sheetView>
  </sheetViews>
  <sheetFormatPr baseColWidth="10" defaultRowHeight="13" x14ac:dyDescent="0.15"/>
  <cols>
    <col min="2" max="2" width="28.83203125" customWidth="1"/>
    <col min="3" max="3" width="15" customWidth="1"/>
    <col min="4" max="4" width="18.83203125" customWidth="1"/>
    <col min="6" max="6" width="19.5" customWidth="1"/>
    <col min="7" max="7" width="16" customWidth="1"/>
    <col min="8" max="8" width="14.5" customWidth="1"/>
    <col min="9" max="9" width="12.6640625" customWidth="1"/>
  </cols>
  <sheetData>
    <row r="3" spans="2:5" x14ac:dyDescent="0.15">
      <c r="B3" t="s">
        <v>149</v>
      </c>
      <c r="C3">
        <v>1.7</v>
      </c>
      <c r="D3" t="s">
        <v>150</v>
      </c>
    </row>
    <row r="4" spans="2:5" x14ac:dyDescent="0.15">
      <c r="B4" t="s">
        <v>151</v>
      </c>
      <c r="C4">
        <v>8.5</v>
      </c>
      <c r="D4" t="s">
        <v>152</v>
      </c>
    </row>
    <row r="5" spans="2:5" x14ac:dyDescent="0.15">
      <c r="B5" t="s">
        <v>153</v>
      </c>
      <c r="C5">
        <f>AVERAGE(3.6,5)</f>
        <v>4.3</v>
      </c>
      <c r="D5" t="s">
        <v>154</v>
      </c>
    </row>
    <row r="6" spans="2:5" x14ac:dyDescent="0.15">
      <c r="B6" s="82" t="s">
        <v>155</v>
      </c>
      <c r="C6" s="94">
        <f>C4/C3</f>
        <v>5</v>
      </c>
      <c r="D6" s="82" t="s">
        <v>36</v>
      </c>
      <c r="E6" t="s">
        <v>100</v>
      </c>
    </row>
    <row r="7" spans="2:5" x14ac:dyDescent="0.15">
      <c r="B7" s="82" t="s">
        <v>156</v>
      </c>
      <c r="C7" s="94">
        <f>C5/C3</f>
        <v>2.5294117647058822</v>
      </c>
      <c r="D7" s="82" t="s">
        <v>36</v>
      </c>
      <c r="E7" t="s">
        <v>100</v>
      </c>
    </row>
    <row r="8" spans="2:5" x14ac:dyDescent="0.15">
      <c r="B8" s="82"/>
      <c r="C8" s="94"/>
      <c r="D8" s="82"/>
    </row>
    <row r="9" spans="2:5" x14ac:dyDescent="0.15">
      <c r="B9" s="82"/>
      <c r="C9" s="95"/>
      <c r="E9" s="93"/>
    </row>
    <row r="10" spans="2:5" x14ac:dyDescent="0.15">
      <c r="B10" t="s">
        <v>157</v>
      </c>
      <c r="C10" s="97">
        <f>1460/1000</f>
        <v>1.46</v>
      </c>
      <c r="D10" t="s">
        <v>158</v>
      </c>
      <c r="E10" s="93"/>
    </row>
    <row r="11" spans="2:5" x14ac:dyDescent="0.15">
      <c r="B11" t="s">
        <v>159</v>
      </c>
      <c r="C11" s="97">
        <f>60/1000</f>
        <v>0.06</v>
      </c>
      <c r="D11" t="s">
        <v>158</v>
      </c>
      <c r="E11" s="93"/>
    </row>
    <row r="12" spans="2:5" x14ac:dyDescent="0.15">
      <c r="B12" t="s">
        <v>160</v>
      </c>
      <c r="C12" s="98">
        <f>3/1000</f>
        <v>3.0000000000000001E-3</v>
      </c>
      <c r="D12" t="s">
        <v>158</v>
      </c>
      <c r="E12" s="93"/>
    </row>
    <row r="13" spans="2:5" x14ac:dyDescent="0.15">
      <c r="B13" t="s">
        <v>161</v>
      </c>
      <c r="C13" s="98">
        <f>199/1000</f>
        <v>0.19900000000000001</v>
      </c>
      <c r="E13" s="93"/>
    </row>
    <row r="14" spans="2:5" x14ac:dyDescent="0.15">
      <c r="B14" t="s">
        <v>162</v>
      </c>
      <c r="C14" s="98">
        <f>2/1000</f>
        <v>2E-3</v>
      </c>
      <c r="D14" t="s">
        <v>158</v>
      </c>
      <c r="E14" s="93"/>
    </row>
    <row r="15" spans="2:5" x14ac:dyDescent="0.15">
      <c r="B15" s="82"/>
      <c r="C15" s="96"/>
      <c r="E15" s="93"/>
    </row>
    <row r="17" spans="2:18" ht="34" x14ac:dyDescent="0.2">
      <c r="B17" s="79" t="s">
        <v>115</v>
      </c>
      <c r="C17" s="79" t="s">
        <v>116</v>
      </c>
      <c r="D17" s="79" t="s">
        <v>117</v>
      </c>
      <c r="E17" s="79" t="s">
        <v>122</v>
      </c>
      <c r="F17" s="79" t="s">
        <v>163</v>
      </c>
      <c r="G17" s="79" t="s">
        <v>164</v>
      </c>
      <c r="H17" s="79" t="s">
        <v>165</v>
      </c>
      <c r="I17" s="79" t="s">
        <v>166</v>
      </c>
      <c r="J17" s="79" t="s">
        <v>167</v>
      </c>
      <c r="K17" s="79" t="s">
        <v>168</v>
      </c>
    </row>
    <row r="18" spans="2:18" ht="17" x14ac:dyDescent="0.2">
      <c r="B18" s="77">
        <v>2022</v>
      </c>
      <c r="C18" s="77" t="s">
        <v>119</v>
      </c>
      <c r="D18" s="81">
        <v>17500</v>
      </c>
      <c r="E18" s="81">
        <f>D18*D23</f>
        <v>7081.9987384999995</v>
      </c>
      <c r="F18" s="100">
        <f>E18*$C$7</f>
        <v>17913.290926794114</v>
      </c>
      <c r="G18" s="100">
        <f>F18*$C$10</f>
        <v>26153.404753119405</v>
      </c>
      <c r="H18" s="100">
        <f>F18*$C$11</f>
        <v>1074.7974556076467</v>
      </c>
      <c r="I18" s="99">
        <f>F18*$C$12</f>
        <v>53.739872780382342</v>
      </c>
      <c r="J18" s="99">
        <f>F18*$C$13</f>
        <v>3564.744894432029</v>
      </c>
      <c r="K18" s="99">
        <f>F18*$C$14</f>
        <v>35.82658185358823</v>
      </c>
    </row>
    <row r="19" spans="2:18" ht="17" x14ac:dyDescent="0.2">
      <c r="B19" s="77">
        <v>2023</v>
      </c>
      <c r="C19" s="77" t="s">
        <v>121</v>
      </c>
      <c r="D19" s="81">
        <v>42900</v>
      </c>
      <c r="E19" s="81">
        <f>D19*D23</f>
        <v>17361.014050379999</v>
      </c>
      <c r="F19" s="100">
        <f>E19*$C$7</f>
        <v>43913.153186255287</v>
      </c>
      <c r="G19" s="100">
        <f>F19*$C$10</f>
        <v>64113.203651932716</v>
      </c>
      <c r="H19" s="100">
        <f>F19*$C$11</f>
        <v>2634.7891911753172</v>
      </c>
      <c r="I19" s="99">
        <f>F19*$C$12</f>
        <v>131.73945955876587</v>
      </c>
      <c r="J19" s="99">
        <f>F19*$C$13</f>
        <v>8738.7174840648022</v>
      </c>
      <c r="K19" s="99">
        <f>F19*$C$14</f>
        <v>87.826306372510572</v>
      </c>
    </row>
    <row r="20" spans="2:18" ht="16" x14ac:dyDescent="0.2">
      <c r="B20" s="77"/>
      <c r="C20" s="77"/>
      <c r="D20" s="85">
        <f>D18+D19</f>
        <v>60400</v>
      </c>
      <c r="E20" s="83">
        <f>SUM(E18:E19)</f>
        <v>24443.012788879998</v>
      </c>
      <c r="F20" s="83">
        <f>SUM(F18:F19)</f>
        <v>61826.444113049401</v>
      </c>
      <c r="G20" s="83">
        <f>SUM(G18:G19)</f>
        <v>90266.608405052117</v>
      </c>
      <c r="H20" s="83">
        <f>SUM(H18:H19)</f>
        <v>3709.5866467829637</v>
      </c>
      <c r="I20" s="83">
        <f>SUM(I18:I19)</f>
        <v>185.47933233914821</v>
      </c>
      <c r="J20" s="83">
        <f t="shared" ref="J20:K20" si="0">SUM(J18:J19)</f>
        <v>12303.462378496832</v>
      </c>
      <c r="K20" s="83">
        <f t="shared" si="0"/>
        <v>123.65288822609881</v>
      </c>
    </row>
    <row r="23" spans="2:18" ht="17" x14ac:dyDescent="0.2">
      <c r="B23" s="21" t="s">
        <v>70</v>
      </c>
      <c r="C23" s="21" t="s">
        <v>71</v>
      </c>
      <c r="D23" s="21">
        <v>0.40468564219999997</v>
      </c>
      <c r="E23" s="21" t="s">
        <v>8</v>
      </c>
    </row>
    <row r="24" spans="2:18" ht="16" x14ac:dyDescent="0.2">
      <c r="B24" s="21"/>
      <c r="C24" s="21"/>
      <c r="D24" s="21"/>
      <c r="E24" s="21"/>
      <c r="H24" s="116"/>
      <c r="I24" s="116"/>
      <c r="J24" s="116"/>
      <c r="K24" s="116"/>
      <c r="L24" s="116"/>
      <c r="M24" s="116"/>
    </row>
    <row r="25" spans="2:18" ht="16" x14ac:dyDescent="0.2">
      <c r="B25" s="21"/>
      <c r="C25" s="21"/>
      <c r="D25" s="21"/>
      <c r="E25" s="21"/>
      <c r="H25" s="116"/>
      <c r="I25" s="116"/>
      <c r="J25" s="116"/>
      <c r="K25" s="116"/>
      <c r="L25" s="116"/>
      <c r="M25" s="116"/>
    </row>
    <row r="26" spans="2:18" x14ac:dyDescent="0.15">
      <c r="B26" t="s">
        <v>184</v>
      </c>
      <c r="C26" s="138" t="s">
        <v>185</v>
      </c>
      <c r="H26" s="115"/>
      <c r="I26" s="115"/>
      <c r="J26" s="115"/>
      <c r="K26" s="115"/>
      <c r="L26" s="115"/>
    </row>
    <row r="27" spans="2:18" x14ac:dyDescent="0.15">
      <c r="H27" s="115"/>
      <c r="I27" s="115"/>
      <c r="J27" s="115"/>
      <c r="K27" s="115"/>
      <c r="L27" s="115"/>
    </row>
    <row r="28" spans="2:18" ht="29" thickBot="1" x14ac:dyDescent="0.2">
      <c r="C28" s="122" t="s">
        <v>178</v>
      </c>
      <c r="D28" s="121" t="s">
        <v>179</v>
      </c>
      <c r="H28" s="115"/>
      <c r="I28" s="115"/>
      <c r="J28" s="115"/>
      <c r="K28" s="115"/>
      <c r="L28" s="122"/>
      <c r="N28" s="115"/>
      <c r="O28" s="115"/>
      <c r="P28" s="115"/>
    </row>
    <row r="29" spans="2:18" ht="16" thickBot="1" x14ac:dyDescent="0.2">
      <c r="B29" s="119" t="s">
        <v>192</v>
      </c>
      <c r="C29" s="123">
        <v>0.48</v>
      </c>
      <c r="D29" s="123">
        <f>C29+C30</f>
        <v>0.83</v>
      </c>
      <c r="H29" s="115"/>
      <c r="I29" s="115"/>
      <c r="J29" s="115"/>
      <c r="K29" s="115"/>
      <c r="L29" s="115"/>
      <c r="N29" s="115"/>
      <c r="O29" s="115"/>
      <c r="P29" s="115"/>
      <c r="Q29" s="115"/>
      <c r="R29" s="117"/>
    </row>
    <row r="30" spans="2:18" ht="43" thickBot="1" x14ac:dyDescent="0.2">
      <c r="B30" s="120" t="s">
        <v>193</v>
      </c>
      <c r="C30" s="124">
        <v>0.35</v>
      </c>
      <c r="D30" s="124">
        <v>0</v>
      </c>
      <c r="F30" s="128"/>
      <c r="G30" s="129" t="s">
        <v>180</v>
      </c>
      <c r="H30" s="129" t="s">
        <v>197</v>
      </c>
      <c r="I30" s="130" t="s">
        <v>181</v>
      </c>
      <c r="J30" s="130" t="s">
        <v>183</v>
      </c>
      <c r="K30" s="131" t="s">
        <v>182</v>
      </c>
      <c r="L30" s="115"/>
      <c r="N30" s="115"/>
      <c r="O30" s="115"/>
      <c r="P30" s="115"/>
    </row>
    <row r="31" spans="2:18" ht="31" thickBot="1" x14ac:dyDescent="0.2">
      <c r="B31" s="120" t="s">
        <v>194</v>
      </c>
      <c r="C31" s="124">
        <v>0.12</v>
      </c>
      <c r="D31" s="124">
        <v>0</v>
      </c>
      <c r="F31" s="132" t="s">
        <v>2</v>
      </c>
      <c r="G31" s="126">
        <v>1602</v>
      </c>
      <c r="H31" s="126">
        <v>932</v>
      </c>
      <c r="I31" s="127">
        <f>(G31/1000)*D23</f>
        <v>0.6483063988044</v>
      </c>
      <c r="J31" s="127">
        <f>(H32/1000)*D23</f>
        <v>0.37716701853040002</v>
      </c>
      <c r="K31" s="133">
        <f>(I31*C33)+(J31*C32)</f>
        <v>2.02731319316512E-2</v>
      </c>
      <c r="L31" s="115"/>
      <c r="M31" s="115"/>
      <c r="N31" s="115"/>
      <c r="O31" s="115"/>
    </row>
    <row r="32" spans="2:18" ht="46" thickBot="1" x14ac:dyDescent="0.2">
      <c r="B32" s="120" t="s">
        <v>195</v>
      </c>
      <c r="C32" s="124">
        <v>0.04</v>
      </c>
      <c r="D32" s="124">
        <f>C32+C31</f>
        <v>0.16</v>
      </c>
      <c r="F32" s="134" t="s">
        <v>3</v>
      </c>
      <c r="G32" s="135">
        <v>1602</v>
      </c>
      <c r="H32" s="135">
        <v>932</v>
      </c>
      <c r="I32" s="136">
        <f>I31</f>
        <v>0.6483063988044</v>
      </c>
      <c r="J32" s="136">
        <f>(H32/1000)*D23</f>
        <v>0.37716701853040002</v>
      </c>
      <c r="K32" s="137">
        <f>(I32*D33)+(J32*D32)</f>
        <v>6.5533174155299204E-2</v>
      </c>
      <c r="N32" s="116"/>
      <c r="O32" s="116"/>
    </row>
    <row r="33" spans="2:14" ht="16" thickBot="1" x14ac:dyDescent="0.2">
      <c r="B33" s="120" t="s">
        <v>196</v>
      </c>
      <c r="C33" s="125">
        <v>8.0000000000000002E-3</v>
      </c>
      <c r="D33" s="125">
        <v>8.0000000000000002E-3</v>
      </c>
      <c r="J33" s="115"/>
      <c r="K33" s="115"/>
      <c r="M33" s="117"/>
      <c r="N33" s="115"/>
    </row>
    <row r="34" spans="2:14" x14ac:dyDescent="0.15">
      <c r="J34" s="116"/>
      <c r="K34" s="116"/>
      <c r="L34" s="115"/>
      <c r="M34" s="115"/>
    </row>
    <row r="35" spans="2:14" x14ac:dyDescent="0.15">
      <c r="C35" t="s">
        <v>186</v>
      </c>
      <c r="G35" s="153" t="s">
        <v>98</v>
      </c>
      <c r="H35" s="153"/>
      <c r="I35" s="117"/>
      <c r="J35" s="117"/>
      <c r="L35" s="115"/>
      <c r="M35" s="117"/>
      <c r="N35" s="115"/>
    </row>
    <row r="37" spans="2:14" x14ac:dyDescent="0.15">
      <c r="K37" s="118"/>
    </row>
  </sheetData>
  <mergeCells count="1">
    <mergeCell ref="G35:H35"/>
  </mergeCells>
  <hyperlinks>
    <hyperlink ref="C26" r:id="rId1" xr:uid="{22DCB01E-A366-B74B-B2F1-21F920EC5371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F17803376DAB5428D78C1E230564B3C" ma:contentTypeVersion="20" ma:contentTypeDescription="Create a new document." ma:contentTypeScope="" ma:versionID="332dd1b9b2713dc71184d3286e3d7b6b">
  <xsd:schema xmlns:xsd="http://www.w3.org/2001/XMLSchema" xmlns:xs="http://www.w3.org/2001/XMLSchema" xmlns:p="http://schemas.microsoft.com/office/2006/metadata/properties" xmlns:ns2="40ff25b3-493e-4851-82b7-4e504def2eba" xmlns:ns3="87d2df8b-a2fd-4f62-8ef6-4a22c6824c33" xmlns:ns4="43bed21c-ff7a-4a80-97f4-856fc5de82a3" targetNamespace="http://schemas.microsoft.com/office/2006/metadata/properties" ma:root="true" ma:fieldsID="26668a220a0159bbef75d587b3957893" ns2:_="" ns3:_="" ns4:_="">
    <xsd:import namespace="40ff25b3-493e-4851-82b7-4e504def2eba"/>
    <xsd:import namespace="87d2df8b-a2fd-4f62-8ef6-4a22c6824c33"/>
    <xsd:import namespace="43bed21c-ff7a-4a80-97f4-856fc5de82a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LastSharedByUser" minOccurs="0"/>
                <xsd:element ref="ns3:LastSharedByTime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EventHashCode" minOccurs="0"/>
                <xsd:element ref="ns4:MediaServiceGenerationTime" minOccurs="0"/>
                <xsd:element ref="ns4:MediaServiceAutoKeyPoints" minOccurs="0"/>
                <xsd:element ref="ns4:MediaServiceKeyPoints" minOccurs="0"/>
                <xsd:element ref="ns4:MediaLengthInSeconds" minOccurs="0"/>
                <xsd:element ref="ns4:lcf76f155ced4ddcb4097134ff3c332f" minOccurs="0"/>
                <xsd:element ref="ns2:TaxCatchAll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f25b3-493e-4851-82b7-4e504def2eb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6e76a904-278e-435e-b259-2f7e11d2de08}" ma:internalName="TaxCatchAll" ma:showField="CatchAllData" ma:web="40ff25b3-493e-4851-82b7-4e504def2eb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d2df8b-a2fd-4f62-8ef6-4a22c6824c33" elementFormDefault="qualified">
    <xsd:import namespace="http://schemas.microsoft.com/office/2006/documentManagement/types"/>
    <xsd:import namespace="http://schemas.microsoft.com/office/infopath/2007/PartnerControls"/>
    <xsd:element name="LastSharedByUser" ma:index="10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bed21c-ff7a-4a80-97f4-856fc5de82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6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7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c862acf3-5257-4c8e-a7f6-c800878fb9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f25b3-493e-4851-82b7-4e504def2eba" xsi:nil="true"/>
    <lcf76f155ced4ddcb4097134ff3c332f xmlns="43bed21c-ff7a-4a80-97f4-856fc5de82a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BC835BC-4B3F-43B5-8D88-3457172B039F}"/>
</file>

<file path=customXml/itemProps2.xml><?xml version="1.0" encoding="utf-8"?>
<ds:datastoreItem xmlns:ds="http://schemas.openxmlformats.org/officeDocument/2006/customXml" ds:itemID="{09E5C7F3-A434-4235-8868-893721C1EB1F}"/>
</file>

<file path=customXml/itemProps3.xml><?xml version="1.0" encoding="utf-8"?>
<ds:datastoreItem xmlns:ds="http://schemas.openxmlformats.org/officeDocument/2006/customXml" ds:itemID="{A25F07AE-1D22-44DA-837C-45DCA1B746E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IPCC Tier-1</vt:lpstr>
      <vt:lpstr>Project Emissions</vt:lpstr>
      <vt:lpstr>SDG 13</vt:lpstr>
      <vt:lpstr>SDG 1</vt:lpstr>
      <vt:lpstr>SDG 6</vt:lpstr>
      <vt:lpstr>Residue Management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</dc:creator>
  <cp:lastModifiedBy>Zeynep Pınar Öztürk</cp:lastModifiedBy>
  <dcterms:created xsi:type="dcterms:W3CDTF">2013-11-14T04:00:08Z</dcterms:created>
  <dcterms:modified xsi:type="dcterms:W3CDTF">2023-10-10T22:34:31Z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0x010100CF17803376DAB5428D78C1E230564B3C</vt:lpwstr>
  </property>
  <property fmtid="{D5CDD505-2E9C-101B-9397-08002B2CF9AE}" pid="3" name="MediaServiceImageTags">
    <vt:lpwstr/>
  </property>
</Properties>
</file>