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pinarozturk/Documents/Pakistan/GS-Performance Review/Deviation response/"/>
    </mc:Choice>
  </mc:AlternateContent>
  <xr:revisionPtr revIDLastSave="0" documentId="8_{C5D2CA14-79A1-A54D-AA34-401DCE6AFB0C}" xr6:coauthVersionLast="47" xr6:coauthVersionMax="47" xr10:uidLastSave="{00000000-0000-0000-0000-000000000000}"/>
  <bookViews>
    <workbookView xWindow="0" yWindow="500" windowWidth="25600" windowHeight="14120" xr2:uid="{00000000-000D-0000-FFFF-FFFF00000000}"/>
  </bookViews>
  <sheets>
    <sheet name="ER Calculation" sheetId="1" r:id="rId1"/>
    <sheet name="IPCC Tier-1_Registered PDD" sheetId="10" r:id="rId2"/>
    <sheet name="Project Emissions" sheetId="11" r:id="rId3"/>
    <sheet name="Residue Management" sheetId="12" r:id="rId4"/>
    <sheet name="SDG 1&amp;2&amp;12" sheetId="8" r:id="rId5"/>
    <sheet name="Sampled Logbooks_2022" sheetId="4" r:id="rId6"/>
    <sheet name="Sampled Logbooks_2023" sheetId="7" r:id="rId7"/>
    <sheet name="SDG 6" sheetId="3" r:id="rId8"/>
    <sheet name="Other SDGs" sheetId="6" r:id="rId9"/>
    <sheet name="Average Yield Cross-check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1" l="1"/>
  <c r="D5" i="11" l="1"/>
  <c r="D4" i="11"/>
  <c r="B30" i="11"/>
  <c r="B29" i="11"/>
  <c r="B14" i="11"/>
  <c r="J39" i="7" l="1"/>
  <c r="J38" i="7"/>
  <c r="J37" i="7"/>
  <c r="J40" i="7" s="1"/>
  <c r="J40" i="4"/>
  <c r="J38" i="4"/>
  <c r="J39" i="4"/>
  <c r="J37" i="4"/>
  <c r="C14" i="11" l="1"/>
  <c r="B16" i="11"/>
  <c r="B21" i="11" s="1"/>
  <c r="C17" i="8"/>
  <c r="C11" i="8"/>
  <c r="C13" i="8"/>
  <c r="C12" i="3"/>
  <c r="J7" i="10"/>
  <c r="E7" i="10"/>
  <c r="J32" i="12"/>
  <c r="D32" i="12"/>
  <c r="J31" i="12"/>
  <c r="I31" i="12"/>
  <c r="I32" i="12"/>
  <c r="K32" i="12"/>
  <c r="D29" i="12"/>
  <c r="D20" i="12"/>
  <c r="E19" i="12"/>
  <c r="E18" i="12"/>
  <c r="F18" i="12"/>
  <c r="C14" i="12"/>
  <c r="C13" i="12"/>
  <c r="C12" i="12"/>
  <c r="C11" i="12"/>
  <c r="C10" i="12"/>
  <c r="C6" i="12"/>
  <c r="C5" i="12"/>
  <c r="C7" i="12"/>
  <c r="J18" i="12"/>
  <c r="I18" i="12"/>
  <c r="H18" i="12"/>
  <c r="G18" i="12"/>
  <c r="K18" i="12"/>
  <c r="F19" i="12"/>
  <c r="F20" i="12"/>
  <c r="E20" i="12"/>
  <c r="K31" i="12"/>
  <c r="K19" i="12"/>
  <c r="K20" i="12"/>
  <c r="I19" i="12"/>
  <c r="I20" i="12"/>
  <c r="H19" i="12"/>
  <c r="H20" i="12"/>
  <c r="G19" i="12"/>
  <c r="J19" i="12"/>
  <c r="J20" i="12"/>
  <c r="G20" i="12"/>
  <c r="L35" i="7"/>
  <c r="M21" i="7"/>
  <c r="M22" i="7"/>
  <c r="M23" i="7"/>
  <c r="M24" i="7"/>
  <c r="M25" i="7"/>
  <c r="M26" i="7"/>
  <c r="M27" i="7"/>
  <c r="M28" i="7"/>
  <c r="M29" i="7"/>
  <c r="M30" i="7"/>
  <c r="M31" i="7"/>
  <c r="M32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3" i="7"/>
  <c r="L35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3" i="4"/>
  <c r="H19" i="10"/>
  <c r="H20" i="10"/>
  <c r="H21" i="10"/>
  <c r="K7" i="10"/>
  <c r="F7" i="10"/>
  <c r="L7" i="10"/>
  <c r="G3" i="1"/>
  <c r="C3" i="1"/>
  <c r="G4" i="1"/>
  <c r="C4" i="1"/>
  <c r="J5" i="9"/>
  <c r="I5" i="9"/>
  <c r="J4" i="9"/>
  <c r="I4" i="9"/>
  <c r="J3" i="9"/>
  <c r="I3" i="9"/>
  <c r="I2" i="9"/>
  <c r="H3" i="9"/>
  <c r="H4" i="9"/>
  <c r="H5" i="9"/>
  <c r="H2" i="9"/>
  <c r="G5" i="1"/>
  <c r="C5" i="1"/>
  <c r="J2" i="9"/>
  <c r="W35" i="7"/>
  <c r="W35" i="4"/>
  <c r="O36" i="4"/>
  <c r="O35" i="4"/>
  <c r="N36" i="4"/>
  <c r="O36" i="7"/>
  <c r="O35" i="7"/>
  <c r="N36" i="7"/>
  <c r="N35" i="7"/>
  <c r="N35" i="4"/>
  <c r="D29" i="1"/>
  <c r="D28" i="1"/>
  <c r="H18" i="1"/>
  <c r="F35" i="7"/>
  <c r="X35" i="7"/>
  <c r="C20" i="8"/>
  <c r="Q41" i="7"/>
  <c r="R41" i="7"/>
  <c r="Q40" i="7"/>
  <c r="R40" i="7"/>
  <c r="H39" i="7"/>
  <c r="H38" i="7"/>
  <c r="H37" i="7"/>
  <c r="V35" i="7"/>
  <c r="K35" i="7"/>
  <c r="H1" i="1"/>
  <c r="J35" i="7"/>
  <c r="G1" i="1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Q41" i="4"/>
  <c r="R41" i="4"/>
  <c r="Q40" i="4"/>
  <c r="R40" i="4"/>
  <c r="H39" i="4"/>
  <c r="I39" i="4"/>
  <c r="H38" i="4"/>
  <c r="I38" i="4"/>
  <c r="H37" i="4"/>
  <c r="I37" i="4"/>
  <c r="F35" i="4"/>
  <c r="X35" i="4"/>
  <c r="C19" i="8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D18" i="1"/>
  <c r="V35" i="4"/>
  <c r="V37" i="4"/>
  <c r="C7" i="3"/>
  <c r="K35" i="4"/>
  <c r="D1" i="1"/>
  <c r="J35" i="4"/>
  <c r="C1" i="1"/>
  <c r="I38" i="7"/>
  <c r="R42" i="4"/>
  <c r="V37" i="7"/>
  <c r="C8" i="3"/>
  <c r="C4" i="3"/>
  <c r="C11" i="3"/>
  <c r="C5" i="8"/>
  <c r="C7" i="8"/>
  <c r="C15" i="8"/>
  <c r="C8" i="1"/>
  <c r="C16" i="1" s="1"/>
  <c r="C3" i="3"/>
  <c r="C10" i="3"/>
  <c r="C4" i="8"/>
  <c r="C6" i="8"/>
  <c r="C14" i="8"/>
  <c r="C24" i="8"/>
  <c r="R42" i="7"/>
  <c r="C25" i="8"/>
  <c r="G8" i="1"/>
  <c r="G13" i="1" s="1"/>
  <c r="G18" i="1" s="1"/>
  <c r="I39" i="7"/>
  <c r="I37" i="7"/>
  <c r="C31" i="8"/>
  <c r="B5" i="11"/>
  <c r="C16" i="8"/>
  <c r="C30" i="8"/>
  <c r="C33" i="8"/>
  <c r="B4" i="11"/>
  <c r="C13" i="1"/>
  <c r="C21" i="8"/>
  <c r="C26" i="8"/>
  <c r="G16" i="1"/>
  <c r="G20" i="1" l="1"/>
  <c r="C20" i="1"/>
  <c r="C29" i="1"/>
  <c r="C18" i="1"/>
  <c r="C28" i="1"/>
  <c r="D20" i="1"/>
  <c r="D23" i="1" s="1"/>
  <c r="B24" i="11"/>
  <c r="B34" i="11" l="1"/>
  <c r="C22" i="1"/>
  <c r="C23" i="1" s="1"/>
  <c r="C33" i="11" s="1"/>
  <c r="H20" i="1"/>
  <c r="H23" i="1" l="1"/>
  <c r="D30" i="1" s="1"/>
  <c r="G22" i="1"/>
  <c r="G23" i="1" s="1"/>
  <c r="C34" i="11" s="1"/>
  <c r="C25" i="1"/>
  <c r="B35" i="11"/>
  <c r="C31" i="1" l="1"/>
  <c r="C33" i="1" s="1"/>
  <c r="G25" i="1"/>
  <c r="C35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tc={58FC7A1C-EA13-2B4E-877A-83827F913F74}</author>
  </authors>
  <commentList>
    <comment ref="B14" authorId="0" shapeId="0" xr:uid="{58FC7A1C-EA13-2B4E-877A-83827F913F74}">
      <text>
        <t>[Threaded comment]
Your version of Excel allows you to read this threaded comment; however, any edits to it will get removed if the file is opened in a newer version of Excel. Learn more: https://go.microsoft.com/fwlink/?linkid=870924
Comment:
    40% efficient tractors; 60% inefficient tractors are assumed to be used in land preparation. Please see the reference on the right</t>
      </text>
    </comment>
  </commentList>
</comments>
</file>

<file path=xl/sharedStrings.xml><?xml version="1.0" encoding="utf-8"?>
<sst xmlns="http://schemas.openxmlformats.org/spreadsheetml/2006/main" count="772" uniqueCount="325">
  <si>
    <t>Parameters</t>
  </si>
  <si>
    <t>Value</t>
  </si>
  <si>
    <t xml:space="preserve">Unit </t>
  </si>
  <si>
    <t>Energy consumed for irrigation of 1 ha</t>
  </si>
  <si>
    <t>kWh/ha</t>
  </si>
  <si>
    <t>Unit price for electricity</t>
  </si>
  <si>
    <t>Rs/kWh</t>
  </si>
  <si>
    <t>Rs/ha</t>
  </si>
  <si>
    <t>https://iesco.com.pk/index.php/customer-services/tariff-guide</t>
  </si>
  <si>
    <t>ha</t>
  </si>
  <si>
    <t>days</t>
  </si>
  <si>
    <t xml:space="preserve">GWP </t>
  </si>
  <si>
    <t>AR5</t>
  </si>
  <si>
    <t>Amount of water per ha</t>
  </si>
  <si>
    <t>m3</t>
  </si>
  <si>
    <t>Project Area (Ay)</t>
  </si>
  <si>
    <t>Cultivation period (Ly)</t>
  </si>
  <si>
    <t>Baseline emissions</t>
  </si>
  <si>
    <t>Continiously flooded</t>
  </si>
  <si>
    <t>Project emissions</t>
  </si>
  <si>
    <t>AWD</t>
  </si>
  <si>
    <t>ER</t>
  </si>
  <si>
    <t>No Farmer</t>
  </si>
  <si>
    <t>Name and Surname</t>
  </si>
  <si>
    <t>Junaid Nawaz</t>
  </si>
  <si>
    <t>Latitude</t>
  </si>
  <si>
    <t>Longitude</t>
  </si>
  <si>
    <t>Plant Establishment (Date)</t>
  </si>
  <si>
    <t>Harvest (Date)</t>
  </si>
  <si>
    <t xml:space="preserve">Number of irrigation events </t>
  </si>
  <si>
    <t>Muhammad Irshad</t>
  </si>
  <si>
    <t>Conversion</t>
  </si>
  <si>
    <t>Mond</t>
  </si>
  <si>
    <t>kg</t>
  </si>
  <si>
    <t>https://www.convertunits.com/from/kg/to/maund+[Pakistan]</t>
  </si>
  <si>
    <t>Hidayat Ali</t>
  </si>
  <si>
    <t>Mubarik ali</t>
  </si>
  <si>
    <t>Sample No</t>
  </si>
  <si>
    <t>Mian Muhammad Asghar</t>
  </si>
  <si>
    <t>Sarfraz Muhammad khan</t>
  </si>
  <si>
    <t>Sikandar Hayat</t>
  </si>
  <si>
    <t>Muhammad Asghar</t>
  </si>
  <si>
    <t>Muhammad Nawaz</t>
  </si>
  <si>
    <t>Sabir Ali</t>
  </si>
  <si>
    <t>Shabbir Hussain</t>
  </si>
  <si>
    <t>Munawar Hussain</t>
  </si>
  <si>
    <t>Malik Mushtaq Ahmed</t>
  </si>
  <si>
    <t>Amjad Ali</t>
  </si>
  <si>
    <t>Asad Bashir</t>
  </si>
  <si>
    <t>Kashif Imtiaz</t>
  </si>
  <si>
    <t>Irshad Ahmed Dogar</t>
  </si>
  <si>
    <t>Abdul Jabbar</t>
  </si>
  <si>
    <t>Qaiser Mahmood Virk</t>
  </si>
  <si>
    <t>Shahadat Ali</t>
  </si>
  <si>
    <t>Shahbaz Ahmed</t>
  </si>
  <si>
    <t>Ihtisham</t>
  </si>
  <si>
    <t>Muhammad Ishfaq</t>
  </si>
  <si>
    <t>Qasim Ali</t>
  </si>
  <si>
    <t>Muhammad Imran Shahzad</t>
  </si>
  <si>
    <t>Sarfraz Ahmed</t>
  </si>
  <si>
    <t>Muhammad Ishaq</t>
  </si>
  <si>
    <t>Ramzan Ali</t>
  </si>
  <si>
    <t>Rana Azam</t>
  </si>
  <si>
    <t>Shakil Ahmed</t>
  </si>
  <si>
    <t>Cultivation Period (days)</t>
  </si>
  <si>
    <t>Monitored</t>
  </si>
  <si>
    <t>Monitoring Period</t>
  </si>
  <si>
    <t>Saved irrigation events on average</t>
  </si>
  <si>
    <t>AWD Installation</t>
  </si>
  <si>
    <t>AWD Removal</t>
  </si>
  <si>
    <t xml:space="preserve">Baseline </t>
  </si>
  <si>
    <t>SDG 1</t>
  </si>
  <si>
    <t>SDG 2</t>
  </si>
  <si>
    <t>SDG 4</t>
  </si>
  <si>
    <t>SDG 8</t>
  </si>
  <si>
    <t>SDG 3</t>
  </si>
  <si>
    <t>Number of farmers avoided open burning of biomass, crop residue</t>
  </si>
  <si>
    <t>Number of training hours of awareness/outreach events and training aiming to promote Climate Smart Agricultural practices, disaggregated per gender</t>
  </si>
  <si>
    <t>Economic value generated locally via employment</t>
  </si>
  <si>
    <t>11 employees</t>
  </si>
  <si>
    <t>Ex-ante estimation</t>
  </si>
  <si>
    <t>EF</t>
  </si>
  <si>
    <t>Net ERs</t>
  </si>
  <si>
    <r>
      <t>EF</t>
    </r>
    <r>
      <rPr>
        <vertAlign val="subscript"/>
        <sz val="11"/>
        <color rgb="FF4D4D4C"/>
        <rFont val="Verdana"/>
        <family val="2"/>
      </rPr>
      <t>BL,c</t>
    </r>
  </si>
  <si>
    <t>kgCH4/ha/d</t>
  </si>
  <si>
    <t>N2O deduction</t>
  </si>
  <si>
    <t>Difference from ex-ante</t>
  </si>
  <si>
    <t>Plough</t>
  </si>
  <si>
    <t>Puddle</t>
  </si>
  <si>
    <t>Laser</t>
  </si>
  <si>
    <t>Yes</t>
  </si>
  <si>
    <t>No</t>
  </si>
  <si>
    <t>Area</t>
  </si>
  <si>
    <t>%</t>
  </si>
  <si>
    <t>Laser Levelling</t>
  </si>
  <si>
    <t>Pesticide use</t>
  </si>
  <si>
    <t>DAP use  (kg/ac)</t>
  </si>
  <si>
    <t>COUNCIL ACTIVE (gr)</t>
  </si>
  <si>
    <t>CARTAPE (kg)</t>
  </si>
  <si>
    <t>NAVITO+ACTARA (mL+gr</t>
  </si>
  <si>
    <t>125+24</t>
  </si>
  <si>
    <t>65+24</t>
  </si>
  <si>
    <t>VINSTA (gr)/RISES (ml)</t>
  </si>
  <si>
    <t>80 gr</t>
  </si>
  <si>
    <t xml:space="preserve">250ml </t>
  </si>
  <si>
    <t>50+24</t>
  </si>
  <si>
    <t>200+24</t>
  </si>
  <si>
    <t>400 ml REFIT</t>
  </si>
  <si>
    <t>25+24</t>
  </si>
  <si>
    <t>%N by weigth</t>
  </si>
  <si>
    <t>1 acre</t>
  </si>
  <si>
    <t>equals</t>
  </si>
  <si>
    <t>kg/ha</t>
  </si>
  <si>
    <t>Urea (kg/ac)</t>
  </si>
  <si>
    <t>DAP (kgN/ac)</t>
  </si>
  <si>
    <t>Urea (kgN/ac)</t>
  </si>
  <si>
    <t>kgN/ac</t>
  </si>
  <si>
    <t>kg/ac</t>
  </si>
  <si>
    <t>Atta Ullah</t>
  </si>
  <si>
    <t>Muhammad Ghulam Mustafa</t>
  </si>
  <si>
    <t>Ghulam Hassan</t>
  </si>
  <si>
    <t>Umer Farooq</t>
  </si>
  <si>
    <t>Imran Sajjad</t>
  </si>
  <si>
    <t>Adnan Ahmed</t>
  </si>
  <si>
    <t>Sulaman Liaqat</t>
  </si>
  <si>
    <t>Majid Ali</t>
  </si>
  <si>
    <t>Sikandar Abbas</t>
  </si>
  <si>
    <t>Allah Rakha</t>
  </si>
  <si>
    <t>Rashid Waqas</t>
  </si>
  <si>
    <t>Muhammad Maalik</t>
  </si>
  <si>
    <t>Shahid Mahmood</t>
  </si>
  <si>
    <t>Miraj Din</t>
  </si>
  <si>
    <t>Sakhawat Ali</t>
  </si>
  <si>
    <t xml:space="preserve">Tanvir </t>
  </si>
  <si>
    <t>Muhammad Ilyas</t>
  </si>
  <si>
    <t>Sajid Ali Bhatti</t>
  </si>
  <si>
    <t>Khadim Hussain</t>
  </si>
  <si>
    <t>Muhammad Aslam</t>
  </si>
  <si>
    <t>Muhammad Wallait</t>
  </si>
  <si>
    <t>Azam Ali</t>
  </si>
  <si>
    <t>Sajjad Ali</t>
  </si>
  <si>
    <t>Abdur Rehman</t>
  </si>
  <si>
    <t>Raye Adil Zahoor</t>
  </si>
  <si>
    <t>Rai Anwaar</t>
  </si>
  <si>
    <t xml:space="preserve">Umar Daraz </t>
  </si>
  <si>
    <t>Nazir Hussain</t>
  </si>
  <si>
    <t>Muhammad Saeed</t>
  </si>
  <si>
    <t>Farm Clean</t>
  </si>
  <si>
    <t>Score/Nativo+Palinum (mL+gr)</t>
  </si>
  <si>
    <t>Harvest Area (acre)</t>
  </si>
  <si>
    <t>Average Yield per kg/ha (2022)</t>
  </si>
  <si>
    <t>Average Yield per kg/ha (2023)</t>
  </si>
  <si>
    <t>Increase 2022</t>
  </si>
  <si>
    <t>TOTAL ERS</t>
  </si>
  <si>
    <t>Saved irrigation events-2022</t>
  </si>
  <si>
    <t>Saved irrigation events-2023</t>
  </si>
  <si>
    <t>Total amunt of water saved per ha-2022</t>
  </si>
  <si>
    <t>Total amunt of water saved per ha-2023</t>
  </si>
  <si>
    <t>TOTAL</t>
  </si>
  <si>
    <t>Irrigation events -2022</t>
  </si>
  <si>
    <t>Irrigation events -2023</t>
  </si>
  <si>
    <t>Energy consumed-2022</t>
  </si>
  <si>
    <t>Energy consumed -2023</t>
  </si>
  <si>
    <t>Total cost per ha- 2022</t>
  </si>
  <si>
    <t>Total cost per ha- 2023</t>
  </si>
  <si>
    <t>Registered PDD</t>
  </si>
  <si>
    <t>TOTAL SAVINGS</t>
  </si>
  <si>
    <t>Baseline cost ( 2 seasons)</t>
  </si>
  <si>
    <t>AVERAGE</t>
  </si>
  <si>
    <t>BASELINE</t>
  </si>
  <si>
    <t>PROJECT</t>
  </si>
  <si>
    <t>Emissions</t>
  </si>
  <si>
    <t>Difference</t>
  </si>
  <si>
    <t>Ex ante</t>
  </si>
  <si>
    <t>Baseline  consumption per ha</t>
  </si>
  <si>
    <t>Project consumption per ha-2022</t>
  </si>
  <si>
    <t>Project consumption per ha-2023</t>
  </si>
  <si>
    <t>Installation</t>
  </si>
  <si>
    <t>Removal</t>
  </si>
  <si>
    <t>Earliest date</t>
  </si>
  <si>
    <t>Latest date</t>
  </si>
  <si>
    <t>MP</t>
  </si>
  <si>
    <t>SDG 12</t>
  </si>
  <si>
    <t>Baseline</t>
  </si>
  <si>
    <t>kgN/ha</t>
  </si>
  <si>
    <t>Total yield (Monds)</t>
  </si>
  <si>
    <t>TOTAL (kg)</t>
  </si>
  <si>
    <t>Area (ac)</t>
  </si>
  <si>
    <t>TOTAL (ac)</t>
  </si>
  <si>
    <t>AVERAGE YIELD (kg/ha)</t>
  </si>
  <si>
    <t>Sr#</t>
  </si>
  <si>
    <t>Farmers Name</t>
  </si>
  <si>
    <t>Village</t>
  </si>
  <si>
    <t>District</t>
  </si>
  <si>
    <t>Acre</t>
  </si>
  <si>
    <t>Chak Saikham</t>
  </si>
  <si>
    <t>Sheikhupura</t>
  </si>
  <si>
    <t>UCC - 47</t>
  </si>
  <si>
    <t>Bhago Dhial</t>
  </si>
  <si>
    <t>Fatehpur</t>
  </si>
  <si>
    <t>KG</t>
  </si>
  <si>
    <t>Project</t>
  </si>
  <si>
    <t>Project ID</t>
  </si>
  <si>
    <t>Project title</t>
  </si>
  <si>
    <t>Methane Reduction from Rice Cultivation in Punjab Pakistan</t>
  </si>
  <si>
    <t>Project Developer</t>
  </si>
  <si>
    <t xml:space="preserve">NetZeroAg Ltd </t>
  </si>
  <si>
    <r>
      <t>EF_</t>
    </r>
    <r>
      <rPr>
        <sz val="12"/>
        <color theme="1"/>
        <rFont val="Calibri (Body)"/>
      </rPr>
      <t>BL,c</t>
    </r>
  </si>
  <si>
    <t>Project Scenarios</t>
  </si>
  <si>
    <t>Emission Reduction Factor</t>
  </si>
  <si>
    <t>SFw</t>
  </si>
  <si>
    <t>SFp</t>
  </si>
  <si>
    <t>SFo</t>
  </si>
  <si>
    <t>Emission Factor</t>
  </si>
  <si>
    <t>For single cropping, continiously flooding</t>
  </si>
  <si>
    <t xml:space="preserve">
Change the water regime from continuously to AWD</t>
  </si>
  <si>
    <t>Source</t>
  </si>
  <si>
    <t>GS Methodology</t>
  </si>
  <si>
    <t>Table 4</t>
  </si>
  <si>
    <t>Table 5</t>
  </si>
  <si>
    <t>Table 6</t>
  </si>
  <si>
    <t>Calculated</t>
  </si>
  <si>
    <t>SFo Calculation for Farmyard Manure</t>
  </si>
  <si>
    <t>Average number of cattles</t>
  </si>
  <si>
    <t xml:space="preserve">Average land holdings </t>
  </si>
  <si>
    <t>acre</t>
  </si>
  <si>
    <t>Animal dung used as farm manure</t>
  </si>
  <si>
    <t>percentage</t>
  </si>
  <si>
    <t>Average droppings</t>
  </si>
  <si>
    <t>kg/head/day</t>
  </si>
  <si>
    <t>Farmyard manure applied</t>
  </si>
  <si>
    <t>t/acre/year</t>
  </si>
  <si>
    <t>t/ha/year</t>
  </si>
  <si>
    <t>SFo (Farmyard manure)</t>
  </si>
  <si>
    <t>1st year</t>
  </si>
  <si>
    <t>PE (N2O)
Correction Factor</t>
  </si>
  <si>
    <t>2nd year</t>
  </si>
  <si>
    <t>Area of project fields in year y (ha)- 2022</t>
  </si>
  <si>
    <t>Area of project fields in year y (ha)- 2023 onwards</t>
  </si>
  <si>
    <t xml:space="preserve">Cultivation period of rice in year y (days/year) </t>
  </si>
  <si>
    <t>day</t>
  </si>
  <si>
    <t xml:space="preserve">Global warming potential of CH4 </t>
  </si>
  <si>
    <t>tCO2e/tCH4</t>
  </si>
  <si>
    <t>A</t>
  </si>
  <si>
    <t>L</t>
  </si>
  <si>
    <t>A x L</t>
  </si>
  <si>
    <t>Weighted Ave</t>
  </si>
  <si>
    <t>Total area harvested</t>
  </si>
  <si>
    <t>Mha</t>
  </si>
  <si>
    <t>Residue produced</t>
  </si>
  <si>
    <t>Mt</t>
  </si>
  <si>
    <t>Potential residue burned</t>
  </si>
  <si>
    <t xml:space="preserve"> Mt</t>
  </si>
  <si>
    <t>Residue produced per ha</t>
  </si>
  <si>
    <t>t/ha</t>
  </si>
  <si>
    <t>Potential residue burned per ha</t>
  </si>
  <si>
    <t>CO2 produced per ton</t>
  </si>
  <si>
    <t>t/t</t>
  </si>
  <si>
    <t>CO produced per ton</t>
  </si>
  <si>
    <t>PM</t>
  </si>
  <si>
    <t>Ash</t>
  </si>
  <si>
    <t>SO2</t>
  </si>
  <si>
    <t>Year </t>
  </si>
  <si>
    <t>Average land (acres)</t>
  </si>
  <si>
    <t>Total land (acres)</t>
  </si>
  <si>
    <t>Total land (ha)</t>
  </si>
  <si>
    <t>Residue burned (t)</t>
  </si>
  <si>
    <t>tCO2</t>
  </si>
  <si>
    <t>tCO</t>
  </si>
  <si>
    <t>PM (ton)</t>
  </si>
  <si>
    <t>Ash (ton)</t>
  </si>
  <si>
    <t>SO2 (ton)</t>
  </si>
  <si>
    <t>25 </t>
  </si>
  <si>
    <t>33 </t>
  </si>
  <si>
    <t>Source:</t>
  </si>
  <si>
    <t>http://www.aerc.edu.pk/wp-content/uploads/2019/12/Paper-845-TANVIR-AHMED-V-1.pdf</t>
  </si>
  <si>
    <t>Baseline Scenario</t>
  </si>
  <si>
    <t>Project Scenario</t>
  </si>
  <si>
    <t>100% removal (REM)</t>
  </si>
  <si>
    <t>100% burning (CBR)</t>
  </si>
  <si>
    <t>Production of residue per acre (kg/ac)</t>
  </si>
  <si>
    <t>Partial incorporation (kg/ac) (RPBL)</t>
  </si>
  <si>
    <t>Total incorporation (t/ha)</t>
  </si>
  <si>
    <t>Partial Incorporation (t/ha)</t>
  </si>
  <si>
    <t>Total (t/ha)</t>
  </si>
  <si>
    <t>Removal of upper part burning of lower part (RPBL)</t>
  </si>
  <si>
    <t>Removal of upper part incorporation of lower part (RPIN)</t>
  </si>
  <si>
    <t>100% incorporation (IN)</t>
  </si>
  <si>
    <t>Table 2</t>
  </si>
  <si>
    <t>11 employees 
7 training sessions
467 farmers in 2022 and 
8 training sessions on the implementation of AWD method.</t>
  </si>
  <si>
    <t>11 employees 
7 training sessions
1437 farmers in 2023 
11 training sessions on the implementation of AWD method.</t>
  </si>
  <si>
    <t>Irrigaiton events in baseline</t>
  </si>
  <si>
    <t>Total cost per season</t>
  </si>
  <si>
    <t>Increase 2023</t>
  </si>
  <si>
    <t xml:space="preserve">Land Preparation </t>
  </si>
  <si>
    <t>L/acre</t>
  </si>
  <si>
    <t>L/ha</t>
  </si>
  <si>
    <t>Quantity of HSD used in Project scenario</t>
  </si>
  <si>
    <t>GCV of HSD</t>
  </si>
  <si>
    <t>MJ/l</t>
  </si>
  <si>
    <t>TJ/l</t>
  </si>
  <si>
    <t>EF (CO2) for Diesel*</t>
  </si>
  <si>
    <t>tonne/TJ</t>
  </si>
  <si>
    <t>*Table 9, Pakistan 2nd National Communication</t>
  </si>
  <si>
    <t>http://www.gcisc.org.pk/SNC_Pakistan.pdf</t>
  </si>
  <si>
    <t>Converted for lt diesel</t>
  </si>
  <si>
    <t>tCO2/ l diesel</t>
  </si>
  <si>
    <t>Project scenario</t>
  </si>
  <si>
    <t>Emissions per ha (tCO2/ha)</t>
  </si>
  <si>
    <t>Share of land cultivated by tractor</t>
  </si>
  <si>
    <t>Percentage to Total ERs</t>
  </si>
  <si>
    <t>Total area cultivated by tractor (ha) (2022)</t>
  </si>
  <si>
    <t>Total area cultivated by tractor (ha) (2023)</t>
  </si>
  <si>
    <t>Total tCO2 (2022)</t>
  </si>
  <si>
    <t>Total tCO2 (2023)</t>
  </si>
  <si>
    <t>CO2 deduction</t>
  </si>
  <si>
    <t>MP Period</t>
  </si>
  <si>
    <t>85% (2022)
100% (2023)</t>
  </si>
  <si>
    <t>N2O Emissions for MP</t>
  </si>
  <si>
    <t>Baseline estimate</t>
  </si>
  <si>
    <t>Weighted average</t>
  </si>
  <si>
    <t>WA</t>
  </si>
  <si>
    <t>Section 2.4. Energy Efficiency in Agriculture Sector, National Action Plan</t>
  </si>
  <si>
    <t>https://neeca.pk/neecagov/neecafiles/DRAFT-NEEC-ACTION-PLAN-2023-2030.pdf</t>
  </si>
  <si>
    <t>Ex ante estimate for project scenario in the registered PDD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</si>
</sst>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  <numFmt numFmtId="167" formatCode="0.000"/>
    <numFmt numFmtId="168" formatCode="#,##0.0000"/>
    <numFmt numFmtId="169" formatCode="0.000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D4D4C"/>
      <name val="Verdana"/>
      <family val="2"/>
    </font>
    <font>
      <b/>
      <sz val="11"/>
      <color rgb="FF4D4D4C"/>
      <name val="Verdan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rgb="FF4D4D4C"/>
      <name val="Verdana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4"/>
      <color rgb="FF4D4D4C"/>
      <name val="Verdana"/>
      <family val="2"/>
    </font>
    <font>
      <b/>
      <sz val="10"/>
      <color rgb="FF000000"/>
      <name val="Calibri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Verdana"/>
      <family val="2"/>
    </font>
    <font>
      <sz val="10"/>
      <color theme="1"/>
      <name val="Arial"/>
      <family val="2"/>
    </font>
    <font>
      <sz val="12"/>
      <color theme="1"/>
      <name val="Calibri (Body)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4C4C49"/>
      <name val="Verdana"/>
      <family val="2"/>
    </font>
    <font>
      <sz val="12"/>
      <color rgb="FF4C4C49"/>
      <name val="Verdana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00"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0" xfId="0" applyFont="1"/>
    <xf numFmtId="165" fontId="2" fillId="0" borderId="0" xfId="1" applyNumberFormat="1" applyFont="1"/>
    <xf numFmtId="3" fontId="0" fillId="0" borderId="0" xfId="0" applyNumberFormat="1"/>
    <xf numFmtId="0" fontId="0" fillId="2" borderId="0" xfId="0" applyFill="1"/>
    <xf numFmtId="0" fontId="2" fillId="2" borderId="0" xfId="0" applyFont="1" applyFill="1"/>
    <xf numFmtId="43" fontId="2" fillId="2" borderId="0" xfId="1" applyFont="1" applyFill="1"/>
    <xf numFmtId="14" fontId="0" fillId="0" borderId="0" xfId="0" applyNumberFormat="1"/>
    <xf numFmtId="1" fontId="0" fillId="0" borderId="0" xfId="0" applyNumberFormat="1"/>
    <xf numFmtId="0" fontId="2" fillId="3" borderId="0" xfId="0" applyFont="1" applyFill="1" applyAlignment="1">
      <alignment wrapText="1"/>
    </xf>
    <xf numFmtId="43" fontId="0" fillId="0" borderId="0" xfId="1" applyFont="1"/>
    <xf numFmtId="0" fontId="2" fillId="2" borderId="0" xfId="0" applyFont="1" applyFill="1" applyAlignment="1">
      <alignment wrapText="1"/>
    </xf>
    <xf numFmtId="0" fontId="0" fillId="3" borderId="0" xfId="0" applyFill="1"/>
    <xf numFmtId="2" fontId="0" fillId="3" borderId="0" xfId="0" applyNumberFormat="1" applyFill="1"/>
    <xf numFmtId="43" fontId="0" fillId="3" borderId="0" xfId="1" applyFont="1" applyFill="1"/>
    <xf numFmtId="0" fontId="0" fillId="0" borderId="0" xfId="0" applyAlignment="1">
      <alignment wrapText="1"/>
    </xf>
    <xf numFmtId="0" fontId="7" fillId="0" borderId="0" xfId="0" applyFont="1"/>
    <xf numFmtId="9" fontId="0" fillId="0" borderId="0" xfId="4" applyFont="1"/>
    <xf numFmtId="2" fontId="2" fillId="2" borderId="0" xfId="0" applyNumberFormat="1" applyFont="1" applyFill="1"/>
    <xf numFmtId="0" fontId="3" fillId="0" borderId="0" xfId="0" applyFont="1"/>
    <xf numFmtId="14" fontId="2" fillId="0" borderId="0" xfId="0" applyNumberFormat="1" applyFont="1"/>
    <xf numFmtId="166" fontId="0" fillId="0" borderId="0" xfId="4" applyNumberFormat="1" applyFont="1"/>
    <xf numFmtId="0" fontId="9" fillId="0" borderId="0" xfId="0" applyFont="1"/>
    <xf numFmtId="0" fontId="0" fillId="0" borderId="1" xfId="0" applyBorder="1"/>
    <xf numFmtId="0" fontId="2" fillId="0" borderId="1" xfId="0" applyFont="1" applyBorder="1"/>
    <xf numFmtId="166" fontId="0" fillId="0" borderId="1" xfId="4" applyNumberFormat="1" applyFont="1" applyBorder="1"/>
    <xf numFmtId="0" fontId="10" fillId="0" borderId="0" xfId="0" applyFont="1"/>
    <xf numFmtId="9" fontId="0" fillId="0" borderId="0" xfId="0" applyNumberFormat="1"/>
    <xf numFmtId="0" fontId="11" fillId="0" borderId="0" xfId="0" applyFont="1"/>
    <xf numFmtId="1" fontId="10" fillId="0" borderId="0" xfId="0" applyNumberFormat="1" applyFont="1"/>
    <xf numFmtId="14" fontId="7" fillId="0" borderId="0" xfId="0" applyNumberFormat="1" applyFont="1"/>
    <xf numFmtId="0" fontId="4" fillId="4" borderId="0" xfId="0" applyFont="1" applyFill="1"/>
    <xf numFmtId="165" fontId="2" fillId="4" borderId="0" xfId="0" applyNumberFormat="1" applyFont="1" applyFill="1"/>
    <xf numFmtId="0" fontId="4" fillId="4" borderId="0" xfId="0" applyFont="1" applyFill="1" applyAlignment="1">
      <alignment vertical="center" wrapText="1"/>
    </xf>
    <xf numFmtId="0" fontId="12" fillId="4" borderId="0" xfId="0" applyFont="1" applyFill="1"/>
    <xf numFmtId="0" fontId="13" fillId="5" borderId="0" xfId="0" applyFont="1" applyFill="1"/>
    <xf numFmtId="165" fontId="12" fillId="5" borderId="0" xfId="0" applyNumberFormat="1" applyFont="1" applyFill="1"/>
    <xf numFmtId="43" fontId="0" fillId="0" borderId="0" xfId="1" applyFont="1" applyFill="1"/>
    <xf numFmtId="0" fontId="6" fillId="0" borderId="0" xfId="2"/>
    <xf numFmtId="3" fontId="2" fillId="2" borderId="0" xfId="0" applyNumberFormat="1" applyFont="1" applyFill="1"/>
    <xf numFmtId="9" fontId="2" fillId="2" borderId="0" xfId="4" applyFont="1" applyFill="1"/>
    <xf numFmtId="2" fontId="2" fillId="0" borderId="0" xfId="0" applyNumberFormat="1" applyFont="1"/>
    <xf numFmtId="166" fontId="0" fillId="0" borderId="0" xfId="0" applyNumberFormat="1"/>
    <xf numFmtId="3" fontId="2" fillId="0" borderId="0" xfId="0" applyNumberFormat="1" applyFont="1"/>
    <xf numFmtId="165" fontId="0" fillId="0" borderId="0" xfId="0" applyNumberFormat="1"/>
    <xf numFmtId="165" fontId="1" fillId="0" borderId="0" xfId="1" applyNumberFormat="1" applyFont="1"/>
    <xf numFmtId="14" fontId="10" fillId="0" borderId="0" xfId="0" applyNumberFormat="1" applyFont="1"/>
    <xf numFmtId="14" fontId="0" fillId="6" borderId="0" xfId="0" applyNumberFormat="1" applyFill="1"/>
    <xf numFmtId="0" fontId="2" fillId="0" borderId="0" xfId="0" applyFont="1" applyAlignment="1">
      <alignment horizontal="center" vertical="center"/>
    </xf>
    <xf numFmtId="1" fontId="2" fillId="0" borderId="0" xfId="0" applyNumberFormat="1" applyFont="1"/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167" fontId="0" fillId="0" borderId="0" xfId="0" applyNumberFormat="1"/>
    <xf numFmtId="0" fontId="2" fillId="0" borderId="0" xfId="5" applyFont="1"/>
    <xf numFmtId="0" fontId="1" fillId="0" borderId="0" xfId="5" applyFont="1"/>
    <xf numFmtId="0" fontId="1" fillId="0" borderId="0" xfId="5" applyFont="1" applyAlignment="1">
      <alignment wrapText="1"/>
    </xf>
    <xf numFmtId="0" fontId="1" fillId="0" borderId="1" xfId="5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8" xfId="5" applyFont="1" applyBorder="1" applyAlignment="1">
      <alignment horizontal="left" vertical="center" wrapText="1"/>
    </xf>
    <xf numFmtId="168" fontId="1" fillId="0" borderId="8" xfId="5" applyNumberFormat="1" applyFont="1" applyBorder="1" applyAlignment="1">
      <alignment horizontal="center" vertical="center" wrapText="1"/>
    </xf>
    <xf numFmtId="4" fontId="1" fillId="0" borderId="8" xfId="5" applyNumberFormat="1" applyFont="1" applyBorder="1" applyAlignment="1">
      <alignment horizontal="center" vertical="center"/>
    </xf>
    <xf numFmtId="4" fontId="1" fillId="0" borderId="8" xfId="5" applyNumberFormat="1" applyFont="1" applyBorder="1" applyAlignment="1">
      <alignment horizontal="center" vertical="center" wrapText="1"/>
    </xf>
    <xf numFmtId="4" fontId="1" fillId="0" borderId="8" xfId="5" applyNumberFormat="1" applyFont="1" applyBorder="1" applyAlignment="1">
      <alignment vertical="center"/>
    </xf>
    <xf numFmtId="0" fontId="1" fillId="0" borderId="1" xfId="5" applyFont="1" applyBorder="1" applyAlignment="1">
      <alignment horizontal="left" vertical="center" wrapText="1"/>
    </xf>
    <xf numFmtId="4" fontId="1" fillId="0" borderId="1" xfId="5" applyNumberFormat="1" applyFont="1" applyBorder="1" applyAlignment="1">
      <alignment horizontal="center" vertical="center" wrapText="1"/>
    </xf>
    <xf numFmtId="4" fontId="1" fillId="0" borderId="1" xfId="5" applyNumberFormat="1" applyFont="1" applyBorder="1" applyAlignment="1">
      <alignment horizontal="center" vertical="center"/>
    </xf>
    <xf numFmtId="4" fontId="1" fillId="0" borderId="1" xfId="5" applyNumberFormat="1" applyFont="1" applyBorder="1" applyAlignment="1">
      <alignment vertical="center"/>
    </xf>
    <xf numFmtId="4" fontId="1" fillId="0" borderId="0" xfId="5" applyNumberFormat="1" applyFont="1" applyAlignment="1">
      <alignment horizontal="center" vertical="center"/>
    </xf>
    <xf numFmtId="4" fontId="1" fillId="0" borderId="0" xfId="5" applyNumberFormat="1" applyFont="1" applyAlignment="1">
      <alignment vertical="center"/>
    </xf>
    <xf numFmtId="0" fontId="1" fillId="0" borderId="0" xfId="5" applyFont="1" applyAlignment="1">
      <alignment horizontal="left" vertical="center" wrapText="1"/>
    </xf>
    <xf numFmtId="4" fontId="1" fillId="0" borderId="0" xfId="5" applyNumberFormat="1" applyFont="1" applyAlignment="1">
      <alignment horizontal="center" vertical="center" wrapText="1"/>
    </xf>
    <xf numFmtId="0" fontId="20" fillId="0" borderId="0" xfId="5" applyFont="1" applyAlignment="1">
      <alignment wrapText="1"/>
    </xf>
    <xf numFmtId="49" fontId="1" fillId="0" borderId="0" xfId="5" applyNumberFormat="1" applyFont="1" applyAlignment="1">
      <alignment horizontal="center" vertical="center"/>
    </xf>
    <xf numFmtId="0" fontId="2" fillId="0" borderId="1" xfId="5" applyFont="1" applyBorder="1"/>
    <xf numFmtId="0" fontId="1" fillId="0" borderId="1" xfId="5" applyFont="1" applyBorder="1"/>
    <xf numFmtId="0" fontId="2" fillId="0" borderId="1" xfId="5" applyFont="1" applyBorder="1" applyAlignment="1">
      <alignment wrapText="1"/>
    </xf>
    <xf numFmtId="9" fontId="1" fillId="0" borderId="1" xfId="5" applyNumberFormat="1" applyFont="1" applyBorder="1"/>
    <xf numFmtId="2" fontId="1" fillId="0" borderId="1" xfId="5" applyNumberFormat="1" applyFont="1" applyBorder="1"/>
    <xf numFmtId="169" fontId="1" fillId="0" borderId="1" xfId="5" applyNumberFormat="1" applyFont="1" applyBorder="1"/>
    <xf numFmtId="0" fontId="2" fillId="0" borderId="0" xfId="5" applyFont="1" applyAlignment="1">
      <alignment horizontal="left" vertical="center" wrapText="1"/>
    </xf>
    <xf numFmtId="165" fontId="2" fillId="0" borderId="0" xfId="6" applyNumberFormat="1" applyFont="1"/>
    <xf numFmtId="0" fontId="17" fillId="0" borderId="0" xfId="5" applyFont="1"/>
    <xf numFmtId="0" fontId="11" fillId="0" borderId="0" xfId="5" applyFont="1"/>
    <xf numFmtId="165" fontId="11" fillId="0" borderId="0" xfId="6" applyNumberFormat="1" applyFont="1"/>
    <xf numFmtId="1" fontId="17" fillId="7" borderId="0" xfId="5" applyNumberFormat="1" applyFont="1" applyFill="1"/>
    <xf numFmtId="0" fontId="17" fillId="7" borderId="0" xfId="5" applyFont="1" applyFill="1"/>
    <xf numFmtId="165" fontId="17" fillId="7" borderId="0" xfId="6" applyNumberFormat="1" applyFont="1" applyFill="1"/>
    <xf numFmtId="0" fontId="17" fillId="0" borderId="0" xfId="5" applyFont="1" applyAlignment="1">
      <alignment horizontal="center" wrapText="1"/>
    </xf>
    <xf numFmtId="165" fontId="17" fillId="0" borderId="0" xfId="6" applyNumberFormat="1" applyFont="1" applyFill="1"/>
    <xf numFmtId="0" fontId="24" fillId="0" borderId="1" xfId="0" applyFont="1" applyBorder="1" applyAlignment="1">
      <alignment wrapText="1"/>
    </xf>
    <xf numFmtId="165" fontId="20" fillId="0" borderId="1" xfId="6" applyNumberFormat="1" applyFont="1" applyBorder="1"/>
    <xf numFmtId="0" fontId="20" fillId="0" borderId="1" xfId="0" applyFont="1" applyBorder="1"/>
    <xf numFmtId="0" fontId="18" fillId="0" borderId="0" xfId="5"/>
    <xf numFmtId="0" fontId="25" fillId="0" borderId="0" xfId="5" applyFont="1"/>
    <xf numFmtId="2" fontId="25" fillId="0" borderId="0" xfId="5" applyNumberFormat="1" applyFont="1"/>
    <xf numFmtId="166" fontId="25" fillId="0" borderId="0" xfId="7" applyNumberFormat="1" applyFont="1"/>
    <xf numFmtId="9" fontId="0" fillId="0" borderId="0" xfId="7" applyFont="1"/>
    <xf numFmtId="2" fontId="18" fillId="0" borderId="0" xfId="7" applyNumberFormat="1" applyFont="1"/>
    <xf numFmtId="167" fontId="18" fillId="0" borderId="0" xfId="7" applyNumberFormat="1" applyFont="1"/>
    <xf numFmtId="2" fontId="25" fillId="0" borderId="0" xfId="7" applyNumberFormat="1" applyFont="1"/>
    <xf numFmtId="0" fontId="24" fillId="0" borderId="1" xfId="5" applyFont="1" applyBorder="1" applyAlignment="1">
      <alignment wrapText="1"/>
    </xf>
    <xf numFmtId="0" fontId="20" fillId="0" borderId="1" xfId="5" applyFont="1" applyBorder="1" applyAlignment="1">
      <alignment wrapText="1"/>
    </xf>
    <xf numFmtId="165" fontId="20" fillId="0" borderId="1" xfId="6" applyNumberFormat="1" applyFont="1" applyBorder="1" applyAlignment="1">
      <alignment wrapText="1"/>
    </xf>
    <xf numFmtId="165" fontId="18" fillId="0" borderId="1" xfId="5" applyNumberFormat="1" applyBorder="1"/>
    <xf numFmtId="43" fontId="18" fillId="0" borderId="1" xfId="5" applyNumberFormat="1" applyBorder="1"/>
    <xf numFmtId="165" fontId="20" fillId="0" borderId="1" xfId="5" applyNumberFormat="1" applyFont="1" applyBorder="1" applyAlignment="1">
      <alignment wrapText="1"/>
    </xf>
    <xf numFmtId="165" fontId="24" fillId="0" borderId="1" xfId="6" applyNumberFormat="1" applyFont="1" applyBorder="1" applyAlignment="1">
      <alignment wrapText="1"/>
    </xf>
    <xf numFmtId="10" fontId="18" fillId="0" borderId="0" xfId="5" applyNumberFormat="1"/>
    <xf numFmtId="0" fontId="21" fillId="0" borderId="0" xfId="8"/>
    <xf numFmtId="2" fontId="18" fillId="0" borderId="0" xfId="5" applyNumberFormat="1"/>
    <xf numFmtId="2" fontId="25" fillId="0" borderId="0" xfId="5" applyNumberFormat="1" applyFont="1" applyAlignment="1">
      <alignment wrapText="1"/>
    </xf>
    <xf numFmtId="0" fontId="25" fillId="0" borderId="0" xfId="5" applyFont="1" applyAlignment="1">
      <alignment wrapText="1"/>
    </xf>
    <xf numFmtId="0" fontId="3" fillId="0" borderId="5" xfId="5" applyFont="1" applyBorder="1" applyAlignment="1">
      <alignment vertical="center" wrapText="1"/>
    </xf>
    <xf numFmtId="9" fontId="3" fillId="0" borderId="10" xfId="7" applyFont="1" applyBorder="1" applyAlignment="1">
      <alignment vertical="center" wrapText="1"/>
    </xf>
    <xf numFmtId="43" fontId="18" fillId="0" borderId="0" xfId="5" applyNumberFormat="1"/>
    <xf numFmtId="0" fontId="3" fillId="0" borderId="7" xfId="5" applyFont="1" applyBorder="1" applyAlignment="1">
      <alignment vertical="center" wrapText="1"/>
    </xf>
    <xf numFmtId="9" fontId="3" fillId="0" borderId="6" xfId="7" applyFont="1" applyBorder="1" applyAlignment="1">
      <alignment vertical="center" wrapText="1"/>
    </xf>
    <xf numFmtId="0" fontId="18" fillId="0" borderId="11" xfId="5" applyBorder="1"/>
    <xf numFmtId="0" fontId="25" fillId="0" borderId="12" xfId="5" applyFont="1" applyBorder="1" applyAlignment="1">
      <alignment wrapText="1"/>
    </xf>
    <xf numFmtId="2" fontId="25" fillId="0" borderId="12" xfId="5" applyNumberFormat="1" applyFont="1" applyBorder="1" applyAlignment="1">
      <alignment wrapText="1"/>
    </xf>
    <xf numFmtId="2" fontId="25" fillId="0" borderId="13" xfId="5" applyNumberFormat="1" applyFont="1" applyBorder="1"/>
    <xf numFmtId="0" fontId="25" fillId="0" borderId="14" xfId="5" applyFont="1" applyBorder="1"/>
    <xf numFmtId="0" fontId="3" fillId="0" borderId="1" xfId="5" applyFont="1" applyBorder="1" applyAlignment="1">
      <alignment vertical="center" wrapText="1"/>
    </xf>
    <xf numFmtId="2" fontId="18" fillId="0" borderId="1" xfId="5" applyNumberFormat="1" applyBorder="1"/>
    <xf numFmtId="2" fontId="18" fillId="0" borderId="15" xfId="5" applyNumberFormat="1" applyBorder="1"/>
    <xf numFmtId="0" fontId="25" fillId="0" borderId="16" xfId="5" applyFont="1" applyBorder="1"/>
    <xf numFmtId="0" fontId="3" fillId="0" borderId="17" xfId="5" applyFont="1" applyBorder="1" applyAlignment="1">
      <alignment vertical="center" wrapText="1"/>
    </xf>
    <xf numFmtId="2" fontId="18" fillId="0" borderId="17" xfId="5" applyNumberFormat="1" applyBorder="1"/>
    <xf numFmtId="2" fontId="18" fillId="0" borderId="18" xfId="5" applyNumberFormat="1" applyBorder="1"/>
    <xf numFmtId="166" fontId="3" fillId="0" borderId="6" xfId="7" applyNumberFormat="1" applyFont="1" applyBorder="1" applyAlignment="1">
      <alignment vertical="center" wrapText="1"/>
    </xf>
    <xf numFmtId="165" fontId="18" fillId="0" borderId="0" xfId="5" applyNumberFormat="1"/>
    <xf numFmtId="0" fontId="17" fillId="0" borderId="19" xfId="0" applyFont="1" applyBorder="1"/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2" fontId="23" fillId="0" borderId="18" xfId="0" applyNumberFormat="1" applyFont="1" applyBorder="1" applyAlignment="1">
      <alignment vertical="center" wrapText="1"/>
    </xf>
    <xf numFmtId="0" fontId="17" fillId="0" borderId="0" xfId="0" applyFont="1"/>
    <xf numFmtId="2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11" xfId="0" applyFont="1" applyBorder="1"/>
    <xf numFmtId="0" fontId="17" fillId="0" borderId="13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167" fontId="11" fillId="0" borderId="18" xfId="0" applyNumberFormat="1" applyFont="1" applyBorder="1"/>
    <xf numFmtId="0" fontId="17" fillId="0" borderId="11" xfId="0" applyFont="1" applyBorder="1"/>
    <xf numFmtId="165" fontId="11" fillId="0" borderId="1" xfId="6" applyNumberFormat="1" applyFont="1" applyBorder="1"/>
    <xf numFmtId="0" fontId="17" fillId="0" borderId="0" xfId="0" applyFont="1" applyAlignment="1">
      <alignment wrapText="1"/>
    </xf>
    <xf numFmtId="0" fontId="11" fillId="7" borderId="0" xfId="5" applyFont="1" applyFill="1"/>
    <xf numFmtId="0" fontId="17" fillId="8" borderId="0" xfId="5" applyFont="1" applyFill="1"/>
    <xf numFmtId="0" fontId="11" fillId="8" borderId="0" xfId="5" applyFont="1" applyFill="1"/>
    <xf numFmtId="0" fontId="17" fillId="8" borderId="1" xfId="5" applyFont="1" applyFill="1" applyBorder="1"/>
    <xf numFmtId="165" fontId="17" fillId="8" borderId="1" xfId="6" applyNumberFormat="1" applyFont="1" applyFill="1" applyBorder="1"/>
    <xf numFmtId="2" fontId="17" fillId="8" borderId="1" xfId="5" applyNumberFormat="1" applyFont="1" applyFill="1" applyBorder="1"/>
    <xf numFmtId="165" fontId="17" fillId="0" borderId="1" xfId="6" applyNumberFormat="1" applyFont="1" applyBorder="1"/>
    <xf numFmtId="1" fontId="17" fillId="0" borderId="12" xfId="0" applyNumberFormat="1" applyFont="1" applyBorder="1"/>
    <xf numFmtId="0" fontId="11" fillId="0" borderId="1" xfId="0" applyFont="1" applyBorder="1"/>
    <xf numFmtId="9" fontId="2" fillId="0" borderId="13" xfId="4" applyFont="1" applyBorder="1"/>
    <xf numFmtId="0" fontId="17" fillId="0" borderId="14" xfId="0" applyFont="1" applyBorder="1"/>
    <xf numFmtId="9" fontId="2" fillId="0" borderId="15" xfId="4" applyFont="1" applyBorder="1"/>
    <xf numFmtId="0" fontId="11" fillId="0" borderId="16" xfId="0" applyFont="1" applyBorder="1"/>
    <xf numFmtId="165" fontId="17" fillId="0" borderId="17" xfId="0" applyNumberFormat="1" applyFont="1" applyBorder="1"/>
    <xf numFmtId="166" fontId="17" fillId="0" borderId="18" xfId="7" applyNumberFormat="1" applyFont="1" applyBorder="1"/>
    <xf numFmtId="0" fontId="17" fillId="0" borderId="20" xfId="0" applyFont="1" applyBorder="1" applyAlignment="1">
      <alignment wrapText="1"/>
    </xf>
    <xf numFmtId="165" fontId="11" fillId="0" borderId="21" xfId="6" applyNumberFormat="1" applyFont="1" applyBorder="1"/>
    <xf numFmtId="165" fontId="17" fillId="0" borderId="22" xfId="6" applyNumberFormat="1" applyFont="1" applyBorder="1"/>
    <xf numFmtId="0" fontId="17" fillId="0" borderId="1" xfId="0" applyFont="1" applyBorder="1" applyAlignment="1">
      <alignment wrapText="1"/>
    </xf>
    <xf numFmtId="9" fontId="11" fillId="0" borderId="1" xfId="0" applyNumberFormat="1" applyFont="1" applyBorder="1" applyAlignment="1">
      <alignment wrapText="1"/>
    </xf>
    <xf numFmtId="0" fontId="11" fillId="8" borderId="1" xfId="5" applyFont="1" applyFill="1" applyBorder="1"/>
    <xf numFmtId="9" fontId="0" fillId="0" borderId="1" xfId="4" applyFont="1" applyBorder="1"/>
    <xf numFmtId="9" fontId="2" fillId="0" borderId="0" xfId="0" applyNumberFormat="1" applyFont="1"/>
    <xf numFmtId="166" fontId="0" fillId="0" borderId="2" xfId="4" applyNumberFormat="1" applyFont="1" applyBorder="1"/>
    <xf numFmtId="9" fontId="0" fillId="0" borderId="1" xfId="0" applyNumberFormat="1" applyBorder="1"/>
    <xf numFmtId="0" fontId="1" fillId="0" borderId="1" xfId="5" applyFont="1" applyBorder="1" applyAlignment="1">
      <alignment horizontal="center" vertical="center" wrapText="1"/>
    </xf>
    <xf numFmtId="0" fontId="1" fillId="0" borderId="8" xfId="5" applyFont="1" applyBorder="1" applyAlignment="1">
      <alignment horizontal="center" vertical="center" wrapText="1"/>
    </xf>
    <xf numFmtId="0" fontId="1" fillId="0" borderId="9" xfId="5" applyFont="1" applyBorder="1" applyAlignment="1">
      <alignment horizontal="center" vertical="center" wrapText="1"/>
    </xf>
    <xf numFmtId="0" fontId="2" fillId="0" borderId="2" xfId="5" applyFont="1" applyBorder="1" applyAlignment="1">
      <alignment horizontal="center" wrapText="1"/>
    </xf>
    <xf numFmtId="0" fontId="2" fillId="0" borderId="3" xfId="5" applyFont="1" applyBorder="1" applyAlignment="1">
      <alignment horizontal="center" wrapText="1"/>
    </xf>
    <xf numFmtId="0" fontId="2" fillId="0" borderId="4" xfId="5" applyFont="1" applyBorder="1" applyAlignment="1">
      <alignment horizontal="center" wrapText="1"/>
    </xf>
    <xf numFmtId="0" fontId="2" fillId="0" borderId="1" xfId="5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17" fillId="7" borderId="0" xfId="5" applyFont="1" applyFill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8" fillId="0" borderId="0" xfId="5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9">
    <cellStyle name="Comma" xfId="1" builtinId="3"/>
    <cellStyle name="Comma 2" xfId="3" xr:uid="{F926D8E6-1D9B-3E43-B2A5-3AE5A7197F97}"/>
    <cellStyle name="Comma 3" xfId="6" xr:uid="{1368B397-04C5-EA4D-AB0F-AFBF96101A1D}"/>
    <cellStyle name="Hyperlink 2" xfId="8" xr:uid="{69C5ACC9-6E27-6545-AFD3-145A6DB08574}"/>
    <cellStyle name="Normal" xfId="0" builtinId="0"/>
    <cellStyle name="Normal 2" xfId="2" xr:uid="{DD60F782-AC42-BA4E-A29A-7FDE32310DE7}"/>
    <cellStyle name="Normal 3" xfId="5" xr:uid="{182832A5-F086-854F-8CAB-08AD5BBDDEB5}"/>
    <cellStyle name="Percent" xfId="4" builtinId="5"/>
    <cellStyle name="Percent 2" xfId="7" xr:uid="{40CB7E23-AC89-C94F-A802-586A59FF6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9</xdr:col>
      <xdr:colOff>393700</xdr:colOff>
      <xdr:row>29</xdr:row>
      <xdr:rowOff>346060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48A4CA-A4FD-E84D-A12D-D0E4FBCC5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5257800"/>
          <a:ext cx="7772400" cy="37623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inar Ogretmen" id="{85FE09A4-3BB6-C547-92F3-4072E7525D07}" userId="7c779592f9300638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dT="2024-12-20T11:56:55.81" personId="{85FE09A4-3BB6-C547-92F3-4072E7525D07}" id="{58FC7A1C-EA13-2B4E-877A-83827F913F74}">
    <text>40% efficient tractors; 60% inefficient tractors are assumed to be used in land preparation. Please see the reference on the right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erc.edu.pk/wp-content/uploads/2019/12/Paper-845-TANVIR-AHMED-V-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tabSelected="1" topLeftCell="A9" workbookViewId="0">
      <selection activeCell="G7" sqref="G7"/>
    </sheetView>
  </sheetViews>
  <sheetFormatPr baseColWidth="10" defaultColWidth="11" defaultRowHeight="16" x14ac:dyDescent="0.2"/>
  <cols>
    <col min="2" max="2" width="29.33203125" customWidth="1"/>
    <col min="3" max="3" width="19.83203125" customWidth="1"/>
    <col min="4" max="4" width="19.5" customWidth="1"/>
    <col min="5" max="5" width="19.83203125" customWidth="1"/>
    <col min="6" max="6" width="24.83203125" customWidth="1"/>
    <col min="7" max="7" width="28.1640625" customWidth="1"/>
    <col min="8" max="8" width="30.6640625" customWidth="1"/>
  </cols>
  <sheetData>
    <row r="1" spans="2:8" x14ac:dyDescent="0.2">
      <c r="B1" s="3" t="s">
        <v>66</v>
      </c>
      <c r="C1" s="25">
        <f>'Sampled Logbooks_2022'!J35</f>
        <v>44734</v>
      </c>
      <c r="D1" s="25">
        <f>'Sampled Logbooks_2022'!K35</f>
        <v>44881</v>
      </c>
      <c r="F1" s="3" t="s">
        <v>66</v>
      </c>
      <c r="G1" s="25">
        <f>'Sampled Logbooks_2023'!J35</f>
        <v>45092</v>
      </c>
      <c r="H1" s="25">
        <f>'Sampled Logbooks_2023'!K35</f>
        <v>45246</v>
      </c>
    </row>
    <row r="3" spans="2:8" x14ac:dyDescent="0.2">
      <c r="B3" s="24" t="s">
        <v>83</v>
      </c>
      <c r="C3" s="65">
        <f>'IPCC Tier-1_Registered PDD'!F7</f>
        <v>1.2177203592565251</v>
      </c>
      <c r="D3" t="s">
        <v>84</v>
      </c>
      <c r="F3" s="24" t="s">
        <v>83</v>
      </c>
      <c r="G3" s="65">
        <f>'IPCC Tier-1_Registered PDD'!F7</f>
        <v>1.2177203592565251</v>
      </c>
      <c r="H3" t="s">
        <v>84</v>
      </c>
    </row>
    <row r="4" spans="2:8" x14ac:dyDescent="0.2">
      <c r="B4" t="s">
        <v>81</v>
      </c>
      <c r="C4" s="65">
        <f>'IPCC Tier-1_Registered PDD'!K7</f>
        <v>0.67200813548606031</v>
      </c>
      <c r="D4" t="s">
        <v>84</v>
      </c>
      <c r="F4" t="s">
        <v>81</v>
      </c>
      <c r="G4" s="65">
        <f>'IPCC Tier-1_Registered PDD'!K7</f>
        <v>0.67200813548606031</v>
      </c>
      <c r="H4" t="s">
        <v>84</v>
      </c>
    </row>
    <row r="5" spans="2:8" x14ac:dyDescent="0.2">
      <c r="B5" t="s">
        <v>81</v>
      </c>
      <c r="C5" s="65">
        <f>'IPCC Tier-1_Registered PDD'!L7</f>
        <v>0.5457122237704648</v>
      </c>
      <c r="D5" t="s">
        <v>84</v>
      </c>
      <c r="F5" t="s">
        <v>81</v>
      </c>
      <c r="G5" s="65">
        <f>'IPCC Tier-1_Registered PDD'!L7</f>
        <v>0.5457122237704648</v>
      </c>
      <c r="H5" t="s">
        <v>84</v>
      </c>
    </row>
    <row r="7" spans="2:8" x14ac:dyDescent="0.2">
      <c r="B7" s="5" t="s">
        <v>15</v>
      </c>
      <c r="C7" s="8">
        <v>7082.2010813210991</v>
      </c>
      <c r="D7" t="s">
        <v>9</v>
      </c>
      <c r="F7" s="5" t="s">
        <v>15</v>
      </c>
      <c r="G7" s="8">
        <v>24462.437699705599</v>
      </c>
      <c r="H7" t="s">
        <v>9</v>
      </c>
    </row>
    <row r="8" spans="2:8" ht="30" x14ac:dyDescent="0.2">
      <c r="B8" s="5" t="s">
        <v>16</v>
      </c>
      <c r="C8" s="13">
        <f>'Sampled Logbooks_2022'!L35</f>
        <v>133.10906237740289</v>
      </c>
      <c r="D8" t="s">
        <v>10</v>
      </c>
      <c r="F8" s="5" t="s">
        <v>16</v>
      </c>
      <c r="G8" s="13">
        <f>'Sampled Logbooks_2023'!L35</f>
        <v>126.20750293083236</v>
      </c>
      <c r="H8" t="s">
        <v>10</v>
      </c>
    </row>
    <row r="9" spans="2:8" x14ac:dyDescent="0.2">
      <c r="B9" s="5" t="s">
        <v>11</v>
      </c>
      <c r="C9">
        <v>28</v>
      </c>
      <c r="D9" t="s">
        <v>12</v>
      </c>
      <c r="F9" s="5" t="s">
        <v>11</v>
      </c>
      <c r="G9">
        <v>28</v>
      </c>
      <c r="H9" t="s">
        <v>12</v>
      </c>
    </row>
    <row r="10" spans="2:8" x14ac:dyDescent="0.2">
      <c r="B10" s="5"/>
      <c r="F10" s="5"/>
    </row>
    <row r="11" spans="2:8" ht="19" x14ac:dyDescent="0.25">
      <c r="B11" s="38"/>
      <c r="C11" s="39" t="s">
        <v>181</v>
      </c>
      <c r="D11" s="39" t="s">
        <v>80</v>
      </c>
      <c r="F11" s="38"/>
      <c r="G11" s="39" t="s">
        <v>181</v>
      </c>
      <c r="H11" s="39" t="s">
        <v>80</v>
      </c>
    </row>
    <row r="12" spans="2:8" ht="30" x14ac:dyDescent="0.2">
      <c r="B12" s="5" t="s">
        <v>17</v>
      </c>
      <c r="F12" s="5" t="s">
        <v>17</v>
      </c>
      <c r="G12" s="3"/>
      <c r="H12" s="3"/>
    </row>
    <row r="13" spans="2:8" ht="30" x14ac:dyDescent="0.2">
      <c r="B13" s="5" t="s">
        <v>18</v>
      </c>
      <c r="C13" s="7">
        <f>(C7*C8*C9*C3)/1000</f>
        <v>32142.634956732789</v>
      </c>
      <c r="D13" s="7">
        <v>31391</v>
      </c>
      <c r="F13" s="5" t="s">
        <v>18</v>
      </c>
      <c r="G13" s="7">
        <f>(G7*G8*G9*G3)/1000</f>
        <v>105266.57801726543</v>
      </c>
      <c r="H13" s="7">
        <v>108344</v>
      </c>
    </row>
    <row r="14" spans="2:8" x14ac:dyDescent="0.2">
      <c r="B14" s="6"/>
      <c r="F14" s="6"/>
    </row>
    <row r="15" spans="2:8" x14ac:dyDescent="0.2">
      <c r="B15" s="5" t="s">
        <v>19</v>
      </c>
      <c r="C15" s="3"/>
      <c r="F15" s="5" t="s">
        <v>19</v>
      </c>
      <c r="G15" s="3"/>
    </row>
    <row r="16" spans="2:8" x14ac:dyDescent="0.2">
      <c r="B16" s="5" t="s">
        <v>20</v>
      </c>
      <c r="C16" s="7">
        <f>(C7*C8*C9*C4)/1000</f>
        <v>17738.154759990168</v>
      </c>
      <c r="D16" s="7">
        <v>17323</v>
      </c>
      <c r="F16" s="5" t="s">
        <v>20</v>
      </c>
      <c r="G16" s="7">
        <f>(G7*G8*G9*G4)/1000</f>
        <v>58092.152508290572</v>
      </c>
      <c r="H16" s="7">
        <v>59790</v>
      </c>
    </row>
    <row r="18" spans="2:8" x14ac:dyDescent="0.2">
      <c r="B18" s="5" t="s">
        <v>21</v>
      </c>
      <c r="C18" s="4">
        <f>(C13-C16)*(1-0.15)</f>
        <v>12243.808167231227</v>
      </c>
      <c r="D18" s="4">
        <f>ROUNDDOWN((D13-D16)*(1-0.15),0)</f>
        <v>11957</v>
      </c>
      <c r="F18" s="5" t="s">
        <v>21</v>
      </c>
      <c r="G18" s="4">
        <f>(G13-G16)*(1-0.15)</f>
        <v>40098.261682628632</v>
      </c>
      <c r="H18" s="4">
        <f>ROUNDDOWN((H13-H16)*(1-0.15),0)</f>
        <v>41270</v>
      </c>
    </row>
    <row r="19" spans="2:8" x14ac:dyDescent="0.2">
      <c r="B19" s="5"/>
      <c r="C19" s="4"/>
      <c r="D19" s="4"/>
      <c r="F19" s="5"/>
      <c r="G19" s="4"/>
      <c r="H19" s="4"/>
    </row>
    <row r="20" spans="2:8" x14ac:dyDescent="0.2">
      <c r="B20" s="6" t="s">
        <v>85</v>
      </c>
      <c r="C20" s="4">
        <f>'Project Emissions'!D4</f>
        <v>465.9893136</v>
      </c>
      <c r="D20" s="54">
        <f>'Project Emissions'!B9</f>
        <v>633</v>
      </c>
      <c r="F20" s="6" t="s">
        <v>85</v>
      </c>
      <c r="G20" s="48">
        <f>'Project Emissions'!D5</f>
        <v>1609.5609856000001</v>
      </c>
      <c r="H20" s="48">
        <f>'Project Emissions'!B10</f>
        <v>2186</v>
      </c>
    </row>
    <row r="21" spans="2:8" x14ac:dyDescent="0.2">
      <c r="B21" s="6"/>
      <c r="C21" s="4"/>
      <c r="D21" s="54"/>
      <c r="F21" s="6"/>
      <c r="G21" s="48"/>
      <c r="H21" s="48"/>
    </row>
    <row r="22" spans="2:8" x14ac:dyDescent="0.2">
      <c r="B22" s="6" t="s">
        <v>315</v>
      </c>
      <c r="C22" s="54">
        <f>'Project Emissions'!B33</f>
        <v>910</v>
      </c>
      <c r="D22" s="48">
        <v>0</v>
      </c>
      <c r="F22" s="6" t="s">
        <v>315</v>
      </c>
      <c r="G22" s="3">
        <f>'Project Emissions'!B34</f>
        <v>2641</v>
      </c>
      <c r="H22" s="54">
        <v>0</v>
      </c>
    </row>
    <row r="23" spans="2:8" x14ac:dyDescent="0.2">
      <c r="B23" s="36" t="s">
        <v>82</v>
      </c>
      <c r="C23" s="37">
        <f>ROUNDDOWN(C18-C20-C22,0)</f>
        <v>10867</v>
      </c>
      <c r="D23" s="37">
        <f>D18-D20-D22</f>
        <v>11324</v>
      </c>
      <c r="F23" s="36" t="s">
        <v>82</v>
      </c>
      <c r="G23" s="37">
        <f>ROUNDDOWN(G18-G20-G22,0)</f>
        <v>35847</v>
      </c>
      <c r="H23" s="37">
        <f>H18-H20-H22</f>
        <v>39084</v>
      </c>
    </row>
    <row r="24" spans="2:8" x14ac:dyDescent="0.2">
      <c r="B24" s="6"/>
      <c r="F24" s="6"/>
    </row>
    <row r="25" spans="2:8" x14ac:dyDescent="0.2">
      <c r="B25" s="6" t="s">
        <v>86</v>
      </c>
      <c r="C25" s="26">
        <f>(C23-D23)/C23</f>
        <v>-4.2053924726235391E-2</v>
      </c>
      <c r="F25" s="6" t="s">
        <v>86</v>
      </c>
      <c r="G25" s="26">
        <f>(G23-H23)/G23</f>
        <v>-9.0300443551761658E-2</v>
      </c>
    </row>
    <row r="26" spans="2:8" x14ac:dyDescent="0.2">
      <c r="B26" s="6"/>
      <c r="C26" s="26"/>
      <c r="F26" s="6"/>
      <c r="G26" s="26"/>
    </row>
    <row r="27" spans="2:8" x14ac:dyDescent="0.2">
      <c r="B27" s="6"/>
      <c r="C27" s="3" t="s">
        <v>171</v>
      </c>
      <c r="D27" s="3" t="s">
        <v>173</v>
      </c>
    </row>
    <row r="28" spans="2:8" x14ac:dyDescent="0.2">
      <c r="B28" s="6" t="s">
        <v>169</v>
      </c>
      <c r="C28" s="49">
        <f>C13+G13</f>
        <v>137409.21297399822</v>
      </c>
      <c r="D28" s="49">
        <f>D13+H13</f>
        <v>139735</v>
      </c>
    </row>
    <row r="29" spans="2:8" x14ac:dyDescent="0.2">
      <c r="B29" s="6" t="s">
        <v>170</v>
      </c>
      <c r="C29" s="50">
        <f>C16+G16</f>
        <v>75830.30726828074</v>
      </c>
      <c r="D29" s="49">
        <f>D16+H16</f>
        <v>77113</v>
      </c>
    </row>
    <row r="30" spans="2:8" x14ac:dyDescent="0.2">
      <c r="B30" s="6"/>
      <c r="D30" s="49">
        <f>D23+H23</f>
        <v>50408</v>
      </c>
    </row>
    <row r="31" spans="2:8" ht="19" x14ac:dyDescent="0.25">
      <c r="B31" s="40" t="s">
        <v>153</v>
      </c>
      <c r="C31" s="41">
        <f>C23+G23</f>
        <v>46714</v>
      </c>
    </row>
    <row r="32" spans="2:8" x14ac:dyDescent="0.2">
      <c r="B32" s="6"/>
    </row>
    <row r="33" spans="2:3" x14ac:dyDescent="0.2">
      <c r="B33" s="6" t="s">
        <v>172</v>
      </c>
      <c r="C33" s="26">
        <f>(C31-D30)/D30</f>
        <v>-7.3282018727186163E-2</v>
      </c>
    </row>
    <row r="34" spans="2:3" x14ac:dyDescent="0.2">
      <c r="B34" s="6"/>
    </row>
    <row r="35" spans="2:3" x14ac:dyDescent="0.2">
      <c r="B35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D6C2-10C2-B84E-87B5-4191532A2E83}">
  <dimension ref="A1:J8"/>
  <sheetViews>
    <sheetView workbookViewId="0">
      <selection activeCell="J12" sqref="J12"/>
    </sheetView>
  </sheetViews>
  <sheetFormatPr baseColWidth="10" defaultRowHeight="16" x14ac:dyDescent="0.2"/>
  <cols>
    <col min="8" max="8" width="12.6640625" bestFit="1" customWidth="1"/>
    <col min="10" max="10" width="11.6640625" bestFit="1" customWidth="1"/>
  </cols>
  <sheetData>
    <row r="1" spans="1:10" ht="31" thickBot="1" x14ac:dyDescent="0.25">
      <c r="A1" s="55" t="s">
        <v>190</v>
      </c>
      <c r="B1" s="56" t="s">
        <v>191</v>
      </c>
      <c r="C1" s="56" t="s">
        <v>192</v>
      </c>
      <c r="D1" s="56" t="s">
        <v>193</v>
      </c>
      <c r="E1" s="56" t="s">
        <v>25</v>
      </c>
      <c r="F1" s="56" t="s">
        <v>26</v>
      </c>
      <c r="G1" s="56" t="s">
        <v>194</v>
      </c>
      <c r="H1" s="56" t="s">
        <v>9</v>
      </c>
      <c r="I1" s="56" t="s">
        <v>200</v>
      </c>
      <c r="J1" s="56" t="s">
        <v>112</v>
      </c>
    </row>
    <row r="2" spans="1:10" ht="31" thickBot="1" x14ac:dyDescent="0.25">
      <c r="A2" s="57">
        <v>272</v>
      </c>
      <c r="B2" s="58" t="s">
        <v>120</v>
      </c>
      <c r="C2" s="59" t="s">
        <v>195</v>
      </c>
      <c r="D2" s="60" t="s">
        <v>196</v>
      </c>
      <c r="E2" s="60">
        <v>31.756883999999999</v>
      </c>
      <c r="F2" s="60">
        <v>74.143029999999996</v>
      </c>
      <c r="G2" s="59">
        <v>20</v>
      </c>
      <c r="H2" s="62">
        <f>G2*$D$8</f>
        <v>8.0937128439999988</v>
      </c>
      <c r="I2" s="59">
        <f>6250+5250+4990+4430+5930+2740</f>
        <v>29590</v>
      </c>
      <c r="J2" s="63">
        <f>I2/H2</f>
        <v>3655.9241191680712</v>
      </c>
    </row>
    <row r="3" spans="1:10" ht="31" thickBot="1" x14ac:dyDescent="0.25">
      <c r="A3" s="57">
        <v>699</v>
      </c>
      <c r="B3" s="61" t="s">
        <v>125</v>
      </c>
      <c r="C3" s="60" t="s">
        <v>197</v>
      </c>
      <c r="D3" s="60" t="s">
        <v>196</v>
      </c>
      <c r="E3" s="60">
        <v>31.8141943</v>
      </c>
      <c r="F3" s="60">
        <v>74.312619999999995</v>
      </c>
      <c r="G3" s="60">
        <v>30</v>
      </c>
      <c r="H3" s="62">
        <f t="shared" ref="H3:H5" si="0">G3*$D$8</f>
        <v>12.140569266</v>
      </c>
      <c r="I3" s="60">
        <f>11240+13000+12530+5190+6190</f>
        <v>48150</v>
      </c>
      <c r="J3" s="64">
        <f>I3/H3</f>
        <v>3966.0413729400157</v>
      </c>
    </row>
    <row r="4" spans="1:10" ht="31" thickBot="1" x14ac:dyDescent="0.25">
      <c r="A4" s="57">
        <v>1125</v>
      </c>
      <c r="B4" s="61" t="s">
        <v>131</v>
      </c>
      <c r="C4" s="60" t="s">
        <v>198</v>
      </c>
      <c r="D4" s="60" t="s">
        <v>196</v>
      </c>
      <c r="E4" s="60">
        <v>31.967573000000002</v>
      </c>
      <c r="F4" s="60">
        <v>74.50958</v>
      </c>
      <c r="G4" s="60">
        <v>6</v>
      </c>
      <c r="H4" s="62">
        <f t="shared" si="0"/>
        <v>2.4281138531999997</v>
      </c>
      <c r="I4" s="60">
        <f>5230+4240</f>
        <v>9470</v>
      </c>
      <c r="J4" s="64">
        <f>I4/H4</f>
        <v>3900.146604542259</v>
      </c>
    </row>
    <row r="5" spans="1:10" ht="31" thickBot="1" x14ac:dyDescent="0.25">
      <c r="A5" s="57">
        <v>1441</v>
      </c>
      <c r="B5" s="61" t="s">
        <v>132</v>
      </c>
      <c r="C5" s="60" t="s">
        <v>199</v>
      </c>
      <c r="D5" s="60" t="s">
        <v>196</v>
      </c>
      <c r="E5" s="60">
        <v>31.819096299999998</v>
      </c>
      <c r="F5" s="60">
        <v>74.195729999999998</v>
      </c>
      <c r="G5" s="60">
        <v>16</v>
      </c>
      <c r="H5" s="62">
        <f t="shared" si="0"/>
        <v>6.4749702751999996</v>
      </c>
      <c r="I5" s="60">
        <f>5850+6820+5600+6010</f>
        <v>24280</v>
      </c>
      <c r="J5" s="64">
        <f>I5/H5</f>
        <v>3749.824164134875</v>
      </c>
    </row>
    <row r="8" spans="1:10" x14ac:dyDescent="0.2">
      <c r="B8" s="33" t="s">
        <v>110</v>
      </c>
      <c r="C8" s="33" t="s">
        <v>111</v>
      </c>
      <c r="D8" s="33">
        <v>0.40468564219999997</v>
      </c>
      <c r="E8" s="33"/>
      <c r="F8" s="3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5338-0251-4B44-9380-F6583C042412}">
  <dimension ref="A1:M34"/>
  <sheetViews>
    <sheetView workbookViewId="0">
      <selection activeCell="D14" sqref="D14"/>
    </sheetView>
  </sheetViews>
  <sheetFormatPr baseColWidth="10" defaultColWidth="9.1640625" defaultRowHeight="16" x14ac:dyDescent="0.2"/>
  <cols>
    <col min="1" max="1" width="35.5" style="67" customWidth="1"/>
    <col min="2" max="2" width="26" style="67" customWidth="1"/>
    <col min="3" max="3" width="17.83203125" style="67" customWidth="1"/>
    <col min="4" max="4" width="15.1640625" style="67" customWidth="1"/>
    <col min="5" max="5" width="15" style="67" customWidth="1"/>
    <col min="6" max="6" width="23.33203125" style="68" customWidth="1"/>
    <col min="7" max="7" width="28.33203125" style="68" customWidth="1"/>
    <col min="8" max="8" width="26.6640625" style="67" customWidth="1"/>
    <col min="9" max="9" width="18.5" style="67" customWidth="1"/>
    <col min="10" max="10" width="13" style="67" customWidth="1"/>
    <col min="11" max="11" width="13.5" style="67" customWidth="1"/>
    <col min="12" max="12" width="17.5" style="67" customWidth="1"/>
    <col min="13" max="16384" width="9.1640625" style="67"/>
  </cols>
  <sheetData>
    <row r="1" spans="1:12" x14ac:dyDescent="0.2">
      <c r="A1" s="66" t="s">
        <v>202</v>
      </c>
      <c r="B1" s="67">
        <v>11709</v>
      </c>
    </row>
    <row r="2" spans="1:12" x14ac:dyDescent="0.2">
      <c r="A2" s="66" t="s">
        <v>203</v>
      </c>
      <c r="B2" s="67" t="s">
        <v>204</v>
      </c>
    </row>
    <row r="3" spans="1:12" x14ac:dyDescent="0.2">
      <c r="A3" s="66" t="s">
        <v>205</v>
      </c>
      <c r="B3" s="67" t="s">
        <v>206</v>
      </c>
    </row>
    <row r="4" spans="1:12" x14ac:dyDescent="0.2">
      <c r="A4" s="66"/>
    </row>
    <row r="5" spans="1:12" x14ac:dyDescent="0.2">
      <c r="B5" s="192" t="s">
        <v>207</v>
      </c>
      <c r="C5" s="192" t="s">
        <v>183</v>
      </c>
      <c r="D5" s="192"/>
      <c r="E5" s="192"/>
      <c r="F5" s="192"/>
      <c r="G5" s="185" t="s">
        <v>208</v>
      </c>
      <c r="H5" s="192" t="s">
        <v>201</v>
      </c>
      <c r="I5" s="192"/>
      <c r="J5" s="192"/>
      <c r="K5" s="192"/>
      <c r="L5" s="185" t="s">
        <v>209</v>
      </c>
    </row>
    <row r="6" spans="1:12" ht="34" x14ac:dyDescent="0.2">
      <c r="B6" s="192"/>
      <c r="C6" s="69" t="s">
        <v>210</v>
      </c>
      <c r="D6" s="69" t="s">
        <v>211</v>
      </c>
      <c r="E6" s="69" t="s">
        <v>212</v>
      </c>
      <c r="F6" s="70" t="s">
        <v>213</v>
      </c>
      <c r="G6" s="185"/>
      <c r="H6" s="69" t="s">
        <v>210</v>
      </c>
      <c r="I6" s="69" t="s">
        <v>211</v>
      </c>
      <c r="J6" s="69" t="s">
        <v>212</v>
      </c>
      <c r="K6" s="70" t="s">
        <v>213</v>
      </c>
      <c r="L6" s="185"/>
    </row>
    <row r="7" spans="1:12" ht="68" customHeight="1" x14ac:dyDescent="0.2">
      <c r="A7" s="71" t="s">
        <v>214</v>
      </c>
      <c r="B7" s="72">
        <v>1.0769</v>
      </c>
      <c r="C7" s="73">
        <v>1</v>
      </c>
      <c r="D7" s="73">
        <v>0.89</v>
      </c>
      <c r="E7" s="73">
        <f>POWER((1+('Residue Management'!K31*0.19)+H21),0.59)</f>
        <v>1.2705219823197518</v>
      </c>
      <c r="F7" s="74">
        <f>B7*C7*D7*E7</f>
        <v>1.2177203592565251</v>
      </c>
      <c r="G7" s="186" t="s">
        <v>215</v>
      </c>
      <c r="H7" s="75">
        <v>0.55000000000000004</v>
      </c>
      <c r="I7" s="75">
        <v>0.89</v>
      </c>
      <c r="J7" s="75">
        <f>POWER((1+('Residue Management'!K32*0.19)+H21),0.59)</f>
        <v>1.2748129239160457</v>
      </c>
      <c r="K7" s="75">
        <f>B7*H7*I7*J7</f>
        <v>0.67200813548606031</v>
      </c>
      <c r="L7" s="75">
        <f>F7-K7</f>
        <v>0.5457122237704648</v>
      </c>
    </row>
    <row r="8" spans="1:12" ht="17" x14ac:dyDescent="0.2">
      <c r="A8" s="76" t="s">
        <v>216</v>
      </c>
      <c r="B8" s="77" t="s">
        <v>217</v>
      </c>
      <c r="C8" s="78" t="s">
        <v>218</v>
      </c>
      <c r="D8" s="78" t="s">
        <v>219</v>
      </c>
      <c r="E8" s="78" t="s">
        <v>220</v>
      </c>
      <c r="F8" s="77" t="s">
        <v>221</v>
      </c>
      <c r="G8" s="187"/>
      <c r="H8" s="78" t="s">
        <v>218</v>
      </c>
      <c r="I8" s="78" t="s">
        <v>219</v>
      </c>
      <c r="J8" s="78" t="s">
        <v>220</v>
      </c>
      <c r="K8" s="79" t="s">
        <v>221</v>
      </c>
      <c r="L8" s="79"/>
    </row>
    <row r="9" spans="1:12" customFormat="1" x14ac:dyDescent="0.2"/>
    <row r="10" spans="1:12" x14ac:dyDescent="0.2">
      <c r="A10" s="82"/>
      <c r="B10" s="83"/>
      <c r="C10" s="80"/>
      <c r="D10" s="80"/>
      <c r="E10" s="80"/>
      <c r="F10" s="83"/>
      <c r="H10" s="80"/>
      <c r="I10" s="80"/>
      <c r="J10" s="80"/>
      <c r="K10" s="81"/>
      <c r="L10" s="81"/>
    </row>
    <row r="11" spans="1:12" ht="17" x14ac:dyDescent="0.2">
      <c r="A11" s="84" t="s">
        <v>110</v>
      </c>
      <c r="B11" s="84" t="s">
        <v>111</v>
      </c>
      <c r="C11" s="84">
        <v>0.40468564219999997</v>
      </c>
      <c r="D11" s="84" t="s">
        <v>9</v>
      </c>
      <c r="E11" s="80"/>
      <c r="F11" s="83"/>
      <c r="G11" s="67"/>
      <c r="J11" s="85"/>
      <c r="K11" s="81"/>
      <c r="L11" s="81"/>
    </row>
    <row r="12" spans="1:12" x14ac:dyDescent="0.2">
      <c r="A12" s="84"/>
      <c r="B12" s="84"/>
      <c r="C12" s="84"/>
      <c r="D12" s="84"/>
      <c r="E12" s="80"/>
      <c r="F12" s="83"/>
      <c r="G12" s="66"/>
      <c r="J12" s="85"/>
      <c r="K12" s="81"/>
      <c r="L12" s="81"/>
    </row>
    <row r="13" spans="1:12" x14ac:dyDescent="0.2">
      <c r="A13"/>
      <c r="B13"/>
      <c r="C13"/>
      <c r="D13"/>
      <c r="E13"/>
      <c r="F13" s="81"/>
      <c r="G13" s="188" t="s">
        <v>222</v>
      </c>
      <c r="H13" s="189"/>
      <c r="I13" s="190"/>
    </row>
    <row r="14" spans="1:12" x14ac:dyDescent="0.2">
      <c r="A14"/>
      <c r="B14"/>
      <c r="C14"/>
      <c r="D14"/>
      <c r="E14"/>
      <c r="F14" s="81"/>
      <c r="G14" s="86" t="s">
        <v>223</v>
      </c>
      <c r="H14" s="87">
        <v>8</v>
      </c>
      <c r="I14" s="87"/>
    </row>
    <row r="15" spans="1:12" ht="34" x14ac:dyDescent="0.2">
      <c r="A15" s="102" t="s">
        <v>237</v>
      </c>
      <c r="B15" s="103">
        <v>7081.9987385000004</v>
      </c>
      <c r="C15" s="104" t="s">
        <v>9</v>
      </c>
      <c r="D15"/>
      <c r="E15"/>
      <c r="F15" s="81"/>
      <c r="G15" s="86" t="s">
        <v>224</v>
      </c>
      <c r="H15" s="87">
        <v>27</v>
      </c>
      <c r="I15" s="87" t="s">
        <v>225</v>
      </c>
    </row>
    <row r="16" spans="1:12" ht="34" x14ac:dyDescent="0.2">
      <c r="A16" s="102" t="s">
        <v>238</v>
      </c>
      <c r="B16" s="103">
        <v>24443.012788880002</v>
      </c>
      <c r="C16" s="104" t="s">
        <v>9</v>
      </c>
      <c r="D16"/>
      <c r="E16"/>
      <c r="F16" s="81"/>
      <c r="G16" s="88" t="s">
        <v>226</v>
      </c>
      <c r="H16" s="89">
        <v>0.59</v>
      </c>
      <c r="I16" s="87" t="s">
        <v>227</v>
      </c>
    </row>
    <row r="17" spans="1:13" ht="34" x14ac:dyDescent="0.2">
      <c r="A17" s="102" t="s">
        <v>239</v>
      </c>
      <c r="B17" s="104">
        <v>130</v>
      </c>
      <c r="C17" s="104" t="s">
        <v>240</v>
      </c>
      <c r="D17"/>
      <c r="E17"/>
      <c r="F17" s="83"/>
      <c r="G17" s="86" t="s">
        <v>228</v>
      </c>
      <c r="H17" s="90">
        <v>15</v>
      </c>
      <c r="I17" s="87" t="s">
        <v>229</v>
      </c>
      <c r="J17" s="81"/>
      <c r="K17" s="81"/>
      <c r="L17" s="81"/>
      <c r="M17" s="81"/>
    </row>
    <row r="18" spans="1:13" ht="17" x14ac:dyDescent="0.2">
      <c r="A18" s="102" t="s">
        <v>241</v>
      </c>
      <c r="B18" s="104">
        <v>28</v>
      </c>
      <c r="C18" s="104" t="s">
        <v>242</v>
      </c>
      <c r="D18"/>
      <c r="E18"/>
      <c r="F18" s="83"/>
      <c r="G18" s="86"/>
      <c r="H18" s="90"/>
      <c r="I18" s="87"/>
      <c r="J18" s="81"/>
      <c r="K18" s="81"/>
      <c r="L18" s="81"/>
    </row>
    <row r="19" spans="1:13" x14ac:dyDescent="0.2">
      <c r="A19"/>
      <c r="B19"/>
      <c r="C19"/>
      <c r="D19"/>
      <c r="E19"/>
      <c r="F19" s="83"/>
      <c r="G19" s="191" t="s">
        <v>230</v>
      </c>
      <c r="H19" s="91">
        <f>((H17*365/1000)*H16*H14)/H15</f>
        <v>0.95711111111111091</v>
      </c>
      <c r="I19" s="87" t="s">
        <v>231</v>
      </c>
      <c r="J19" s="81"/>
      <c r="K19" s="81"/>
      <c r="L19" s="81"/>
      <c r="M19" s="81"/>
    </row>
    <row r="20" spans="1:13" x14ac:dyDescent="0.2">
      <c r="A20"/>
      <c r="B20"/>
      <c r="C20"/>
      <c r="D20"/>
      <c r="E20"/>
      <c r="F20" s="80"/>
      <c r="G20" s="191"/>
      <c r="H20" s="90">
        <f>H19/C11</f>
        <v>2.3650730624095044</v>
      </c>
      <c r="I20" s="87" t="s">
        <v>232</v>
      </c>
      <c r="J20" s="81"/>
    </row>
    <row r="21" spans="1:13" x14ac:dyDescent="0.2">
      <c r="A21"/>
      <c r="B21"/>
      <c r="C21"/>
      <c r="D21"/>
      <c r="E21"/>
      <c r="F21" s="82"/>
      <c r="G21" s="86" t="s">
        <v>233</v>
      </c>
      <c r="H21" s="90">
        <f>(H20*0.21)</f>
        <v>0.49666534310599592</v>
      </c>
      <c r="I21" s="87"/>
    </row>
    <row r="22" spans="1:13" x14ac:dyDescent="0.2">
      <c r="A22"/>
      <c r="B22"/>
      <c r="C22"/>
      <c r="D22"/>
      <c r="E22"/>
      <c r="F22" s="67"/>
      <c r="G22" s="92"/>
      <c r="H22" s="93"/>
      <c r="K22" s="68"/>
      <c r="L22" s="68"/>
    </row>
    <row r="23" spans="1:13" x14ac:dyDescent="0.2">
      <c r="A23"/>
      <c r="B23"/>
      <c r="C23"/>
      <c r="D23"/>
      <c r="E23"/>
      <c r="F23" s="67"/>
      <c r="G23" s="67"/>
      <c r="H23" s="66"/>
      <c r="I23" s="66"/>
      <c r="K23" s="68"/>
      <c r="L23" s="68"/>
    </row>
    <row r="25" spans="1:13" customFormat="1" x14ac:dyDescent="0.2"/>
    <row r="26" spans="1:13" customFormat="1" x14ac:dyDescent="0.2"/>
    <row r="27" spans="1:13" customFormat="1" x14ac:dyDescent="0.2"/>
    <row r="28" spans="1:13" customFormat="1" x14ac:dyDescent="0.2"/>
    <row r="29" spans="1:13" customFormat="1" x14ac:dyDescent="0.2"/>
    <row r="30" spans="1:13" customFormat="1" x14ac:dyDescent="0.2"/>
    <row r="31" spans="1:13" customFormat="1" x14ac:dyDescent="0.2"/>
    <row r="32" spans="1:13" customFormat="1" x14ac:dyDescent="0.2"/>
    <row r="33" customFormat="1" x14ac:dyDescent="0.2"/>
    <row r="34" customFormat="1" x14ac:dyDescent="0.2"/>
  </sheetData>
  <mergeCells count="8">
    <mergeCell ref="L5:L6"/>
    <mergeCell ref="G7:G8"/>
    <mergeCell ref="G13:I13"/>
    <mergeCell ref="G19:G20"/>
    <mergeCell ref="B5:B6"/>
    <mergeCell ref="C5:F5"/>
    <mergeCell ref="G5:G6"/>
    <mergeCell ref="H5:K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CE41-F09E-7341-98DA-BEEEA731E56E}">
  <dimension ref="A2:F43"/>
  <sheetViews>
    <sheetView topLeftCell="A16" workbookViewId="0">
      <selection activeCell="B33" sqref="B33"/>
    </sheetView>
  </sheetViews>
  <sheetFormatPr baseColWidth="10" defaultRowHeight="16" x14ac:dyDescent="0.2"/>
  <cols>
    <col min="1" max="1" width="29.1640625" style="95" customWidth="1"/>
    <col min="2" max="2" width="20.33203125" style="95" customWidth="1"/>
    <col min="3" max="3" width="27.83203125" style="95" customWidth="1"/>
    <col min="4" max="4" width="22.6640625" style="95" customWidth="1"/>
    <col min="5" max="5" width="18.6640625" style="95" customWidth="1"/>
    <col min="6" max="6" width="45.6640625" style="95" customWidth="1"/>
    <col min="7" max="16384" width="10.83203125" style="95"/>
  </cols>
  <sheetData>
    <row r="2" spans="1:6" x14ac:dyDescent="0.2">
      <c r="A2" s="161" t="s">
        <v>318</v>
      </c>
      <c r="B2" s="162"/>
      <c r="C2" s="162"/>
      <c r="D2" s="162"/>
      <c r="E2" s="162"/>
      <c r="F2" s="162" t="s">
        <v>216</v>
      </c>
    </row>
    <row r="3" spans="1:6" x14ac:dyDescent="0.2">
      <c r="A3" s="163" t="s">
        <v>319</v>
      </c>
      <c r="B3" s="163">
        <v>121</v>
      </c>
      <c r="C3" s="163" t="s">
        <v>184</v>
      </c>
      <c r="D3" s="180"/>
      <c r="E3" s="180"/>
      <c r="F3" s="162" t="s">
        <v>165</v>
      </c>
    </row>
    <row r="4" spans="1:6" x14ac:dyDescent="0.2">
      <c r="A4" s="163" t="s">
        <v>201</v>
      </c>
      <c r="B4" s="165">
        <f>'Sampled Logbooks_2022'!R42</f>
        <v>79.07372207730873</v>
      </c>
      <c r="C4" s="163" t="s">
        <v>184</v>
      </c>
      <c r="D4" s="164">
        <f>(B4*'ER Calculation'!C7*0.00314*265)/1000</f>
        <v>465.9893136</v>
      </c>
      <c r="E4" s="163">
        <v>2022</v>
      </c>
      <c r="F4" s="162" t="s">
        <v>65</v>
      </c>
    </row>
    <row r="5" spans="1:6" x14ac:dyDescent="0.2">
      <c r="A5" s="163"/>
      <c r="B5" s="165">
        <f>'Sampled Logbooks_2023'!R42</f>
        <v>79.07372207730873</v>
      </c>
      <c r="C5" s="163" t="s">
        <v>184</v>
      </c>
      <c r="D5" s="164">
        <f>(B4*'ER Calculation'!G7*0.00314*265)/1000</f>
        <v>1609.5609856000001</v>
      </c>
      <c r="E5" s="163">
        <v>2023</v>
      </c>
      <c r="F5" s="162" t="s">
        <v>65</v>
      </c>
    </row>
    <row r="6" spans="1:6" x14ac:dyDescent="0.2">
      <c r="A6" s="94" t="s">
        <v>324</v>
      </c>
      <c r="D6" s="96"/>
    </row>
    <row r="7" spans="1:6" x14ac:dyDescent="0.2">
      <c r="A7" s="160" t="s">
        <v>110</v>
      </c>
      <c r="B7" s="160" t="s">
        <v>111</v>
      </c>
      <c r="C7" s="160">
        <v>0.40468564219999997</v>
      </c>
      <c r="D7" s="160" t="s">
        <v>9</v>
      </c>
      <c r="E7" s="160"/>
    </row>
    <row r="8" spans="1:6" x14ac:dyDescent="0.2">
      <c r="A8" s="160"/>
      <c r="B8" s="160"/>
      <c r="C8" s="160"/>
      <c r="D8" s="160"/>
      <c r="E8" s="160"/>
    </row>
    <row r="9" spans="1:6" s="94" customFormat="1" x14ac:dyDescent="0.2">
      <c r="A9" s="193" t="s">
        <v>235</v>
      </c>
      <c r="B9" s="97">
        <v>633</v>
      </c>
      <c r="C9" s="98" t="s">
        <v>234</v>
      </c>
      <c r="D9" s="160" t="s">
        <v>165</v>
      </c>
      <c r="E9" s="98"/>
    </row>
    <row r="10" spans="1:6" x14ac:dyDescent="0.2">
      <c r="A10" s="193"/>
      <c r="B10" s="99">
        <v>2186</v>
      </c>
      <c r="C10" s="98" t="s">
        <v>236</v>
      </c>
      <c r="D10" s="160" t="s">
        <v>165</v>
      </c>
      <c r="E10" s="160"/>
    </row>
    <row r="11" spans="1:6" x14ac:dyDescent="0.2">
      <c r="A11" s="100"/>
      <c r="B11" s="101"/>
      <c r="C11" s="94"/>
    </row>
    <row r="12" spans="1:6" customFormat="1" ht="17" thickBot="1" x14ac:dyDescent="0.25"/>
    <row r="13" spans="1:6" customFormat="1" ht="17" x14ac:dyDescent="0.2">
      <c r="A13" s="144" t="s">
        <v>294</v>
      </c>
      <c r="B13" s="145" t="s">
        <v>295</v>
      </c>
      <c r="C13" s="146" t="s">
        <v>296</v>
      </c>
      <c r="D13" s="33"/>
    </row>
    <row r="14" spans="1:6" customFormat="1" ht="35" thickBot="1" x14ac:dyDescent="0.25">
      <c r="A14" s="147" t="s">
        <v>297</v>
      </c>
      <c r="B14" s="148">
        <f>(20*0.4)+(24*0.6)</f>
        <v>22.4</v>
      </c>
      <c r="C14" s="149">
        <f>B14/C7</f>
        <v>55.351605454116111</v>
      </c>
      <c r="D14" s="33"/>
    </row>
    <row r="15" spans="1:6" customFormat="1" x14ac:dyDescent="0.2">
      <c r="A15" s="150" t="s">
        <v>298</v>
      </c>
      <c r="B15" s="33">
        <v>37.5</v>
      </c>
      <c r="C15" s="33" t="s">
        <v>299</v>
      </c>
      <c r="D15" s="33"/>
    </row>
    <row r="16" spans="1:6" customFormat="1" x14ac:dyDescent="0.2">
      <c r="A16" s="33"/>
      <c r="B16" s="33">
        <f>B15/1000000</f>
        <v>3.7499999999999997E-5</v>
      </c>
      <c r="C16" s="33" t="s">
        <v>300</v>
      </c>
      <c r="D16" s="33"/>
    </row>
    <row r="17" spans="1:6" customFormat="1" x14ac:dyDescent="0.2">
      <c r="A17" s="33"/>
      <c r="B17" s="33"/>
      <c r="C17" s="33"/>
      <c r="D17" s="33"/>
    </row>
    <row r="18" spans="1:6" customFormat="1" x14ac:dyDescent="0.2">
      <c r="A18" s="33"/>
      <c r="B18" s="33"/>
      <c r="C18" s="33"/>
      <c r="D18" s="151"/>
    </row>
    <row r="19" spans="1:6" customFormat="1" x14ac:dyDescent="0.2">
      <c r="A19" s="150" t="s">
        <v>301</v>
      </c>
      <c r="B19" s="33">
        <v>73.2</v>
      </c>
      <c r="C19" s="33" t="s">
        <v>302</v>
      </c>
      <c r="D19" s="33"/>
    </row>
    <row r="20" spans="1:6" customFormat="1" ht="34" x14ac:dyDescent="0.2">
      <c r="A20" s="152" t="s">
        <v>303</v>
      </c>
      <c r="B20" s="33" t="s">
        <v>304</v>
      </c>
      <c r="C20" s="33"/>
      <c r="D20" s="33"/>
    </row>
    <row r="21" spans="1:6" customFormat="1" x14ac:dyDescent="0.2">
      <c r="A21" s="33" t="s">
        <v>305</v>
      </c>
      <c r="B21" s="33">
        <f>B16*B19</f>
        <v>2.745E-3</v>
      </c>
      <c r="C21" s="33" t="s">
        <v>306</v>
      </c>
      <c r="D21" s="33"/>
    </row>
    <row r="22" spans="1:6" customFormat="1" ht="17" thickBot="1" x14ac:dyDescent="0.25">
      <c r="A22" s="33"/>
      <c r="B22" s="33"/>
      <c r="C22" s="33"/>
      <c r="D22" s="33"/>
    </row>
    <row r="23" spans="1:6" customFormat="1" ht="17" x14ac:dyDescent="0.2">
      <c r="A23" s="153"/>
      <c r="B23" s="154" t="s">
        <v>307</v>
      </c>
      <c r="C23" s="154" t="s">
        <v>216</v>
      </c>
    </row>
    <row r="24" spans="1:6" customFormat="1" ht="35" thickBot="1" x14ac:dyDescent="0.25">
      <c r="A24" s="155" t="s">
        <v>308</v>
      </c>
      <c r="B24" s="156">
        <f>B21*C14</f>
        <v>0.15194015697154872</v>
      </c>
      <c r="C24" s="156" t="s">
        <v>221</v>
      </c>
    </row>
    <row r="25" spans="1:6" customFormat="1" x14ac:dyDescent="0.2">
      <c r="A25" s="33"/>
      <c r="B25" s="33"/>
      <c r="C25" s="33"/>
      <c r="D25" s="33"/>
    </row>
    <row r="26" spans="1:6" customFormat="1" x14ac:dyDescent="0.2">
      <c r="A26" s="33"/>
      <c r="B26" s="33"/>
      <c r="C26" s="33"/>
      <c r="D26" s="33"/>
    </row>
    <row r="27" spans="1:6" customFormat="1" ht="34" customHeight="1" x14ac:dyDescent="0.2">
      <c r="A27" s="168"/>
      <c r="B27" s="178" t="s">
        <v>316</v>
      </c>
      <c r="C27" s="33"/>
    </row>
    <row r="28" spans="1:6" customFormat="1" ht="34" x14ac:dyDescent="0.2">
      <c r="A28" s="178" t="s">
        <v>309</v>
      </c>
      <c r="B28" s="179" t="s">
        <v>317</v>
      </c>
      <c r="C28" s="33"/>
    </row>
    <row r="29" spans="1:6" customFormat="1" ht="34" x14ac:dyDescent="0.2">
      <c r="A29" s="178" t="s">
        <v>311</v>
      </c>
      <c r="B29" s="158">
        <f>('ER Calculation'!C7)*'Sampled Logbooks_2022'!J40</f>
        <v>5991.3249356152892</v>
      </c>
      <c r="C29" s="33"/>
    </row>
    <row r="30" spans="1:6" customFormat="1" ht="34" x14ac:dyDescent="0.2">
      <c r="A30" s="178" t="s">
        <v>312</v>
      </c>
      <c r="B30" s="158">
        <f>('ER Calculation'!G7-'ER Calculation'!C7)*'Sampled Logbooks_2023'!J40</f>
        <v>17380.236618384501</v>
      </c>
      <c r="C30" s="95"/>
      <c r="D30" s="95"/>
    </row>
    <row r="31" spans="1:6" customFormat="1" x14ac:dyDescent="0.2">
      <c r="A31" s="175"/>
      <c r="B31" s="176"/>
      <c r="C31" s="177"/>
      <c r="D31" s="159"/>
      <c r="E31" s="95"/>
    </row>
    <row r="32" spans="1:6" customFormat="1" ht="35" thickBot="1" x14ac:dyDescent="0.25">
      <c r="A32" s="175"/>
      <c r="B32" s="177"/>
      <c r="C32" s="159" t="s">
        <v>310</v>
      </c>
      <c r="D32" s="95"/>
      <c r="E32" s="33" t="s">
        <v>322</v>
      </c>
      <c r="F32" s="33"/>
    </row>
    <row r="33" spans="1:6" customFormat="1" x14ac:dyDescent="0.2">
      <c r="A33" s="157" t="s">
        <v>313</v>
      </c>
      <c r="B33" s="167">
        <f>ROUND(B24*B29,0)</f>
        <v>910</v>
      </c>
      <c r="C33" s="169">
        <f>B33/'ER Calculation'!C23</f>
        <v>8.3739762583969812E-2</v>
      </c>
      <c r="D33" s="95"/>
      <c r="E33" s="194" t="s">
        <v>323</v>
      </c>
      <c r="F33" s="194"/>
    </row>
    <row r="34" spans="1:6" customFormat="1" x14ac:dyDescent="0.2">
      <c r="A34" s="170" t="s">
        <v>314</v>
      </c>
      <c r="B34" s="166">
        <f>ROUND(B24*B30,0)</f>
        <v>2641</v>
      </c>
      <c r="C34" s="171">
        <f>B34/'ER Calculation'!G23</f>
        <v>7.367422657405083E-2</v>
      </c>
      <c r="D34" s="95"/>
    </row>
    <row r="35" spans="1:6" customFormat="1" ht="17" thickBot="1" x14ac:dyDescent="0.25">
      <c r="A35" s="172"/>
      <c r="B35" s="173">
        <f>SUM(B33+B34)</f>
        <v>3551</v>
      </c>
      <c r="C35" s="174">
        <f>B35/'ER Calculation'!C31</f>
        <v>7.6015755448045549E-2</v>
      </c>
      <c r="D35" s="95"/>
    </row>
    <row r="36" spans="1:6" customFormat="1" x14ac:dyDescent="0.2"/>
    <row r="37" spans="1:6" customFormat="1" x14ac:dyDescent="0.2"/>
    <row r="38" spans="1:6" customFormat="1" x14ac:dyDescent="0.2"/>
    <row r="39" spans="1:6" customFormat="1" x14ac:dyDescent="0.2"/>
    <row r="40" spans="1:6" customFormat="1" x14ac:dyDescent="0.2"/>
    <row r="41" spans="1:6" customFormat="1" x14ac:dyDescent="0.2"/>
    <row r="42" spans="1:6" customFormat="1" x14ac:dyDescent="0.2"/>
    <row r="43" spans="1:6" customFormat="1" x14ac:dyDescent="0.2"/>
  </sheetData>
  <mergeCells count="2">
    <mergeCell ref="A9:A10"/>
    <mergeCell ref="E33:F33"/>
  </mergeCells>
  <pageMargins left="0.7" right="0.7" top="0.75" bottom="0.75" header="0.3" footer="0.3"/>
  <ignoredErrors>
    <ignoredError sqref="C33:C35" evalError="1"/>
  </ignoredError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616E-9B86-7741-B46C-EDF8B68B5E89}">
  <dimension ref="B3:R37"/>
  <sheetViews>
    <sheetView topLeftCell="A15" workbookViewId="0">
      <selection activeCell="D29" sqref="D29"/>
    </sheetView>
  </sheetViews>
  <sheetFormatPr baseColWidth="10" defaultRowHeight="13" x14ac:dyDescent="0.15"/>
  <cols>
    <col min="1" max="1" width="10.83203125" style="105"/>
    <col min="2" max="2" width="28.83203125" style="105" customWidth="1"/>
    <col min="3" max="3" width="15" style="105" customWidth="1"/>
    <col min="4" max="4" width="18.83203125" style="105" customWidth="1"/>
    <col min="5" max="5" width="10.83203125" style="105"/>
    <col min="6" max="6" width="19.5" style="105" customWidth="1"/>
    <col min="7" max="7" width="16" style="105" customWidth="1"/>
    <col min="8" max="8" width="14.5" style="105" customWidth="1"/>
    <col min="9" max="9" width="12.6640625" style="105" customWidth="1"/>
    <col min="10" max="16384" width="10.83203125" style="105"/>
  </cols>
  <sheetData>
    <row r="3" spans="2:5" x14ac:dyDescent="0.15">
      <c r="B3" s="105" t="s">
        <v>247</v>
      </c>
      <c r="C3" s="105">
        <v>1.7</v>
      </c>
      <c r="D3" s="105" t="s">
        <v>248</v>
      </c>
    </row>
    <row r="4" spans="2:5" x14ac:dyDescent="0.15">
      <c r="B4" s="105" t="s">
        <v>249</v>
      </c>
      <c r="C4" s="105">
        <v>8.5</v>
      </c>
      <c r="D4" s="105" t="s">
        <v>250</v>
      </c>
    </row>
    <row r="5" spans="2:5" x14ac:dyDescent="0.15">
      <c r="B5" s="105" t="s">
        <v>251</v>
      </c>
      <c r="C5" s="105">
        <f>AVERAGE(3.6,5)</f>
        <v>4.3</v>
      </c>
      <c r="D5" s="105" t="s">
        <v>252</v>
      </c>
    </row>
    <row r="6" spans="2:5" x14ac:dyDescent="0.15">
      <c r="B6" s="106" t="s">
        <v>253</v>
      </c>
      <c r="C6" s="107">
        <f>C4/C3</f>
        <v>5</v>
      </c>
      <c r="D6" s="106" t="s">
        <v>254</v>
      </c>
      <c r="E6" s="105" t="s">
        <v>221</v>
      </c>
    </row>
    <row r="7" spans="2:5" x14ac:dyDescent="0.15">
      <c r="B7" s="106" t="s">
        <v>255</v>
      </c>
      <c r="C7" s="107">
        <f>C5/C3</f>
        <v>2.5294117647058822</v>
      </c>
      <c r="D7" s="106" t="s">
        <v>254</v>
      </c>
      <c r="E7" s="105" t="s">
        <v>221</v>
      </c>
    </row>
    <row r="8" spans="2:5" x14ac:dyDescent="0.15">
      <c r="B8" s="106"/>
      <c r="C8" s="107"/>
      <c r="D8" s="106"/>
    </row>
    <row r="9" spans="2:5" ht="16" x14ac:dyDescent="0.2">
      <c r="B9" s="106"/>
      <c r="C9" s="108"/>
      <c r="E9" s="109"/>
    </row>
    <row r="10" spans="2:5" ht="16" x14ac:dyDescent="0.2">
      <c r="B10" s="105" t="s">
        <v>256</v>
      </c>
      <c r="C10" s="110">
        <f>1460/1000</f>
        <v>1.46</v>
      </c>
      <c r="D10" s="105" t="s">
        <v>257</v>
      </c>
      <c r="E10" s="109"/>
    </row>
    <row r="11" spans="2:5" ht="16" x14ac:dyDescent="0.2">
      <c r="B11" s="105" t="s">
        <v>258</v>
      </c>
      <c r="C11" s="110">
        <f>60/1000</f>
        <v>0.06</v>
      </c>
      <c r="D11" s="105" t="s">
        <v>257</v>
      </c>
      <c r="E11" s="109"/>
    </row>
    <row r="12" spans="2:5" ht="16" x14ac:dyDescent="0.2">
      <c r="B12" s="105" t="s">
        <v>259</v>
      </c>
      <c r="C12" s="111">
        <f>3/1000</f>
        <v>3.0000000000000001E-3</v>
      </c>
      <c r="D12" s="105" t="s">
        <v>257</v>
      </c>
      <c r="E12" s="109"/>
    </row>
    <row r="13" spans="2:5" ht="16" x14ac:dyDescent="0.2">
      <c r="B13" s="105" t="s">
        <v>260</v>
      </c>
      <c r="C13" s="111">
        <f>199/1000</f>
        <v>0.19900000000000001</v>
      </c>
      <c r="E13" s="109"/>
    </row>
    <row r="14" spans="2:5" ht="16" x14ac:dyDescent="0.2">
      <c r="B14" s="105" t="s">
        <v>261</v>
      </c>
      <c r="C14" s="111">
        <f>2/1000</f>
        <v>2E-3</v>
      </c>
      <c r="D14" s="105" t="s">
        <v>257</v>
      </c>
      <c r="E14" s="109"/>
    </row>
    <row r="15" spans="2:5" ht="16" x14ac:dyDescent="0.2">
      <c r="B15" s="106"/>
      <c r="C15" s="112"/>
      <c r="E15" s="109"/>
    </row>
    <row r="17" spans="2:18" ht="34" x14ac:dyDescent="0.2">
      <c r="B17" s="113" t="s">
        <v>262</v>
      </c>
      <c r="C17" s="113" t="s">
        <v>263</v>
      </c>
      <c r="D17" s="113" t="s">
        <v>264</v>
      </c>
      <c r="E17" s="113" t="s">
        <v>265</v>
      </c>
      <c r="F17" s="113" t="s">
        <v>266</v>
      </c>
      <c r="G17" s="113" t="s">
        <v>267</v>
      </c>
      <c r="H17" s="113" t="s">
        <v>268</v>
      </c>
      <c r="I17" s="113" t="s">
        <v>269</v>
      </c>
      <c r="J17" s="113" t="s">
        <v>270</v>
      </c>
      <c r="K17" s="113" t="s">
        <v>271</v>
      </c>
    </row>
    <row r="18" spans="2:18" ht="17" x14ac:dyDescent="0.2">
      <c r="B18" s="114">
        <v>2022</v>
      </c>
      <c r="C18" s="114" t="s">
        <v>272</v>
      </c>
      <c r="D18" s="115">
        <v>17500</v>
      </c>
      <c r="E18" s="115">
        <f>D18*D23</f>
        <v>7081.9987384999995</v>
      </c>
      <c r="F18" s="116">
        <f>E18*$C$7</f>
        <v>17913.290926794114</v>
      </c>
      <c r="G18" s="116">
        <f>F18*$C$10</f>
        <v>26153.404753119405</v>
      </c>
      <c r="H18" s="116">
        <f>F18*$C$11</f>
        <v>1074.7974556076467</v>
      </c>
      <c r="I18" s="117">
        <f>F18*$C$12</f>
        <v>53.739872780382342</v>
      </c>
      <c r="J18" s="117">
        <f>F18*$C$13</f>
        <v>3564.744894432029</v>
      </c>
      <c r="K18" s="117">
        <f>F18*$C$14</f>
        <v>35.82658185358823</v>
      </c>
    </row>
    <row r="19" spans="2:18" ht="17" x14ac:dyDescent="0.2">
      <c r="B19" s="114">
        <v>2023</v>
      </c>
      <c r="C19" s="114" t="s">
        <v>273</v>
      </c>
      <c r="D19" s="115">
        <v>42900</v>
      </c>
      <c r="E19" s="115">
        <f>D19*D23</f>
        <v>17361.014050379999</v>
      </c>
      <c r="F19" s="116">
        <f>E19*$C$7</f>
        <v>43913.153186255287</v>
      </c>
      <c r="G19" s="116">
        <f>F19*$C$10</f>
        <v>64113.203651932716</v>
      </c>
      <c r="H19" s="116">
        <f>F19*$C$11</f>
        <v>2634.7891911753172</v>
      </c>
      <c r="I19" s="117">
        <f>F19*$C$12</f>
        <v>131.73945955876587</v>
      </c>
      <c r="J19" s="117">
        <f>F19*$C$13</f>
        <v>8738.7174840648022</v>
      </c>
      <c r="K19" s="117">
        <f>F19*$C$14</f>
        <v>87.826306372510572</v>
      </c>
    </row>
    <row r="20" spans="2:18" ht="16" x14ac:dyDescent="0.2">
      <c r="B20" s="114"/>
      <c r="C20" s="114"/>
      <c r="D20" s="118">
        <f>D18+D19</f>
        <v>60400</v>
      </c>
      <c r="E20" s="119">
        <f>SUM(E18:E19)</f>
        <v>24443.012788879998</v>
      </c>
      <c r="F20" s="119">
        <f>SUM(F18:F19)</f>
        <v>61826.444113049401</v>
      </c>
      <c r="G20" s="119">
        <f>SUM(G18:G19)</f>
        <v>90266.608405052117</v>
      </c>
      <c r="H20" s="119">
        <f>SUM(H18:H19)</f>
        <v>3709.5866467829637</v>
      </c>
      <c r="I20" s="119">
        <f>SUM(I18:I19)</f>
        <v>185.47933233914821</v>
      </c>
      <c r="J20" s="119">
        <f t="shared" ref="J20:K20" si="0">SUM(J18:J19)</f>
        <v>12303.462378496832</v>
      </c>
      <c r="K20" s="119">
        <f t="shared" si="0"/>
        <v>123.65288822609881</v>
      </c>
    </row>
    <row r="23" spans="2:18" ht="17" x14ac:dyDescent="0.2">
      <c r="B23" s="84" t="s">
        <v>110</v>
      </c>
      <c r="C23" s="84" t="s">
        <v>111</v>
      </c>
      <c r="D23" s="84">
        <v>0.40468564219999997</v>
      </c>
      <c r="E23" s="84" t="s">
        <v>9</v>
      </c>
    </row>
    <row r="24" spans="2:18" ht="16" x14ac:dyDescent="0.2">
      <c r="B24" s="84"/>
      <c r="C24" s="84"/>
      <c r="D24" s="84"/>
      <c r="E24" s="84"/>
      <c r="H24" s="120"/>
      <c r="I24" s="120"/>
      <c r="J24" s="120"/>
      <c r="K24" s="120"/>
      <c r="L24" s="120"/>
      <c r="M24" s="120"/>
    </row>
    <row r="25" spans="2:18" ht="16" x14ac:dyDescent="0.2">
      <c r="B25" s="84"/>
      <c r="C25" s="84"/>
      <c r="D25" s="84"/>
      <c r="E25" s="84"/>
      <c r="H25" s="120"/>
      <c r="I25" s="120"/>
      <c r="J25" s="120"/>
      <c r="K25" s="120"/>
      <c r="L25" s="120"/>
      <c r="M25" s="120"/>
    </row>
    <row r="26" spans="2:18" x14ac:dyDescent="0.15">
      <c r="B26" s="105" t="s">
        <v>274</v>
      </c>
      <c r="C26" s="121" t="s">
        <v>275</v>
      </c>
      <c r="H26" s="122"/>
      <c r="I26" s="122"/>
      <c r="J26" s="122"/>
      <c r="K26" s="122"/>
      <c r="L26" s="122"/>
    </row>
    <row r="27" spans="2:18" x14ac:dyDescent="0.15">
      <c r="H27" s="122"/>
      <c r="I27" s="122"/>
      <c r="J27" s="122"/>
      <c r="K27" s="122"/>
      <c r="L27" s="122"/>
    </row>
    <row r="28" spans="2:18" ht="29" thickBot="1" x14ac:dyDescent="0.2">
      <c r="C28" s="123" t="s">
        <v>276</v>
      </c>
      <c r="D28" s="124" t="s">
        <v>277</v>
      </c>
      <c r="H28" s="122"/>
      <c r="I28" s="122"/>
      <c r="J28" s="122"/>
      <c r="K28" s="122"/>
      <c r="L28" s="123"/>
      <c r="N28" s="122"/>
      <c r="O28" s="122"/>
      <c r="P28" s="122"/>
    </row>
    <row r="29" spans="2:18" ht="16" thickBot="1" x14ac:dyDescent="0.2">
      <c r="B29" s="125" t="s">
        <v>278</v>
      </c>
      <c r="C29" s="126">
        <v>0.48</v>
      </c>
      <c r="D29" s="126">
        <f>C29+C30</f>
        <v>0.83</v>
      </c>
      <c r="H29" s="122"/>
      <c r="I29" s="122"/>
      <c r="J29" s="122"/>
      <c r="K29" s="122"/>
      <c r="L29" s="122"/>
      <c r="N29" s="122"/>
      <c r="O29" s="122"/>
      <c r="P29" s="122"/>
      <c r="Q29" s="122"/>
      <c r="R29" s="127"/>
    </row>
    <row r="30" spans="2:18" ht="43" thickBot="1" x14ac:dyDescent="0.2">
      <c r="B30" s="128" t="s">
        <v>279</v>
      </c>
      <c r="C30" s="129">
        <v>0.35</v>
      </c>
      <c r="D30" s="129">
        <v>0</v>
      </c>
      <c r="F30" s="130"/>
      <c r="G30" s="131" t="s">
        <v>280</v>
      </c>
      <c r="H30" s="131" t="s">
        <v>281</v>
      </c>
      <c r="I30" s="132" t="s">
        <v>282</v>
      </c>
      <c r="J30" s="132" t="s">
        <v>283</v>
      </c>
      <c r="K30" s="133" t="s">
        <v>284</v>
      </c>
      <c r="L30" s="122"/>
      <c r="N30" s="122"/>
      <c r="O30" s="122"/>
      <c r="P30" s="122"/>
    </row>
    <row r="31" spans="2:18" ht="31" thickBot="1" x14ac:dyDescent="0.2">
      <c r="B31" s="128" t="s">
        <v>285</v>
      </c>
      <c r="C31" s="129">
        <v>0.12</v>
      </c>
      <c r="D31" s="129">
        <v>0</v>
      </c>
      <c r="F31" s="134" t="s">
        <v>183</v>
      </c>
      <c r="G31" s="135">
        <v>1602</v>
      </c>
      <c r="H31" s="135">
        <v>932</v>
      </c>
      <c r="I31" s="136">
        <f>(G31/1000)*D23</f>
        <v>0.6483063988044</v>
      </c>
      <c r="J31" s="136">
        <f>(H32/1000)*D23</f>
        <v>0.37716701853040002</v>
      </c>
      <c r="K31" s="137">
        <f>(I31*C33)+(J31*C32)</f>
        <v>2.02731319316512E-2</v>
      </c>
      <c r="L31" s="122"/>
      <c r="M31" s="122"/>
      <c r="N31" s="122"/>
      <c r="O31" s="122"/>
    </row>
    <row r="32" spans="2:18" ht="46" thickBot="1" x14ac:dyDescent="0.2">
      <c r="B32" s="128" t="s">
        <v>286</v>
      </c>
      <c r="C32" s="129">
        <v>0.04</v>
      </c>
      <c r="D32" s="129">
        <f>C32+C31</f>
        <v>0.16</v>
      </c>
      <c r="F32" s="138" t="s">
        <v>201</v>
      </c>
      <c r="G32" s="139">
        <v>1602</v>
      </c>
      <c r="H32" s="139">
        <v>932</v>
      </c>
      <c r="I32" s="140">
        <f>I31</f>
        <v>0.6483063988044</v>
      </c>
      <c r="J32" s="140">
        <f>(H32/1000)*D23</f>
        <v>0.37716701853040002</v>
      </c>
      <c r="K32" s="141">
        <f>(I32*D33)+(J32*D32)</f>
        <v>6.5533174155299204E-2</v>
      </c>
      <c r="N32" s="120"/>
      <c r="O32" s="120"/>
    </row>
    <row r="33" spans="2:14" ht="16" thickBot="1" x14ac:dyDescent="0.2">
      <c r="B33" s="128" t="s">
        <v>287</v>
      </c>
      <c r="C33" s="142">
        <v>8.0000000000000002E-3</v>
      </c>
      <c r="D33" s="142">
        <v>8.0000000000000002E-3</v>
      </c>
      <c r="J33" s="122"/>
      <c r="K33" s="122"/>
      <c r="M33" s="127"/>
      <c r="N33" s="122"/>
    </row>
    <row r="34" spans="2:14" x14ac:dyDescent="0.15">
      <c r="J34" s="120"/>
      <c r="K34" s="120"/>
      <c r="L34" s="122"/>
      <c r="M34" s="122"/>
    </row>
    <row r="35" spans="2:14" x14ac:dyDescent="0.15">
      <c r="C35" s="105" t="s">
        <v>288</v>
      </c>
      <c r="G35" s="195" t="s">
        <v>218</v>
      </c>
      <c r="H35" s="195"/>
      <c r="I35" s="127"/>
      <c r="J35" s="127"/>
      <c r="L35" s="122"/>
      <c r="M35" s="127"/>
      <c r="N35" s="122"/>
    </row>
    <row r="37" spans="2:14" x14ac:dyDescent="0.15">
      <c r="K37" s="143"/>
    </row>
  </sheetData>
  <mergeCells count="1">
    <mergeCell ref="G35:H35"/>
  </mergeCells>
  <hyperlinks>
    <hyperlink ref="C26" r:id="rId1" xr:uid="{7964B8F8-B229-1A42-9513-BDFA7490A31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7FF3-2C7D-BC43-9F91-ED9531DDFCEA}">
  <dimension ref="A1:I33"/>
  <sheetViews>
    <sheetView zoomScale="93" workbookViewId="0">
      <selection activeCell="C17" sqref="C17"/>
    </sheetView>
  </sheetViews>
  <sheetFormatPr baseColWidth="10" defaultColWidth="11" defaultRowHeight="16" x14ac:dyDescent="0.2"/>
  <cols>
    <col min="2" max="2" width="37.6640625" customWidth="1"/>
    <col min="3" max="3" width="19.5" customWidth="1"/>
    <col min="4" max="4" width="15.83203125" customWidth="1"/>
    <col min="5" max="5" width="26.33203125" customWidth="1"/>
    <col min="9" max="9" width="16.1640625" customWidth="1"/>
  </cols>
  <sheetData>
    <row r="1" spans="1:9" x14ac:dyDescent="0.2">
      <c r="A1" s="3" t="s">
        <v>71</v>
      </c>
    </row>
    <row r="2" spans="1:9" x14ac:dyDescent="0.2">
      <c r="B2" s="3" t="s">
        <v>0</v>
      </c>
      <c r="C2" s="3" t="s">
        <v>1</v>
      </c>
      <c r="D2" s="3" t="s">
        <v>2</v>
      </c>
      <c r="I2" s="3"/>
    </row>
    <row r="3" spans="1:9" x14ac:dyDescent="0.2">
      <c r="B3" s="43" t="s">
        <v>3</v>
      </c>
      <c r="C3" s="65">
        <v>41.371818749999996</v>
      </c>
      <c r="D3" s="43" t="s">
        <v>4</v>
      </c>
    </row>
    <row r="4" spans="1:9" x14ac:dyDescent="0.2">
      <c r="B4" s="17" t="s">
        <v>159</v>
      </c>
      <c r="C4" s="18">
        <f>'Sampled Logbooks_2022'!V35</f>
        <v>16.566666666666666</v>
      </c>
      <c r="D4" s="17"/>
      <c r="E4" s="17" t="s">
        <v>65</v>
      </c>
    </row>
    <row r="5" spans="1:9" x14ac:dyDescent="0.2">
      <c r="B5" s="17" t="s">
        <v>160</v>
      </c>
      <c r="C5" s="18">
        <f>'Sampled Logbooks_2023'!V35</f>
        <v>17.7</v>
      </c>
      <c r="D5" s="17"/>
      <c r="E5" s="17" t="s">
        <v>65</v>
      </c>
    </row>
    <row r="6" spans="1:9" x14ac:dyDescent="0.2">
      <c r="B6" t="s">
        <v>161</v>
      </c>
      <c r="C6" s="2">
        <f>C4*C3</f>
        <v>685.39313062499991</v>
      </c>
      <c r="D6" t="s">
        <v>4</v>
      </c>
    </row>
    <row r="7" spans="1:9" x14ac:dyDescent="0.2">
      <c r="B7" t="s">
        <v>162</v>
      </c>
      <c r="C7" s="2">
        <f>C3*C5</f>
        <v>732.28119187499988</v>
      </c>
      <c r="D7" t="s">
        <v>4</v>
      </c>
    </row>
    <row r="9" spans="1:9" x14ac:dyDescent="0.2">
      <c r="B9" t="s">
        <v>5</v>
      </c>
      <c r="C9">
        <v>8.69</v>
      </c>
      <c r="D9" t="s">
        <v>6</v>
      </c>
      <c r="E9" t="s">
        <v>8</v>
      </c>
    </row>
    <row r="10" spans="1:9" x14ac:dyDescent="0.2">
      <c r="B10" t="s">
        <v>291</v>
      </c>
      <c r="C10">
        <v>25</v>
      </c>
    </row>
    <row r="11" spans="1:9" x14ac:dyDescent="0.2">
      <c r="B11" t="s">
        <v>292</v>
      </c>
      <c r="C11" s="1">
        <f>C3*C9*C10</f>
        <v>8988.0276234374996</v>
      </c>
    </row>
    <row r="13" spans="1:9" x14ac:dyDescent="0.2">
      <c r="B13" t="s">
        <v>167</v>
      </c>
      <c r="C13" s="2">
        <f>C11*2</f>
        <v>17976.055246874999</v>
      </c>
      <c r="D13" t="s">
        <v>7</v>
      </c>
      <c r="E13" t="s">
        <v>165</v>
      </c>
    </row>
    <row r="14" spans="1:9" x14ac:dyDescent="0.2">
      <c r="B14" s="10" t="s">
        <v>163</v>
      </c>
      <c r="C14" s="23">
        <f>C6*C9</f>
        <v>5956.0663051312486</v>
      </c>
      <c r="D14" s="10" t="s">
        <v>7</v>
      </c>
      <c r="E14" s="9"/>
    </row>
    <row r="15" spans="1:9" x14ac:dyDescent="0.2">
      <c r="B15" s="10" t="s">
        <v>164</v>
      </c>
      <c r="C15" s="23">
        <f>C7*C9</f>
        <v>6363.5235573937489</v>
      </c>
      <c r="D15" s="10" t="s">
        <v>7</v>
      </c>
      <c r="E15" s="23"/>
    </row>
    <row r="16" spans="1:9" x14ac:dyDescent="0.2">
      <c r="B16" s="10" t="s">
        <v>158</v>
      </c>
      <c r="C16" s="23">
        <f>C14+C15</f>
        <v>12319.589862524997</v>
      </c>
      <c r="D16" s="10"/>
      <c r="E16" s="23"/>
    </row>
    <row r="17" spans="1:5" x14ac:dyDescent="0.2">
      <c r="B17" s="3" t="s">
        <v>166</v>
      </c>
      <c r="C17" s="46">
        <f>C13-C16</f>
        <v>5656.4653843500018</v>
      </c>
    </row>
    <row r="19" spans="1:5" x14ac:dyDescent="0.2">
      <c r="B19" s="17" t="s">
        <v>150</v>
      </c>
      <c r="C19" s="19">
        <f>'Sampled Logbooks_2022'!X35</f>
        <v>3651.1492366394837</v>
      </c>
      <c r="D19" s="17"/>
      <c r="E19" s="17" t="s">
        <v>65</v>
      </c>
    </row>
    <row r="20" spans="1:5" x14ac:dyDescent="0.2">
      <c r="A20" s="3" t="s">
        <v>72</v>
      </c>
      <c r="B20" s="17" t="s">
        <v>151</v>
      </c>
      <c r="C20" s="19">
        <f>'Sampled Logbooks_2023'!X35</f>
        <v>3663.301069390443</v>
      </c>
      <c r="D20" s="17"/>
      <c r="E20" s="17" t="s">
        <v>65</v>
      </c>
    </row>
    <row r="21" spans="1:5" x14ac:dyDescent="0.2">
      <c r="A21" s="3"/>
      <c r="B21" s="17" t="s">
        <v>168</v>
      </c>
      <c r="C21" s="19">
        <f>AVERAGE(C19:C20)</f>
        <v>3657.2251530149633</v>
      </c>
      <c r="D21" s="17"/>
      <c r="E21" s="17"/>
    </row>
    <row r="23" spans="1:5" x14ac:dyDescent="0.2">
      <c r="B23" s="10" t="s">
        <v>70</v>
      </c>
      <c r="C23" s="44">
        <v>3100</v>
      </c>
    </row>
    <row r="24" spans="1:5" x14ac:dyDescent="0.2">
      <c r="B24" s="10" t="s">
        <v>152</v>
      </c>
      <c r="C24" s="45">
        <f>(C19-C23)/C23</f>
        <v>0.17779007633531732</v>
      </c>
    </row>
    <row r="25" spans="1:5" x14ac:dyDescent="0.2">
      <c r="B25" s="10" t="s">
        <v>293</v>
      </c>
      <c r="C25" s="45">
        <f>(C20-C23)/C23</f>
        <v>0.18171002238401388</v>
      </c>
    </row>
    <row r="26" spans="1:5" x14ac:dyDescent="0.2">
      <c r="C26" s="47">
        <f>AVERAGE(C24:C25)</f>
        <v>0.1797500493596656</v>
      </c>
    </row>
    <row r="29" spans="1:5" x14ac:dyDescent="0.2">
      <c r="A29" s="3" t="s">
        <v>182</v>
      </c>
      <c r="B29" t="s">
        <v>183</v>
      </c>
      <c r="C29">
        <v>121</v>
      </c>
      <c r="D29" t="s">
        <v>184</v>
      </c>
    </row>
    <row r="30" spans="1:5" x14ac:dyDescent="0.2">
      <c r="B30">
        <v>2022</v>
      </c>
      <c r="C30" s="1">
        <f>'Sampled Logbooks_2022'!R42</f>
        <v>79.07372207730873</v>
      </c>
    </row>
    <row r="31" spans="1:5" x14ac:dyDescent="0.2">
      <c r="B31">
        <v>2023</v>
      </c>
      <c r="C31" s="1">
        <f>'Sampled Logbooks_2023'!R42</f>
        <v>79.07372207730873</v>
      </c>
    </row>
    <row r="33" spans="3:3" x14ac:dyDescent="0.2">
      <c r="C33" s="22">
        <f>(C29-C30)/C29</f>
        <v>0.34649816465034106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3241-6DE4-714C-972B-2135E8DECD0E}">
  <dimension ref="A1:AC43"/>
  <sheetViews>
    <sheetView topLeftCell="B23" workbookViewId="0">
      <selection activeCell="J40" sqref="J40"/>
    </sheetView>
  </sheetViews>
  <sheetFormatPr baseColWidth="10" defaultRowHeight="16" x14ac:dyDescent="0.2"/>
  <cols>
    <col min="1" max="1" width="10.83203125" style="3"/>
    <col min="3" max="3" width="23" customWidth="1"/>
    <col min="7" max="7" width="12.83203125" customWidth="1"/>
    <col min="10" max="10" width="21.5" customWidth="1"/>
    <col min="11" max="11" width="13.6640625" customWidth="1"/>
    <col min="12" max="13" width="16.83203125" customWidth="1"/>
    <col min="14" max="14" width="13.33203125" customWidth="1"/>
    <col min="15" max="17" width="16" customWidth="1"/>
    <col min="18" max="18" width="16.5" customWidth="1"/>
    <col min="19" max="19" width="12.33203125" customWidth="1"/>
    <col min="20" max="21" width="16" customWidth="1"/>
    <col min="22" max="22" width="17.33203125" customWidth="1"/>
    <col min="24" max="24" width="23" customWidth="1"/>
  </cols>
  <sheetData>
    <row r="1" spans="1:29" ht="34" x14ac:dyDescent="0.2">
      <c r="A1" s="14" t="s">
        <v>37</v>
      </c>
      <c r="B1" s="14" t="s">
        <v>22</v>
      </c>
      <c r="C1" s="14" t="s">
        <v>23</v>
      </c>
      <c r="D1" s="14" t="s">
        <v>25</v>
      </c>
      <c r="E1" s="14" t="s">
        <v>26</v>
      </c>
      <c r="F1" s="14" t="s">
        <v>149</v>
      </c>
      <c r="G1" s="14" t="s">
        <v>87</v>
      </c>
      <c r="H1" s="14" t="s">
        <v>88</v>
      </c>
      <c r="I1" s="14" t="s">
        <v>89</v>
      </c>
      <c r="J1" s="14" t="s">
        <v>27</v>
      </c>
      <c r="K1" s="14" t="s">
        <v>28</v>
      </c>
      <c r="L1" s="14" t="s">
        <v>64</v>
      </c>
      <c r="M1" s="14"/>
      <c r="N1" s="14" t="s">
        <v>68</v>
      </c>
      <c r="O1" s="14" t="s">
        <v>69</v>
      </c>
      <c r="P1" s="14" t="s">
        <v>96</v>
      </c>
      <c r="Q1" s="14" t="s">
        <v>113</v>
      </c>
      <c r="R1" s="196" t="s">
        <v>95</v>
      </c>
      <c r="S1" s="197"/>
      <c r="T1" s="197"/>
      <c r="U1" s="198"/>
      <c r="V1" s="14" t="s">
        <v>29</v>
      </c>
      <c r="W1" s="14" t="s">
        <v>185</v>
      </c>
      <c r="Y1" s="16" t="s">
        <v>31</v>
      </c>
    </row>
    <row r="2" spans="1:29" ht="34" x14ac:dyDescent="0.2">
      <c r="A2" s="14"/>
      <c r="B2" s="14"/>
      <c r="C2" s="14"/>
      <c r="D2" s="14"/>
      <c r="E2" s="14"/>
      <c r="F2" s="14" t="s">
        <v>243</v>
      </c>
      <c r="G2" s="14"/>
      <c r="H2" s="14"/>
      <c r="I2" s="14"/>
      <c r="J2" s="14"/>
      <c r="K2" s="14"/>
      <c r="L2" s="14" t="s">
        <v>244</v>
      </c>
      <c r="M2" s="14" t="s">
        <v>245</v>
      </c>
      <c r="N2" s="14"/>
      <c r="O2" s="14"/>
      <c r="P2" s="14"/>
      <c r="Q2" s="14"/>
      <c r="R2" s="14" t="s">
        <v>102</v>
      </c>
      <c r="S2" s="14" t="s">
        <v>97</v>
      </c>
      <c r="T2" s="14" t="s">
        <v>98</v>
      </c>
      <c r="U2" s="14" t="s">
        <v>99</v>
      </c>
      <c r="V2" s="14"/>
      <c r="W2" s="14"/>
      <c r="Y2" s="16"/>
    </row>
    <row r="3" spans="1:29" x14ac:dyDescent="0.2">
      <c r="A3" s="3">
        <v>1</v>
      </c>
      <c r="B3">
        <v>8</v>
      </c>
      <c r="C3" t="s">
        <v>24</v>
      </c>
      <c r="D3">
        <v>31.876045000000001</v>
      </c>
      <c r="E3">
        <v>74.079004999999995</v>
      </c>
      <c r="F3">
        <v>70</v>
      </c>
      <c r="G3" s="27" t="s">
        <v>90</v>
      </c>
      <c r="H3" s="27" t="s">
        <v>90</v>
      </c>
      <c r="I3" s="27" t="s">
        <v>90</v>
      </c>
      <c r="J3" s="12">
        <v>44736</v>
      </c>
      <c r="K3" s="12">
        <v>44869</v>
      </c>
      <c r="L3" s="13">
        <f t="shared" ref="L3:L32" si="0">_xlfn.DAYS(K3,J3)</f>
        <v>133</v>
      </c>
      <c r="M3" s="13">
        <f>F3*L3</f>
        <v>9310</v>
      </c>
      <c r="N3" s="35">
        <v>44755</v>
      </c>
      <c r="O3" s="35">
        <v>44852</v>
      </c>
      <c r="P3" s="34">
        <v>50</v>
      </c>
      <c r="Q3" s="31">
        <v>50</v>
      </c>
      <c r="R3" s="31" t="s">
        <v>103</v>
      </c>
      <c r="S3" s="31">
        <v>75</v>
      </c>
      <c r="T3" s="31">
        <v>9</v>
      </c>
      <c r="U3" s="31" t="s">
        <v>108</v>
      </c>
      <c r="V3" s="13">
        <v>18</v>
      </c>
      <c r="W3" s="13">
        <v>2520</v>
      </c>
      <c r="Y3" s="9">
        <v>1</v>
      </c>
      <c r="Z3" s="9" t="s">
        <v>33</v>
      </c>
      <c r="AA3" s="9">
        <v>2.5000000000000001E-2</v>
      </c>
      <c r="AB3" s="9" t="s">
        <v>32</v>
      </c>
      <c r="AC3" t="s">
        <v>34</v>
      </c>
    </row>
    <row r="4" spans="1:29" x14ac:dyDescent="0.2">
      <c r="A4" s="3">
        <v>2</v>
      </c>
      <c r="B4">
        <v>46</v>
      </c>
      <c r="C4" t="s">
        <v>30</v>
      </c>
      <c r="D4">
        <v>31.747465999999999</v>
      </c>
      <c r="E4">
        <v>74.099652000000006</v>
      </c>
      <c r="F4">
        <v>4</v>
      </c>
      <c r="G4" s="27" t="s">
        <v>90</v>
      </c>
      <c r="H4" s="27" t="s">
        <v>90</v>
      </c>
      <c r="I4" s="27" t="s">
        <v>90</v>
      </c>
      <c r="J4" s="12">
        <v>44738</v>
      </c>
      <c r="K4" s="12">
        <v>44877</v>
      </c>
      <c r="L4" s="13">
        <f t="shared" si="0"/>
        <v>139</v>
      </c>
      <c r="M4" s="13">
        <f t="shared" ref="M4:M32" si="1">F4*L4</f>
        <v>556</v>
      </c>
      <c r="N4" s="35">
        <v>44757</v>
      </c>
      <c r="O4" s="35">
        <v>44855</v>
      </c>
      <c r="P4" s="21">
        <v>50</v>
      </c>
      <c r="Q4" s="31">
        <v>25</v>
      </c>
      <c r="R4" s="31" t="s">
        <v>103</v>
      </c>
      <c r="S4" s="31" t="s">
        <v>107</v>
      </c>
      <c r="T4" s="31">
        <v>9</v>
      </c>
      <c r="U4" s="31" t="s">
        <v>101</v>
      </c>
      <c r="V4" s="13">
        <v>17</v>
      </c>
      <c r="W4" s="13">
        <v>148</v>
      </c>
    </row>
    <row r="5" spans="1:29" x14ac:dyDescent="0.2">
      <c r="A5" s="3">
        <v>3</v>
      </c>
      <c r="B5">
        <v>69</v>
      </c>
      <c r="C5" t="s">
        <v>35</v>
      </c>
      <c r="D5">
        <v>31.806923999999999</v>
      </c>
      <c r="E5">
        <v>74.137134000000003</v>
      </c>
      <c r="F5">
        <v>40</v>
      </c>
      <c r="G5" s="27" t="s">
        <v>90</v>
      </c>
      <c r="H5" s="27" t="s">
        <v>90</v>
      </c>
      <c r="I5" s="27" t="s">
        <v>90</v>
      </c>
      <c r="J5" s="12">
        <v>44737</v>
      </c>
      <c r="K5" s="12">
        <v>44877</v>
      </c>
      <c r="L5" s="13">
        <f t="shared" si="0"/>
        <v>140</v>
      </c>
      <c r="M5" s="13">
        <f t="shared" si="1"/>
        <v>5600</v>
      </c>
      <c r="N5" s="35">
        <v>44757</v>
      </c>
      <c r="O5" s="35">
        <v>44854</v>
      </c>
      <c r="P5" s="31">
        <v>50</v>
      </c>
      <c r="Q5" s="31">
        <v>50</v>
      </c>
      <c r="R5" s="31" t="s">
        <v>103</v>
      </c>
      <c r="S5" s="31">
        <v>75</v>
      </c>
      <c r="T5" s="31">
        <v>9</v>
      </c>
      <c r="U5" s="31" t="s">
        <v>100</v>
      </c>
      <c r="V5" s="13">
        <v>16</v>
      </c>
      <c r="W5" s="13">
        <v>1470</v>
      </c>
    </row>
    <row r="6" spans="1:29" x14ac:dyDescent="0.2">
      <c r="A6" s="3">
        <v>4</v>
      </c>
      <c r="B6">
        <v>88</v>
      </c>
      <c r="C6" t="s">
        <v>36</v>
      </c>
      <c r="D6">
        <v>31.794295000000002</v>
      </c>
      <c r="E6">
        <v>74.030090000000001</v>
      </c>
      <c r="F6">
        <v>80</v>
      </c>
      <c r="G6" s="27" t="s">
        <v>90</v>
      </c>
      <c r="H6" s="27" t="s">
        <v>90</v>
      </c>
      <c r="I6" s="27" t="s">
        <v>90</v>
      </c>
      <c r="J6" s="12">
        <v>44737</v>
      </c>
      <c r="K6" s="12">
        <v>44870</v>
      </c>
      <c r="L6" s="13">
        <f t="shared" si="0"/>
        <v>133</v>
      </c>
      <c r="M6" s="13">
        <f t="shared" si="1"/>
        <v>10640</v>
      </c>
      <c r="N6" s="35">
        <v>44759</v>
      </c>
      <c r="O6" s="35">
        <v>44852</v>
      </c>
      <c r="P6" s="31">
        <v>50</v>
      </c>
      <c r="Q6" s="31">
        <v>50</v>
      </c>
      <c r="R6" s="31" t="s">
        <v>103</v>
      </c>
      <c r="S6" s="31">
        <v>75</v>
      </c>
      <c r="T6" s="31">
        <v>9</v>
      </c>
      <c r="U6" s="31" t="s">
        <v>100</v>
      </c>
      <c r="V6" s="13">
        <v>15</v>
      </c>
      <c r="W6" s="13">
        <v>2960</v>
      </c>
    </row>
    <row r="7" spans="1:29" x14ac:dyDescent="0.2">
      <c r="A7" s="3">
        <v>5</v>
      </c>
      <c r="B7">
        <v>94</v>
      </c>
      <c r="C7" t="s">
        <v>38</v>
      </c>
      <c r="D7">
        <v>31.870767000000001</v>
      </c>
      <c r="E7">
        <v>73.835757000000001</v>
      </c>
      <c r="F7">
        <v>80</v>
      </c>
      <c r="G7" s="27" t="s">
        <v>90</v>
      </c>
      <c r="H7" s="27" t="s">
        <v>90</v>
      </c>
      <c r="I7" s="27" t="s">
        <v>90</v>
      </c>
      <c r="J7" s="12">
        <v>44735</v>
      </c>
      <c r="K7" s="12">
        <v>44878</v>
      </c>
      <c r="L7" s="13">
        <f t="shared" si="0"/>
        <v>143</v>
      </c>
      <c r="M7" s="13">
        <f t="shared" si="1"/>
        <v>11440</v>
      </c>
      <c r="N7" s="35">
        <v>44757</v>
      </c>
      <c r="O7" s="35">
        <v>44855</v>
      </c>
      <c r="P7" s="31">
        <v>50</v>
      </c>
      <c r="Q7" s="31">
        <v>50</v>
      </c>
      <c r="R7" s="31" t="s">
        <v>103</v>
      </c>
      <c r="S7" s="31">
        <v>75</v>
      </c>
      <c r="T7" s="31">
        <v>9</v>
      </c>
      <c r="U7" s="31" t="s">
        <v>100</v>
      </c>
      <c r="V7" s="13">
        <v>16</v>
      </c>
      <c r="W7" s="13">
        <v>2940</v>
      </c>
    </row>
    <row r="8" spans="1:29" x14ac:dyDescent="0.2">
      <c r="A8" s="3">
        <v>6</v>
      </c>
      <c r="B8">
        <v>100</v>
      </c>
      <c r="C8" t="s">
        <v>39</v>
      </c>
      <c r="D8">
        <v>31.68216</v>
      </c>
      <c r="E8">
        <v>73.875943000000007</v>
      </c>
      <c r="F8">
        <v>70</v>
      </c>
      <c r="G8" s="27" t="s">
        <v>90</v>
      </c>
      <c r="H8" s="27" t="s">
        <v>90</v>
      </c>
      <c r="I8" s="27" t="s">
        <v>91</v>
      </c>
      <c r="J8" s="12">
        <v>44736</v>
      </c>
      <c r="K8" s="12">
        <v>44870</v>
      </c>
      <c r="L8" s="13">
        <f t="shared" si="0"/>
        <v>134</v>
      </c>
      <c r="M8" s="13">
        <f t="shared" si="1"/>
        <v>9380</v>
      </c>
      <c r="N8" s="35">
        <v>44757</v>
      </c>
      <c r="O8" s="51">
        <v>44851</v>
      </c>
      <c r="P8" s="31">
        <v>50</v>
      </c>
      <c r="Q8" s="31">
        <v>50</v>
      </c>
      <c r="R8" s="31" t="s">
        <v>103</v>
      </c>
      <c r="S8" s="31">
        <v>75</v>
      </c>
      <c r="T8" s="31">
        <v>9</v>
      </c>
      <c r="U8" s="31" t="s">
        <v>100</v>
      </c>
      <c r="V8" s="13">
        <v>15</v>
      </c>
      <c r="W8" s="13">
        <v>2590</v>
      </c>
    </row>
    <row r="9" spans="1:29" x14ac:dyDescent="0.2">
      <c r="A9" s="3">
        <v>7</v>
      </c>
      <c r="B9">
        <v>116</v>
      </c>
      <c r="C9" t="s">
        <v>40</v>
      </c>
      <c r="D9">
        <v>31.754636999999999</v>
      </c>
      <c r="E9">
        <v>73.948266000000004</v>
      </c>
      <c r="F9">
        <v>30</v>
      </c>
      <c r="G9" s="27" t="s">
        <v>90</v>
      </c>
      <c r="H9" s="27" t="s">
        <v>90</v>
      </c>
      <c r="I9" s="27" t="s">
        <v>90</v>
      </c>
      <c r="J9" s="12">
        <v>44743</v>
      </c>
      <c r="K9" s="12">
        <v>44870</v>
      </c>
      <c r="L9" s="13">
        <f t="shared" si="0"/>
        <v>127</v>
      </c>
      <c r="M9" s="13">
        <f t="shared" si="1"/>
        <v>3810</v>
      </c>
      <c r="N9" s="51">
        <v>44756</v>
      </c>
      <c r="O9" s="51">
        <v>44853</v>
      </c>
      <c r="P9" s="31">
        <v>50</v>
      </c>
      <c r="Q9" s="31">
        <v>50</v>
      </c>
      <c r="R9" s="31" t="s">
        <v>103</v>
      </c>
      <c r="S9" s="31">
        <v>75</v>
      </c>
      <c r="T9" s="31">
        <v>9</v>
      </c>
      <c r="U9" s="31" t="s">
        <v>100</v>
      </c>
      <c r="V9" s="13">
        <v>16</v>
      </c>
      <c r="W9" s="13">
        <v>1260</v>
      </c>
    </row>
    <row r="10" spans="1:29" x14ac:dyDescent="0.2">
      <c r="A10" s="3">
        <v>8</v>
      </c>
      <c r="B10">
        <v>153</v>
      </c>
      <c r="C10" t="s">
        <v>41</v>
      </c>
      <c r="D10">
        <v>31.916879999999999</v>
      </c>
      <c r="E10">
        <v>74.095894999999999</v>
      </c>
      <c r="F10">
        <v>4</v>
      </c>
      <c r="G10" s="27" t="s">
        <v>90</v>
      </c>
      <c r="H10" s="27" t="s">
        <v>90</v>
      </c>
      <c r="I10" s="27" t="s">
        <v>90</v>
      </c>
      <c r="J10" s="12">
        <v>44736</v>
      </c>
      <c r="K10" s="12">
        <v>44871</v>
      </c>
      <c r="L10" s="13">
        <f t="shared" si="0"/>
        <v>135</v>
      </c>
      <c r="M10" s="13">
        <f t="shared" si="1"/>
        <v>540</v>
      </c>
      <c r="N10" s="51">
        <v>44756</v>
      </c>
      <c r="O10" s="51">
        <v>44849</v>
      </c>
      <c r="P10" s="31">
        <v>50</v>
      </c>
      <c r="Q10" s="31">
        <v>50</v>
      </c>
      <c r="R10" s="31" t="s">
        <v>103</v>
      </c>
      <c r="S10" s="31">
        <v>75</v>
      </c>
      <c r="T10" s="31">
        <v>9</v>
      </c>
      <c r="U10" s="31" t="s">
        <v>106</v>
      </c>
      <c r="V10" s="13">
        <v>16</v>
      </c>
      <c r="W10" s="13">
        <v>490</v>
      </c>
    </row>
    <row r="11" spans="1:29" x14ac:dyDescent="0.2">
      <c r="A11" s="3">
        <v>9</v>
      </c>
      <c r="B11">
        <v>191</v>
      </c>
      <c r="C11" t="s">
        <v>42</v>
      </c>
      <c r="D11">
        <v>31.81118</v>
      </c>
      <c r="E11">
        <v>73.976416</v>
      </c>
      <c r="F11">
        <v>5</v>
      </c>
      <c r="G11" s="27" t="s">
        <v>90</v>
      </c>
      <c r="H11" s="27" t="s">
        <v>90</v>
      </c>
      <c r="I11" s="27" t="s">
        <v>90</v>
      </c>
      <c r="J11" s="12">
        <v>44736</v>
      </c>
      <c r="K11" s="12">
        <v>44869</v>
      </c>
      <c r="L11" s="13">
        <f t="shared" si="0"/>
        <v>133</v>
      </c>
      <c r="M11" s="13">
        <f t="shared" si="1"/>
        <v>665</v>
      </c>
      <c r="N11" s="51">
        <v>44755</v>
      </c>
      <c r="O11" s="51">
        <v>44851</v>
      </c>
      <c r="P11" s="31">
        <v>50</v>
      </c>
      <c r="Q11" s="31">
        <v>50</v>
      </c>
      <c r="R11" s="31" t="s">
        <v>103</v>
      </c>
      <c r="S11" s="31">
        <v>75</v>
      </c>
      <c r="T11" s="31">
        <v>9</v>
      </c>
      <c r="U11" s="31" t="s">
        <v>100</v>
      </c>
      <c r="V11" s="13">
        <v>16</v>
      </c>
      <c r="W11" s="13">
        <v>180</v>
      </c>
    </row>
    <row r="12" spans="1:29" x14ac:dyDescent="0.2">
      <c r="A12" s="3">
        <v>10</v>
      </c>
      <c r="B12">
        <v>192</v>
      </c>
      <c r="C12" t="s">
        <v>43</v>
      </c>
      <c r="D12">
        <v>31.859960999999998</v>
      </c>
      <c r="E12">
        <v>74.003185999999999</v>
      </c>
      <c r="F12">
        <v>54</v>
      </c>
      <c r="G12" s="27" t="s">
        <v>90</v>
      </c>
      <c r="H12" s="27" t="s">
        <v>90</v>
      </c>
      <c r="I12" s="27" t="s">
        <v>90</v>
      </c>
      <c r="J12" s="12">
        <v>44736</v>
      </c>
      <c r="K12" s="12">
        <v>44871</v>
      </c>
      <c r="L12" s="13">
        <f t="shared" si="0"/>
        <v>135</v>
      </c>
      <c r="M12" s="13">
        <f t="shared" si="1"/>
        <v>7290</v>
      </c>
      <c r="N12" s="51">
        <v>44758</v>
      </c>
      <c r="O12" s="51">
        <v>44842</v>
      </c>
      <c r="P12" s="31">
        <v>50</v>
      </c>
      <c r="Q12" s="31">
        <v>50</v>
      </c>
      <c r="R12" s="31" t="s">
        <v>103</v>
      </c>
      <c r="S12" s="31">
        <v>75</v>
      </c>
      <c r="T12" s="31">
        <v>9</v>
      </c>
      <c r="U12" s="31" t="s">
        <v>100</v>
      </c>
      <c r="V12" s="13">
        <v>17</v>
      </c>
      <c r="W12" s="13">
        <v>1944</v>
      </c>
    </row>
    <row r="13" spans="1:29" x14ac:dyDescent="0.2">
      <c r="A13" s="3">
        <v>11</v>
      </c>
      <c r="B13">
        <v>195</v>
      </c>
      <c r="C13" t="s">
        <v>44</v>
      </c>
      <c r="D13">
        <v>31.818228999999999</v>
      </c>
      <c r="E13">
        <v>74.055798999999993</v>
      </c>
      <c r="F13">
        <v>25</v>
      </c>
      <c r="G13" s="27" t="s">
        <v>90</v>
      </c>
      <c r="H13" s="27" t="s">
        <v>90</v>
      </c>
      <c r="I13" s="27" t="s">
        <v>90</v>
      </c>
      <c r="J13" s="12">
        <v>44735</v>
      </c>
      <c r="K13" s="12">
        <v>44870</v>
      </c>
      <c r="L13" s="13">
        <f t="shared" si="0"/>
        <v>135</v>
      </c>
      <c r="M13" s="13">
        <f t="shared" si="1"/>
        <v>3375</v>
      </c>
      <c r="N13" s="51">
        <v>44756</v>
      </c>
      <c r="O13" s="51">
        <v>44853</v>
      </c>
      <c r="P13" s="31">
        <v>50</v>
      </c>
      <c r="Q13" s="31">
        <v>50</v>
      </c>
      <c r="R13" s="31" t="s">
        <v>103</v>
      </c>
      <c r="S13" s="31">
        <v>75</v>
      </c>
      <c r="T13" s="31">
        <v>9</v>
      </c>
      <c r="U13" s="31" t="s">
        <v>100</v>
      </c>
      <c r="V13" s="13">
        <v>15</v>
      </c>
      <c r="W13" s="13">
        <v>925</v>
      </c>
    </row>
    <row r="14" spans="1:29" x14ac:dyDescent="0.2">
      <c r="A14" s="3">
        <v>12</v>
      </c>
      <c r="B14">
        <v>226</v>
      </c>
      <c r="C14" t="s">
        <v>45</v>
      </c>
      <c r="D14">
        <v>31.665171000000001</v>
      </c>
      <c r="E14">
        <v>73.680023000000006</v>
      </c>
      <c r="F14">
        <v>47</v>
      </c>
      <c r="G14" s="27" t="s">
        <v>90</v>
      </c>
      <c r="H14" s="27" t="s">
        <v>90</v>
      </c>
      <c r="I14" s="27" t="s">
        <v>90</v>
      </c>
      <c r="J14" s="12">
        <v>44737</v>
      </c>
      <c r="K14" s="12">
        <v>44869</v>
      </c>
      <c r="L14" s="13">
        <f t="shared" si="0"/>
        <v>132</v>
      </c>
      <c r="M14" s="13">
        <f t="shared" si="1"/>
        <v>6204</v>
      </c>
      <c r="N14" s="51">
        <v>44754</v>
      </c>
      <c r="O14" s="51">
        <v>44850</v>
      </c>
      <c r="P14" s="31">
        <v>50</v>
      </c>
      <c r="Q14" s="31">
        <v>50</v>
      </c>
      <c r="R14" s="31" t="s">
        <v>103</v>
      </c>
      <c r="S14" s="31">
        <v>75</v>
      </c>
      <c r="T14" s="31">
        <v>9</v>
      </c>
      <c r="U14" s="31" t="s">
        <v>100</v>
      </c>
      <c r="V14" s="13">
        <v>15</v>
      </c>
      <c r="W14" s="13">
        <v>1692</v>
      </c>
    </row>
    <row r="15" spans="1:29" x14ac:dyDescent="0.2">
      <c r="A15" s="3">
        <v>13</v>
      </c>
      <c r="B15">
        <v>249</v>
      </c>
      <c r="C15" t="s">
        <v>46</v>
      </c>
      <c r="D15">
        <v>31.815709999999999</v>
      </c>
      <c r="E15">
        <v>74.184595000000002</v>
      </c>
      <c r="F15">
        <v>35</v>
      </c>
      <c r="G15" s="27" t="s">
        <v>90</v>
      </c>
      <c r="H15" s="27" t="s">
        <v>90</v>
      </c>
      <c r="I15" s="27" t="s">
        <v>91</v>
      </c>
      <c r="J15" s="12">
        <v>44743</v>
      </c>
      <c r="K15" s="12">
        <v>44870</v>
      </c>
      <c r="L15" s="13">
        <f t="shared" si="0"/>
        <v>127</v>
      </c>
      <c r="M15" s="13">
        <f t="shared" si="1"/>
        <v>4445</v>
      </c>
      <c r="N15" s="35">
        <v>44757</v>
      </c>
      <c r="O15" s="51">
        <v>44851</v>
      </c>
      <c r="P15" s="31">
        <v>50</v>
      </c>
      <c r="Q15" s="31">
        <v>50</v>
      </c>
      <c r="R15" s="31" t="s">
        <v>103</v>
      </c>
      <c r="S15" s="31">
        <v>75</v>
      </c>
      <c r="T15" s="31">
        <v>9</v>
      </c>
      <c r="U15" s="31" t="s">
        <v>100</v>
      </c>
      <c r="V15" s="13">
        <v>15</v>
      </c>
      <c r="W15" s="13">
        <v>1295</v>
      </c>
    </row>
    <row r="16" spans="1:29" x14ac:dyDescent="0.2">
      <c r="A16" s="3">
        <v>14</v>
      </c>
      <c r="B16">
        <v>285</v>
      </c>
      <c r="C16" t="s">
        <v>47</v>
      </c>
      <c r="D16">
        <v>31.815194000000002</v>
      </c>
      <c r="E16">
        <v>74.157649000000006</v>
      </c>
      <c r="F16">
        <v>30</v>
      </c>
      <c r="G16" s="27" t="s">
        <v>90</v>
      </c>
      <c r="H16" s="27" t="s">
        <v>90</v>
      </c>
      <c r="I16" s="27" t="s">
        <v>90</v>
      </c>
      <c r="J16" s="12">
        <v>44743</v>
      </c>
      <c r="K16" s="12">
        <v>44870</v>
      </c>
      <c r="L16" s="13">
        <f t="shared" si="0"/>
        <v>127</v>
      </c>
      <c r="M16" s="13">
        <f t="shared" si="1"/>
        <v>3810</v>
      </c>
      <c r="N16" s="35">
        <v>44777</v>
      </c>
      <c r="O16" s="35">
        <v>44854</v>
      </c>
      <c r="P16" s="31">
        <v>50</v>
      </c>
      <c r="Q16" s="31">
        <v>50</v>
      </c>
      <c r="R16" s="31" t="s">
        <v>103</v>
      </c>
      <c r="S16" s="31">
        <v>75</v>
      </c>
      <c r="T16" s="31">
        <v>9</v>
      </c>
      <c r="U16" s="31" t="s">
        <v>100</v>
      </c>
      <c r="V16" s="13">
        <v>16</v>
      </c>
      <c r="W16" s="13">
        <v>1260</v>
      </c>
    </row>
    <row r="17" spans="1:23" x14ac:dyDescent="0.2">
      <c r="A17" s="3">
        <v>15</v>
      </c>
      <c r="B17">
        <v>295</v>
      </c>
      <c r="C17" t="s">
        <v>48</v>
      </c>
      <c r="D17">
        <v>31.830029</v>
      </c>
      <c r="E17">
        <v>74.208751000000007</v>
      </c>
      <c r="F17">
        <v>100</v>
      </c>
      <c r="G17" s="27" t="s">
        <v>90</v>
      </c>
      <c r="H17" s="27" t="s">
        <v>90</v>
      </c>
      <c r="I17" s="27" t="s">
        <v>90</v>
      </c>
      <c r="J17" s="12">
        <v>44738</v>
      </c>
      <c r="K17" s="12">
        <v>44870</v>
      </c>
      <c r="L17" s="13">
        <f t="shared" si="0"/>
        <v>132</v>
      </c>
      <c r="M17" s="13">
        <f t="shared" si="1"/>
        <v>13200</v>
      </c>
      <c r="N17" s="35">
        <v>44790</v>
      </c>
      <c r="O17" s="35">
        <v>44856</v>
      </c>
      <c r="P17" s="31">
        <v>50</v>
      </c>
      <c r="Q17" s="31">
        <v>50</v>
      </c>
      <c r="R17" s="31" t="s">
        <v>103</v>
      </c>
      <c r="S17" s="31">
        <v>75</v>
      </c>
      <c r="T17" s="31">
        <v>9</v>
      </c>
      <c r="U17" s="31" t="s">
        <v>100</v>
      </c>
      <c r="V17" s="13">
        <v>17</v>
      </c>
      <c r="W17" s="13">
        <v>3700</v>
      </c>
    </row>
    <row r="18" spans="1:23" x14ac:dyDescent="0.2">
      <c r="A18" s="3">
        <v>16</v>
      </c>
      <c r="B18">
        <v>308</v>
      </c>
      <c r="C18" t="s">
        <v>49</v>
      </c>
      <c r="D18">
        <v>31.7409097</v>
      </c>
      <c r="E18">
        <v>74.131980999999996</v>
      </c>
      <c r="F18">
        <v>60</v>
      </c>
      <c r="G18" s="27" t="s">
        <v>90</v>
      </c>
      <c r="H18" s="27" t="s">
        <v>90</v>
      </c>
      <c r="I18" s="27" t="s">
        <v>90</v>
      </c>
      <c r="J18" s="12">
        <v>44763</v>
      </c>
      <c r="K18" s="12">
        <v>44877</v>
      </c>
      <c r="L18" s="13">
        <f t="shared" si="0"/>
        <v>114</v>
      </c>
      <c r="M18" s="13">
        <f t="shared" si="1"/>
        <v>6840</v>
      </c>
      <c r="N18" s="35">
        <v>44783</v>
      </c>
      <c r="O18" s="51">
        <v>44859</v>
      </c>
      <c r="P18" s="31">
        <v>50</v>
      </c>
      <c r="Q18" s="31">
        <v>50</v>
      </c>
      <c r="R18" s="31" t="s">
        <v>103</v>
      </c>
      <c r="S18" s="31">
        <v>75</v>
      </c>
      <c r="T18" s="31">
        <v>9</v>
      </c>
      <c r="U18" s="31" t="s">
        <v>100</v>
      </c>
      <c r="V18" s="13">
        <v>16</v>
      </c>
      <c r="W18" s="13">
        <v>2220</v>
      </c>
    </row>
    <row r="19" spans="1:23" x14ac:dyDescent="0.2">
      <c r="A19" s="3">
        <v>17</v>
      </c>
      <c r="B19">
        <v>343</v>
      </c>
      <c r="C19" t="s">
        <v>50</v>
      </c>
      <c r="D19">
        <v>31.727854000000001</v>
      </c>
      <c r="E19">
        <v>74.121804999999995</v>
      </c>
      <c r="F19">
        <v>70</v>
      </c>
      <c r="G19" t="s">
        <v>90</v>
      </c>
      <c r="H19" t="s">
        <v>90</v>
      </c>
      <c r="I19" t="s">
        <v>90</v>
      </c>
      <c r="J19" s="12">
        <v>44747</v>
      </c>
      <c r="K19" s="12">
        <v>44877</v>
      </c>
      <c r="L19" s="13">
        <f t="shared" si="0"/>
        <v>130</v>
      </c>
      <c r="M19" s="13">
        <f t="shared" si="1"/>
        <v>9100</v>
      </c>
      <c r="N19" s="51">
        <v>44766</v>
      </c>
      <c r="O19" s="51">
        <v>44859</v>
      </c>
      <c r="P19" s="31">
        <v>50</v>
      </c>
      <c r="Q19" s="31">
        <v>50</v>
      </c>
      <c r="R19" s="31" t="s">
        <v>103</v>
      </c>
      <c r="S19" s="31">
        <v>75</v>
      </c>
      <c r="T19" s="31">
        <v>9</v>
      </c>
      <c r="U19" s="31" t="s">
        <v>100</v>
      </c>
      <c r="V19" s="13">
        <v>16</v>
      </c>
      <c r="W19" s="13">
        <v>2590</v>
      </c>
    </row>
    <row r="20" spans="1:23" x14ac:dyDescent="0.2">
      <c r="A20" s="3">
        <v>18</v>
      </c>
      <c r="B20">
        <v>390</v>
      </c>
      <c r="C20" t="s">
        <v>51</v>
      </c>
      <c r="D20">
        <v>31.751795000000001</v>
      </c>
      <c r="E20">
        <v>74.067730999999995</v>
      </c>
      <c r="F20">
        <v>80</v>
      </c>
      <c r="G20" t="s">
        <v>90</v>
      </c>
      <c r="H20" t="s">
        <v>90</v>
      </c>
      <c r="I20" t="s">
        <v>90</v>
      </c>
      <c r="J20" s="12">
        <v>44743</v>
      </c>
      <c r="K20" s="12">
        <v>44877</v>
      </c>
      <c r="L20" s="13">
        <f t="shared" si="0"/>
        <v>134</v>
      </c>
      <c r="M20" s="13">
        <f t="shared" si="1"/>
        <v>10720</v>
      </c>
      <c r="N20" s="51">
        <v>44763</v>
      </c>
      <c r="O20" s="51">
        <v>44857</v>
      </c>
      <c r="P20" s="31">
        <v>50</v>
      </c>
      <c r="Q20" s="31">
        <v>50</v>
      </c>
      <c r="R20" s="31" t="s">
        <v>103</v>
      </c>
      <c r="S20" s="31">
        <v>75</v>
      </c>
      <c r="T20" s="31">
        <v>9</v>
      </c>
      <c r="U20" s="31" t="s">
        <v>100</v>
      </c>
      <c r="V20" s="13">
        <v>17</v>
      </c>
      <c r="W20" s="13">
        <v>2800</v>
      </c>
    </row>
    <row r="21" spans="1:23" x14ac:dyDescent="0.2">
      <c r="A21" s="3">
        <v>19</v>
      </c>
      <c r="B21">
        <v>393</v>
      </c>
      <c r="C21" t="s">
        <v>52</v>
      </c>
      <c r="D21">
        <v>31.677472999999999</v>
      </c>
      <c r="E21">
        <v>74.110501999999997</v>
      </c>
      <c r="F21">
        <v>200</v>
      </c>
      <c r="G21" t="s">
        <v>90</v>
      </c>
      <c r="H21" t="s">
        <v>90</v>
      </c>
      <c r="I21" t="s">
        <v>91</v>
      </c>
      <c r="J21" s="12">
        <v>44744</v>
      </c>
      <c r="K21" s="12">
        <v>44875</v>
      </c>
      <c r="L21" s="13">
        <f t="shared" si="0"/>
        <v>131</v>
      </c>
      <c r="M21" s="13">
        <f t="shared" si="1"/>
        <v>26200</v>
      </c>
      <c r="N21" s="51">
        <v>44767</v>
      </c>
      <c r="O21" s="35">
        <v>44854</v>
      </c>
      <c r="P21" s="21">
        <v>50</v>
      </c>
      <c r="Q21" s="31">
        <v>50</v>
      </c>
      <c r="R21" s="21" t="s">
        <v>103</v>
      </c>
      <c r="S21" s="21">
        <v>75</v>
      </c>
      <c r="T21" s="21">
        <v>9</v>
      </c>
      <c r="U21" s="21" t="s">
        <v>105</v>
      </c>
      <c r="V21" s="13">
        <v>17</v>
      </c>
      <c r="W21" s="13">
        <v>7200</v>
      </c>
    </row>
    <row r="22" spans="1:23" x14ac:dyDescent="0.2">
      <c r="A22" s="3">
        <v>20</v>
      </c>
      <c r="B22">
        <v>433</v>
      </c>
      <c r="C22" t="s">
        <v>53</v>
      </c>
      <c r="D22">
        <v>31.821769</v>
      </c>
      <c r="E22">
        <v>74.224029000000002</v>
      </c>
      <c r="F22">
        <v>15</v>
      </c>
      <c r="G22" t="s">
        <v>90</v>
      </c>
      <c r="H22" t="s">
        <v>90</v>
      </c>
      <c r="I22" t="s">
        <v>91</v>
      </c>
      <c r="J22" s="12">
        <v>44737</v>
      </c>
      <c r="K22" s="12">
        <v>44877</v>
      </c>
      <c r="L22" s="13">
        <f t="shared" si="0"/>
        <v>140</v>
      </c>
      <c r="M22" s="13">
        <f t="shared" si="1"/>
        <v>2100</v>
      </c>
      <c r="N22" s="51">
        <v>44755</v>
      </c>
      <c r="O22" s="35">
        <v>44854</v>
      </c>
      <c r="P22" s="21">
        <v>50</v>
      </c>
      <c r="Q22" s="31">
        <v>50</v>
      </c>
      <c r="R22" s="21" t="s">
        <v>103</v>
      </c>
      <c r="S22" s="21">
        <v>75</v>
      </c>
      <c r="T22" s="21">
        <v>9</v>
      </c>
      <c r="U22" s="21" t="s">
        <v>100</v>
      </c>
      <c r="V22" s="13">
        <v>16</v>
      </c>
      <c r="W22" s="13">
        <v>525</v>
      </c>
    </row>
    <row r="23" spans="1:23" x14ac:dyDescent="0.2">
      <c r="A23" s="3">
        <v>21</v>
      </c>
      <c r="B23">
        <v>489</v>
      </c>
      <c r="C23" t="s">
        <v>54</v>
      </c>
      <c r="D23">
        <v>31.847498999999999</v>
      </c>
      <c r="E23">
        <v>74.420984000000004</v>
      </c>
      <c r="F23">
        <v>20</v>
      </c>
      <c r="G23" s="27" t="s">
        <v>90</v>
      </c>
      <c r="H23" s="27" t="s">
        <v>90</v>
      </c>
      <c r="I23" s="27" t="s">
        <v>90</v>
      </c>
      <c r="J23" s="12">
        <v>44737</v>
      </c>
      <c r="K23" s="12">
        <v>44878</v>
      </c>
      <c r="L23" s="13">
        <f t="shared" si="0"/>
        <v>141</v>
      </c>
      <c r="M23" s="13">
        <f t="shared" si="1"/>
        <v>2820</v>
      </c>
      <c r="N23" s="51">
        <v>44754</v>
      </c>
      <c r="O23" s="51">
        <v>44858</v>
      </c>
      <c r="P23" s="21">
        <v>50</v>
      </c>
      <c r="Q23" s="31">
        <v>50</v>
      </c>
      <c r="R23" s="21" t="s">
        <v>103</v>
      </c>
      <c r="S23" s="21">
        <v>75</v>
      </c>
      <c r="T23" s="21">
        <v>9</v>
      </c>
      <c r="U23" s="21" t="s">
        <v>100</v>
      </c>
      <c r="V23" s="13">
        <v>17</v>
      </c>
      <c r="W23" s="13">
        <v>720</v>
      </c>
    </row>
    <row r="24" spans="1:23" x14ac:dyDescent="0.2">
      <c r="A24" s="3">
        <v>22</v>
      </c>
      <c r="B24">
        <v>500</v>
      </c>
      <c r="C24" t="s">
        <v>55</v>
      </c>
      <c r="D24">
        <v>31.842023999999999</v>
      </c>
      <c r="E24">
        <v>74.417976999999993</v>
      </c>
      <c r="F24">
        <v>30</v>
      </c>
      <c r="G24" s="27" t="s">
        <v>90</v>
      </c>
      <c r="H24" s="27" t="s">
        <v>90</v>
      </c>
      <c r="I24" s="27" t="s">
        <v>90</v>
      </c>
      <c r="J24" s="12">
        <v>44743</v>
      </c>
      <c r="K24" s="12">
        <v>44870</v>
      </c>
      <c r="L24" s="13">
        <f t="shared" si="0"/>
        <v>127</v>
      </c>
      <c r="M24" s="13">
        <f t="shared" si="1"/>
        <v>3810</v>
      </c>
      <c r="N24" s="51">
        <v>44755</v>
      </c>
      <c r="O24" s="51">
        <v>44850</v>
      </c>
      <c r="P24" s="21">
        <v>50</v>
      </c>
      <c r="Q24" s="31">
        <v>50</v>
      </c>
      <c r="R24" s="21" t="s">
        <v>103</v>
      </c>
      <c r="S24" s="21">
        <v>75</v>
      </c>
      <c r="T24" s="21">
        <v>9</v>
      </c>
      <c r="U24" s="21" t="s">
        <v>100</v>
      </c>
      <c r="V24" s="13">
        <v>17</v>
      </c>
      <c r="W24" s="13">
        <v>1110</v>
      </c>
    </row>
    <row r="25" spans="1:23" x14ac:dyDescent="0.2">
      <c r="A25" s="3">
        <v>23</v>
      </c>
      <c r="B25">
        <v>539</v>
      </c>
      <c r="C25" t="s">
        <v>56</v>
      </c>
      <c r="D25">
        <v>31.890333999999999</v>
      </c>
      <c r="E25">
        <v>74.385886999999997</v>
      </c>
      <c r="F25">
        <v>17</v>
      </c>
      <c r="G25" s="27" t="s">
        <v>90</v>
      </c>
      <c r="H25" s="27" t="s">
        <v>90</v>
      </c>
      <c r="I25" s="27" t="s">
        <v>90</v>
      </c>
      <c r="J25" s="12">
        <v>44739</v>
      </c>
      <c r="K25" s="12">
        <v>44877</v>
      </c>
      <c r="L25" s="13">
        <f t="shared" si="0"/>
        <v>138</v>
      </c>
      <c r="M25" s="13">
        <f t="shared" si="1"/>
        <v>2346</v>
      </c>
      <c r="N25" s="51">
        <v>44754</v>
      </c>
      <c r="O25" s="51">
        <v>44856</v>
      </c>
      <c r="P25" s="21">
        <v>50</v>
      </c>
      <c r="Q25" s="31">
        <v>50</v>
      </c>
      <c r="R25" s="21" t="s">
        <v>103</v>
      </c>
      <c r="S25" s="21">
        <v>75</v>
      </c>
      <c r="T25" s="21">
        <v>9</v>
      </c>
      <c r="U25" s="21" t="s">
        <v>100</v>
      </c>
      <c r="V25" s="13">
        <v>17</v>
      </c>
      <c r="W25" s="13">
        <v>629</v>
      </c>
    </row>
    <row r="26" spans="1:23" x14ac:dyDescent="0.2">
      <c r="A26" s="3">
        <v>24</v>
      </c>
      <c r="B26">
        <v>550</v>
      </c>
      <c r="C26" t="s">
        <v>57</v>
      </c>
      <c r="D26">
        <v>31.880790000000001</v>
      </c>
      <c r="E26">
        <v>74.379519000000002</v>
      </c>
      <c r="F26">
        <v>10</v>
      </c>
      <c r="G26" s="27" t="s">
        <v>90</v>
      </c>
      <c r="H26" s="27" t="s">
        <v>90</v>
      </c>
      <c r="I26" s="27" t="s">
        <v>90</v>
      </c>
      <c r="J26" s="12">
        <v>44737</v>
      </c>
      <c r="K26" s="12">
        <v>44874</v>
      </c>
      <c r="L26" s="13">
        <f t="shared" si="0"/>
        <v>137</v>
      </c>
      <c r="M26" s="13">
        <f t="shared" si="1"/>
        <v>1370</v>
      </c>
      <c r="N26" s="51">
        <v>44753</v>
      </c>
      <c r="O26" s="35">
        <v>44854</v>
      </c>
      <c r="P26" s="21">
        <v>50</v>
      </c>
      <c r="Q26" s="31">
        <v>50</v>
      </c>
      <c r="R26" s="21" t="s">
        <v>103</v>
      </c>
      <c r="S26" s="21">
        <v>75</v>
      </c>
      <c r="T26" s="21">
        <v>9</v>
      </c>
      <c r="U26" s="21" t="s">
        <v>100</v>
      </c>
      <c r="V26" s="13">
        <v>18</v>
      </c>
      <c r="W26" s="13">
        <v>360</v>
      </c>
    </row>
    <row r="27" spans="1:23" x14ac:dyDescent="0.2">
      <c r="A27" s="3">
        <v>25</v>
      </c>
      <c r="B27">
        <v>555</v>
      </c>
      <c r="C27" t="s">
        <v>58</v>
      </c>
      <c r="D27">
        <v>31.697583999999999</v>
      </c>
      <c r="E27">
        <v>74.348202000000001</v>
      </c>
      <c r="F27">
        <v>10</v>
      </c>
      <c r="G27" t="s">
        <v>90</v>
      </c>
      <c r="H27" t="s">
        <v>90</v>
      </c>
      <c r="I27" t="s">
        <v>90</v>
      </c>
      <c r="J27" s="12">
        <v>44737</v>
      </c>
      <c r="K27" s="12">
        <v>44881</v>
      </c>
      <c r="L27" s="13">
        <f t="shared" si="0"/>
        <v>144</v>
      </c>
      <c r="M27" s="13">
        <f t="shared" si="1"/>
        <v>1440</v>
      </c>
      <c r="N27" s="51">
        <v>44754</v>
      </c>
      <c r="O27" s="51">
        <v>44859</v>
      </c>
      <c r="P27" s="21">
        <v>50</v>
      </c>
      <c r="Q27" s="31">
        <v>50</v>
      </c>
      <c r="R27" s="21" t="s">
        <v>103</v>
      </c>
      <c r="S27" s="21">
        <v>75</v>
      </c>
      <c r="T27" s="21">
        <v>9</v>
      </c>
      <c r="U27" s="21" t="s">
        <v>100</v>
      </c>
      <c r="V27" s="13">
        <v>17</v>
      </c>
      <c r="W27" s="13">
        <v>360</v>
      </c>
    </row>
    <row r="28" spans="1:23" x14ac:dyDescent="0.2">
      <c r="A28" s="3">
        <v>26</v>
      </c>
      <c r="B28">
        <v>602</v>
      </c>
      <c r="C28" t="s">
        <v>59</v>
      </c>
      <c r="D28">
        <v>31.870729300000001</v>
      </c>
      <c r="E28">
        <v>74.425978799999996</v>
      </c>
      <c r="F28">
        <v>42</v>
      </c>
      <c r="G28" t="s">
        <v>90</v>
      </c>
      <c r="H28" t="s">
        <v>90</v>
      </c>
      <c r="I28" t="s">
        <v>90</v>
      </c>
      <c r="J28" s="12">
        <v>44734</v>
      </c>
      <c r="K28" s="12">
        <v>44880</v>
      </c>
      <c r="L28" s="13">
        <f t="shared" si="0"/>
        <v>146</v>
      </c>
      <c r="M28" s="13">
        <f t="shared" si="1"/>
        <v>6132</v>
      </c>
      <c r="N28" s="51">
        <v>44755</v>
      </c>
      <c r="O28" s="51">
        <v>44859</v>
      </c>
      <c r="P28" s="21">
        <v>50</v>
      </c>
      <c r="Q28" s="31">
        <v>50</v>
      </c>
      <c r="R28" s="21" t="s">
        <v>103</v>
      </c>
      <c r="S28" s="21">
        <v>75</v>
      </c>
      <c r="T28" s="21">
        <v>9</v>
      </c>
      <c r="U28" s="21" t="s">
        <v>100</v>
      </c>
      <c r="V28" s="13">
        <v>18</v>
      </c>
      <c r="W28" s="13">
        <v>1512</v>
      </c>
    </row>
    <row r="29" spans="1:23" x14ac:dyDescent="0.2">
      <c r="A29" s="3">
        <v>27</v>
      </c>
      <c r="B29">
        <v>637</v>
      </c>
      <c r="C29" t="s">
        <v>60</v>
      </c>
      <c r="D29">
        <v>32.001030999999998</v>
      </c>
      <c r="E29">
        <v>74.502764999999997</v>
      </c>
      <c r="F29">
        <v>10</v>
      </c>
      <c r="G29" t="s">
        <v>90</v>
      </c>
      <c r="H29" t="s">
        <v>90</v>
      </c>
      <c r="I29" t="s">
        <v>90</v>
      </c>
      <c r="J29" s="12">
        <v>44739</v>
      </c>
      <c r="K29" s="12">
        <v>44874</v>
      </c>
      <c r="L29" s="13">
        <f t="shared" si="0"/>
        <v>135</v>
      </c>
      <c r="M29" s="13">
        <f t="shared" si="1"/>
        <v>1350</v>
      </c>
      <c r="N29" s="51">
        <v>44756</v>
      </c>
      <c r="O29" s="35">
        <v>44855</v>
      </c>
      <c r="P29" s="21">
        <v>50</v>
      </c>
      <c r="Q29" s="31">
        <v>50</v>
      </c>
      <c r="R29" s="21" t="s">
        <v>104</v>
      </c>
      <c r="S29" s="21">
        <v>75</v>
      </c>
      <c r="T29" s="21">
        <v>9</v>
      </c>
      <c r="U29" s="21" t="s">
        <v>101</v>
      </c>
      <c r="V29" s="13">
        <v>18</v>
      </c>
      <c r="W29" s="13">
        <v>350</v>
      </c>
    </row>
    <row r="30" spans="1:23" x14ac:dyDescent="0.2">
      <c r="A30" s="3">
        <v>28</v>
      </c>
      <c r="B30">
        <v>659</v>
      </c>
      <c r="C30" t="s">
        <v>61</v>
      </c>
      <c r="D30">
        <v>31.9786225</v>
      </c>
      <c r="E30">
        <v>74.521736300000001</v>
      </c>
      <c r="F30">
        <v>18</v>
      </c>
      <c r="G30" t="s">
        <v>90</v>
      </c>
      <c r="H30" t="s">
        <v>90</v>
      </c>
      <c r="I30" t="s">
        <v>90</v>
      </c>
      <c r="J30" s="12">
        <v>44737</v>
      </c>
      <c r="K30" s="12">
        <v>44878</v>
      </c>
      <c r="L30" s="13">
        <f t="shared" si="0"/>
        <v>141</v>
      </c>
      <c r="M30" s="13">
        <f t="shared" si="1"/>
        <v>2538</v>
      </c>
      <c r="N30" s="35">
        <v>44757</v>
      </c>
      <c r="O30" s="51">
        <v>44858</v>
      </c>
      <c r="P30" s="21">
        <v>50</v>
      </c>
      <c r="Q30" s="31">
        <v>50</v>
      </c>
      <c r="R30" s="21" t="s">
        <v>103</v>
      </c>
      <c r="S30" s="21">
        <v>75</v>
      </c>
      <c r="T30" s="21">
        <v>9</v>
      </c>
      <c r="U30" s="21" t="s">
        <v>100</v>
      </c>
      <c r="V30" s="13">
        <v>17</v>
      </c>
      <c r="W30" s="13">
        <v>648</v>
      </c>
    </row>
    <row r="31" spans="1:23" x14ac:dyDescent="0.2">
      <c r="A31" s="3">
        <v>29</v>
      </c>
      <c r="B31">
        <v>674</v>
      </c>
      <c r="C31" t="s">
        <v>62</v>
      </c>
      <c r="D31">
        <v>31.762117</v>
      </c>
      <c r="E31">
        <v>74.384089200000005</v>
      </c>
      <c r="F31">
        <v>15</v>
      </c>
      <c r="G31" t="s">
        <v>90</v>
      </c>
      <c r="H31" t="s">
        <v>90</v>
      </c>
      <c r="I31" t="s">
        <v>91</v>
      </c>
      <c r="J31" s="12">
        <v>44737</v>
      </c>
      <c r="K31" s="12">
        <v>44879</v>
      </c>
      <c r="L31" s="13">
        <f t="shared" si="0"/>
        <v>142</v>
      </c>
      <c r="M31" s="13">
        <f t="shared" si="1"/>
        <v>2130</v>
      </c>
      <c r="N31" s="35">
        <v>44757</v>
      </c>
      <c r="O31" s="51">
        <v>44857</v>
      </c>
      <c r="P31" s="21">
        <v>50</v>
      </c>
      <c r="Q31" s="31">
        <v>50</v>
      </c>
      <c r="R31" s="21" t="s">
        <v>103</v>
      </c>
      <c r="S31" s="21">
        <v>75</v>
      </c>
      <c r="T31" s="21">
        <v>9</v>
      </c>
      <c r="U31" s="21" t="s">
        <v>100</v>
      </c>
      <c r="V31" s="13">
        <v>18</v>
      </c>
      <c r="W31" s="13">
        <v>555</v>
      </c>
    </row>
    <row r="32" spans="1:23" x14ac:dyDescent="0.2">
      <c r="A32" s="3">
        <v>30</v>
      </c>
      <c r="B32">
        <v>679</v>
      </c>
      <c r="C32" t="s">
        <v>63</v>
      </c>
      <c r="D32">
        <v>31.761112900000001</v>
      </c>
      <c r="E32">
        <v>74.3881181</v>
      </c>
      <c r="F32">
        <v>3.5</v>
      </c>
      <c r="G32" t="s">
        <v>90</v>
      </c>
      <c r="H32" t="s">
        <v>91</v>
      </c>
      <c r="I32" t="s">
        <v>90</v>
      </c>
      <c r="J32" s="12">
        <v>44738</v>
      </c>
      <c r="K32" s="12">
        <v>44877</v>
      </c>
      <c r="L32" s="13">
        <f t="shared" si="0"/>
        <v>139</v>
      </c>
      <c r="M32" s="13">
        <f t="shared" si="1"/>
        <v>486.5</v>
      </c>
      <c r="N32" s="35">
        <v>44754</v>
      </c>
      <c r="O32" s="35">
        <v>44854</v>
      </c>
      <c r="P32" s="21">
        <v>50</v>
      </c>
      <c r="Q32" s="31">
        <v>50</v>
      </c>
      <c r="R32" s="21" t="s">
        <v>103</v>
      </c>
      <c r="S32" s="21">
        <v>75</v>
      </c>
      <c r="T32" s="21">
        <v>9</v>
      </c>
      <c r="U32" s="21" t="s">
        <v>100</v>
      </c>
      <c r="V32" s="13">
        <v>18</v>
      </c>
      <c r="W32" s="13">
        <v>126</v>
      </c>
    </row>
    <row r="33" spans="6:24" x14ac:dyDescent="0.2">
      <c r="J33" s="12"/>
      <c r="K33" s="12"/>
      <c r="L33" s="13"/>
      <c r="M33" s="13"/>
      <c r="N33" s="35"/>
      <c r="O33" s="35"/>
      <c r="P33" s="21"/>
      <c r="Q33" s="31"/>
      <c r="R33" s="21"/>
      <c r="S33" s="21"/>
      <c r="T33" s="21"/>
      <c r="U33" s="21"/>
      <c r="V33" s="13"/>
    </row>
    <row r="34" spans="6:24" x14ac:dyDescent="0.2">
      <c r="F34" s="3" t="s">
        <v>188</v>
      </c>
      <c r="J34" s="3" t="s">
        <v>179</v>
      </c>
      <c r="K34" s="3" t="s">
        <v>180</v>
      </c>
      <c r="L34" s="3" t="s">
        <v>246</v>
      </c>
      <c r="M34" s="3"/>
      <c r="N34" s="3" t="s">
        <v>177</v>
      </c>
      <c r="O34" s="3" t="s">
        <v>178</v>
      </c>
      <c r="P34" s="21"/>
      <c r="Q34" s="21"/>
      <c r="R34" s="21"/>
      <c r="S34" s="21"/>
      <c r="T34" s="21"/>
      <c r="V34" s="54" t="s">
        <v>168</v>
      </c>
      <c r="W34" s="54" t="s">
        <v>186</v>
      </c>
      <c r="X34" s="3" t="s">
        <v>189</v>
      </c>
    </row>
    <row r="35" spans="6:24" x14ac:dyDescent="0.2">
      <c r="F35">
        <f>SUM(F3:F32)</f>
        <v>1274.5</v>
      </c>
      <c r="J35" s="52">
        <f>MIN(J3:J32)</f>
        <v>44734</v>
      </c>
      <c r="K35" s="52">
        <f>MAX(K3:K32)</f>
        <v>44881</v>
      </c>
      <c r="L35" s="13">
        <f>(SUM(M3:M32)/F35)</f>
        <v>133.10906237740289</v>
      </c>
      <c r="M35" s="13"/>
      <c r="N35" s="52">
        <f>MIN(N3:N32)</f>
        <v>44753</v>
      </c>
      <c r="O35" s="52">
        <f>MIN(O3:O32)</f>
        <v>44842</v>
      </c>
      <c r="V35" s="1">
        <f>AVERAGE(V3:V32)</f>
        <v>16.566666666666666</v>
      </c>
      <c r="W35" s="13">
        <f>SUM(W1:W32)/AA3</f>
        <v>1883160</v>
      </c>
      <c r="X35" s="1">
        <f>W35/(F35*P43)</f>
        <v>3651.1492366394837</v>
      </c>
    </row>
    <row r="36" spans="6:24" x14ac:dyDescent="0.2">
      <c r="G36" s="28"/>
      <c r="H36" s="29" t="s">
        <v>187</v>
      </c>
      <c r="I36" s="29" t="s">
        <v>93</v>
      </c>
      <c r="J36" s="29" t="s">
        <v>320</v>
      </c>
      <c r="N36" s="52">
        <f>MAX(N4:N34)</f>
        <v>44790</v>
      </c>
      <c r="O36" s="52">
        <f>MAX(O4:O34)</f>
        <v>44859</v>
      </c>
      <c r="V36" s="13"/>
      <c r="W36" s="13"/>
    </row>
    <row r="37" spans="6:24" ht="34" x14ac:dyDescent="0.2">
      <c r="G37" s="29" t="s">
        <v>87</v>
      </c>
      <c r="H37" s="28">
        <f>SUMIFS(F3:F32,G3:G32,"Yes")</f>
        <v>1274.5</v>
      </c>
      <c r="I37" s="30">
        <f>H37/$F$35</f>
        <v>1</v>
      </c>
      <c r="J37" s="181">
        <f>H37*I37/$F$35</f>
        <v>1</v>
      </c>
      <c r="P37" s="20"/>
      <c r="Q37" s="20"/>
      <c r="R37" s="20"/>
      <c r="S37" s="20"/>
      <c r="T37" s="20"/>
      <c r="U37" s="20" t="s">
        <v>67</v>
      </c>
      <c r="V37" s="1">
        <f>25-V35</f>
        <v>8.4333333333333336</v>
      </c>
      <c r="W37" s="13"/>
    </row>
    <row r="38" spans="6:24" x14ac:dyDescent="0.2">
      <c r="G38" s="29" t="s">
        <v>88</v>
      </c>
      <c r="H38" s="28">
        <f>SUMIFS(F3:F32,H3:H32,"Yes")</f>
        <v>1271</v>
      </c>
      <c r="I38" s="30">
        <f t="shared" ref="I38:I39" si="2">H38/$F$35</f>
        <v>0.99725382502942328</v>
      </c>
      <c r="J38" s="181">
        <f t="shared" ref="J38:J39" si="3">H38*I38/$F$35</f>
        <v>0.99451519153581569</v>
      </c>
      <c r="V38" s="1"/>
      <c r="W38" s="1"/>
    </row>
    <row r="39" spans="6:24" x14ac:dyDescent="0.2">
      <c r="G39" s="29" t="s">
        <v>94</v>
      </c>
      <c r="H39" s="28">
        <f>SUMIFS(F3:F32,I3:I32,"Yes")</f>
        <v>939.5</v>
      </c>
      <c r="I39" s="30">
        <f t="shared" si="2"/>
        <v>0.73715182424480186</v>
      </c>
      <c r="J39" s="181">
        <f t="shared" si="3"/>
        <v>0.54339281198743927</v>
      </c>
      <c r="O39" t="s">
        <v>117</v>
      </c>
      <c r="P39" t="s">
        <v>109</v>
      </c>
      <c r="Q39" t="s">
        <v>116</v>
      </c>
      <c r="R39" t="s">
        <v>184</v>
      </c>
    </row>
    <row r="40" spans="6:24" x14ac:dyDescent="0.2">
      <c r="I40" s="3" t="s">
        <v>321</v>
      </c>
      <c r="J40" s="182">
        <f>AVERAGE(J37:J39)</f>
        <v>0.84596933450775158</v>
      </c>
      <c r="N40" t="s">
        <v>114</v>
      </c>
      <c r="O40">
        <v>50</v>
      </c>
      <c r="P40" s="32">
        <v>0.18</v>
      </c>
      <c r="Q40" s="1">
        <f>O40*P40</f>
        <v>9</v>
      </c>
      <c r="R40" s="1">
        <f>Q40/P43</f>
        <v>22.23948433424308</v>
      </c>
    </row>
    <row r="41" spans="6:24" x14ac:dyDescent="0.2">
      <c r="N41" t="s">
        <v>115</v>
      </c>
      <c r="O41">
        <v>50</v>
      </c>
      <c r="P41" s="22">
        <v>0.46</v>
      </c>
      <c r="Q41">
        <f>O41*P41</f>
        <v>23</v>
      </c>
      <c r="R41" s="1">
        <f>Q41/P43</f>
        <v>56.83423774306565</v>
      </c>
    </row>
    <row r="42" spans="6:24" x14ac:dyDescent="0.2">
      <c r="R42" s="1">
        <f>R40+R41</f>
        <v>79.07372207730873</v>
      </c>
    </row>
    <row r="43" spans="6:24" x14ac:dyDescent="0.2">
      <c r="N43" s="33" t="s">
        <v>110</v>
      </c>
      <c r="O43" s="33" t="s">
        <v>111</v>
      </c>
      <c r="P43" s="33">
        <v>0.40468564219999997</v>
      </c>
      <c r="Q43" s="33"/>
      <c r="R43" s="33" t="s">
        <v>9</v>
      </c>
    </row>
  </sheetData>
  <mergeCells count="1">
    <mergeCell ref="R1:U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22F4-9C45-8C49-A10A-8CCDD198488B}">
  <dimension ref="A1:AC43"/>
  <sheetViews>
    <sheetView topLeftCell="A25" workbookViewId="0">
      <selection activeCell="H37" sqref="H37"/>
    </sheetView>
  </sheetViews>
  <sheetFormatPr baseColWidth="10" defaultRowHeight="16" x14ac:dyDescent="0.2"/>
  <cols>
    <col min="1" max="1" width="10.83203125" style="3"/>
    <col min="3" max="3" width="27.6640625" customWidth="1"/>
    <col min="7" max="7" width="12.83203125" customWidth="1"/>
    <col min="10" max="10" width="21.5" customWidth="1"/>
    <col min="11" max="11" width="13.6640625" customWidth="1"/>
    <col min="12" max="13" width="16.83203125" customWidth="1"/>
    <col min="14" max="14" width="13.33203125" customWidth="1"/>
    <col min="15" max="17" width="16" customWidth="1"/>
    <col min="18" max="18" width="16.5" customWidth="1"/>
    <col min="19" max="19" width="12.33203125" customWidth="1"/>
    <col min="20" max="21" width="16" customWidth="1"/>
    <col min="22" max="22" width="17.33203125" customWidth="1"/>
  </cols>
  <sheetData>
    <row r="1" spans="1:29" ht="34" x14ac:dyDescent="0.2">
      <c r="A1" s="14" t="s">
        <v>37</v>
      </c>
      <c r="B1" s="14" t="s">
        <v>22</v>
      </c>
      <c r="C1" s="14" t="s">
        <v>23</v>
      </c>
      <c r="D1" s="14" t="s">
        <v>25</v>
      </c>
      <c r="E1" s="14" t="s">
        <v>26</v>
      </c>
      <c r="F1" s="14" t="s">
        <v>149</v>
      </c>
      <c r="G1" s="14" t="s">
        <v>87</v>
      </c>
      <c r="H1" s="14" t="s">
        <v>88</v>
      </c>
      <c r="I1" s="14" t="s">
        <v>89</v>
      </c>
      <c r="J1" s="14" t="s">
        <v>27</v>
      </c>
      <c r="K1" s="14" t="s">
        <v>28</v>
      </c>
      <c r="L1" s="14" t="s">
        <v>64</v>
      </c>
      <c r="M1" s="14"/>
      <c r="N1" s="14" t="s">
        <v>68</v>
      </c>
      <c r="O1" s="14" t="s">
        <v>69</v>
      </c>
      <c r="P1" s="14" t="s">
        <v>96</v>
      </c>
      <c r="Q1" s="14" t="s">
        <v>113</v>
      </c>
      <c r="R1" s="199" t="s">
        <v>95</v>
      </c>
      <c r="S1" s="199"/>
      <c r="T1" s="199"/>
      <c r="U1" s="199"/>
      <c r="V1" s="14" t="s">
        <v>29</v>
      </c>
      <c r="W1" s="14" t="s">
        <v>185</v>
      </c>
      <c r="Y1" s="16" t="s">
        <v>31</v>
      </c>
    </row>
    <row r="2" spans="1:29" ht="34" x14ac:dyDescent="0.2">
      <c r="A2" s="14"/>
      <c r="B2" s="14"/>
      <c r="C2" s="14"/>
      <c r="D2" s="14"/>
      <c r="E2" s="14"/>
      <c r="F2" s="14" t="s">
        <v>243</v>
      </c>
      <c r="G2" s="14"/>
      <c r="H2" s="14"/>
      <c r="I2" s="14"/>
      <c r="J2" s="14"/>
      <c r="K2" s="14"/>
      <c r="L2" s="14" t="s">
        <v>244</v>
      </c>
      <c r="M2" s="14" t="s">
        <v>245</v>
      </c>
      <c r="N2" s="14"/>
      <c r="O2" s="14"/>
      <c r="P2" s="14"/>
      <c r="Q2" s="14"/>
      <c r="R2" s="14" t="s">
        <v>147</v>
      </c>
      <c r="S2" s="14" t="s">
        <v>97</v>
      </c>
      <c r="T2" s="14" t="s">
        <v>98</v>
      </c>
      <c r="U2" s="14" t="s">
        <v>148</v>
      </c>
      <c r="V2" s="14"/>
      <c r="W2" s="14"/>
      <c r="Y2" s="16"/>
    </row>
    <row r="3" spans="1:29" x14ac:dyDescent="0.2">
      <c r="A3" s="3">
        <v>1</v>
      </c>
      <c r="B3" s="27">
        <v>64</v>
      </c>
      <c r="C3" s="27" t="s">
        <v>118</v>
      </c>
      <c r="F3">
        <v>8</v>
      </c>
      <c r="G3" s="27" t="s">
        <v>90</v>
      </c>
      <c r="H3" s="27" t="s">
        <v>90</v>
      </c>
      <c r="I3" s="27" t="s">
        <v>90</v>
      </c>
      <c r="J3" s="12">
        <v>45093</v>
      </c>
      <c r="K3" s="12">
        <v>45231</v>
      </c>
      <c r="L3" s="13">
        <f t="shared" ref="L3:L32" si="0">_xlfn.DAYS(K3,J3)</f>
        <v>138</v>
      </c>
      <c r="M3" s="13">
        <f>F3*L3</f>
        <v>1104</v>
      </c>
      <c r="N3" s="35">
        <v>45135</v>
      </c>
      <c r="O3" s="35">
        <v>45220</v>
      </c>
      <c r="P3" s="34">
        <v>25</v>
      </c>
      <c r="Q3" s="31">
        <v>50</v>
      </c>
      <c r="R3" s="31" t="s">
        <v>103</v>
      </c>
      <c r="S3" s="31">
        <v>75</v>
      </c>
      <c r="T3" s="31">
        <v>9</v>
      </c>
      <c r="U3" s="31" t="s">
        <v>108</v>
      </c>
      <c r="V3" s="13">
        <v>18</v>
      </c>
      <c r="W3">
        <v>304</v>
      </c>
      <c r="Y3" s="9">
        <v>1</v>
      </c>
      <c r="Z3" s="9" t="s">
        <v>33</v>
      </c>
      <c r="AA3" s="9">
        <v>2.5000000000000001E-2</v>
      </c>
      <c r="AB3" s="9" t="s">
        <v>32</v>
      </c>
      <c r="AC3" t="s">
        <v>34</v>
      </c>
    </row>
    <row r="4" spans="1:29" x14ac:dyDescent="0.2">
      <c r="A4" s="3">
        <v>2</v>
      </c>
      <c r="B4" s="27">
        <v>267</v>
      </c>
      <c r="C4" s="27" t="s">
        <v>119</v>
      </c>
      <c r="D4">
        <v>31.789280999999999</v>
      </c>
      <c r="E4">
        <v>74.091980000000007</v>
      </c>
      <c r="F4">
        <v>10</v>
      </c>
      <c r="G4" s="27" t="s">
        <v>90</v>
      </c>
      <c r="H4" s="27" t="s">
        <v>90</v>
      </c>
      <c r="I4" s="27" t="s">
        <v>90</v>
      </c>
      <c r="J4" s="12">
        <v>45098</v>
      </c>
      <c r="K4" s="12">
        <v>45233</v>
      </c>
      <c r="L4" s="13">
        <f t="shared" si="0"/>
        <v>135</v>
      </c>
      <c r="M4" s="13">
        <f t="shared" ref="M4:M32" si="1">F4*L4</f>
        <v>1350</v>
      </c>
      <c r="N4" s="35">
        <v>45144</v>
      </c>
      <c r="O4" s="35">
        <v>45221</v>
      </c>
      <c r="P4" s="21">
        <v>25</v>
      </c>
      <c r="Q4" s="31">
        <v>25</v>
      </c>
      <c r="R4" s="31" t="s">
        <v>103</v>
      </c>
      <c r="S4" s="31">
        <v>75</v>
      </c>
      <c r="T4" s="31">
        <v>9</v>
      </c>
      <c r="U4" s="31" t="s">
        <v>101</v>
      </c>
      <c r="V4" s="13">
        <v>17</v>
      </c>
      <c r="W4">
        <v>380</v>
      </c>
    </row>
    <row r="5" spans="1:29" x14ac:dyDescent="0.2">
      <c r="A5" s="3">
        <v>3</v>
      </c>
      <c r="B5" s="27">
        <v>272</v>
      </c>
      <c r="C5" s="27" t="s">
        <v>120</v>
      </c>
      <c r="D5">
        <v>31.756883999999999</v>
      </c>
      <c r="E5">
        <v>74.143028999999999</v>
      </c>
      <c r="F5">
        <v>20</v>
      </c>
      <c r="G5" s="27" t="s">
        <v>90</v>
      </c>
      <c r="H5" s="27" t="s">
        <v>90</v>
      </c>
      <c r="I5" s="27" t="s">
        <v>90</v>
      </c>
      <c r="J5" s="12">
        <v>45098</v>
      </c>
      <c r="K5" s="12">
        <v>45243</v>
      </c>
      <c r="L5" s="13">
        <f t="shared" si="0"/>
        <v>145</v>
      </c>
      <c r="M5" s="13">
        <f t="shared" si="1"/>
        <v>2900</v>
      </c>
      <c r="N5" s="35">
        <v>45139</v>
      </c>
      <c r="O5" s="35">
        <v>45215</v>
      </c>
      <c r="P5" s="31">
        <v>50</v>
      </c>
      <c r="Q5" s="31">
        <v>50</v>
      </c>
      <c r="R5" s="31" t="s">
        <v>103</v>
      </c>
      <c r="S5" s="31">
        <v>75</v>
      </c>
      <c r="T5" s="31">
        <v>9</v>
      </c>
      <c r="U5" s="31" t="s">
        <v>100</v>
      </c>
      <c r="V5" s="13">
        <v>17</v>
      </c>
      <c r="W5">
        <v>608</v>
      </c>
    </row>
    <row r="6" spans="1:29" x14ac:dyDescent="0.2">
      <c r="A6" s="3">
        <v>4</v>
      </c>
      <c r="B6" s="27">
        <v>273</v>
      </c>
      <c r="C6" s="27" t="s">
        <v>121</v>
      </c>
      <c r="D6">
        <v>31.7638</v>
      </c>
      <c r="E6">
        <v>74.141323</v>
      </c>
      <c r="F6">
        <v>17</v>
      </c>
      <c r="G6" s="27" t="s">
        <v>90</v>
      </c>
      <c r="H6" s="27" t="s">
        <v>90</v>
      </c>
      <c r="I6" s="27" t="s">
        <v>90</v>
      </c>
      <c r="J6" s="12">
        <v>45101</v>
      </c>
      <c r="K6" s="12">
        <v>45234</v>
      </c>
      <c r="L6" s="13">
        <f t="shared" si="0"/>
        <v>133</v>
      </c>
      <c r="M6" s="13">
        <f t="shared" si="1"/>
        <v>2261</v>
      </c>
      <c r="N6" s="35">
        <v>45135</v>
      </c>
      <c r="O6" s="35">
        <v>45217</v>
      </c>
      <c r="P6" s="31">
        <v>50</v>
      </c>
      <c r="Q6" s="31">
        <v>50</v>
      </c>
      <c r="R6" s="31" t="s">
        <v>103</v>
      </c>
      <c r="S6" s="31">
        <v>75</v>
      </c>
      <c r="T6" s="31">
        <v>9</v>
      </c>
      <c r="U6" s="31" t="s">
        <v>100</v>
      </c>
      <c r="V6" s="13">
        <v>18</v>
      </c>
      <c r="W6">
        <v>656</v>
      </c>
    </row>
    <row r="7" spans="1:29" x14ac:dyDescent="0.2">
      <c r="A7" s="3">
        <v>5</v>
      </c>
      <c r="B7" s="27">
        <v>276</v>
      </c>
      <c r="C7" s="27" t="s">
        <v>122</v>
      </c>
      <c r="D7">
        <v>31.752109999999998</v>
      </c>
      <c r="E7">
        <v>74.122833999999997</v>
      </c>
      <c r="F7">
        <v>8</v>
      </c>
      <c r="G7" s="27" t="s">
        <v>90</v>
      </c>
      <c r="H7" s="27" t="s">
        <v>90</v>
      </c>
      <c r="I7" s="27" t="s">
        <v>90</v>
      </c>
      <c r="J7" s="12">
        <v>45092</v>
      </c>
      <c r="K7" s="12">
        <v>45234</v>
      </c>
      <c r="L7" s="13">
        <f t="shared" si="0"/>
        <v>142</v>
      </c>
      <c r="M7" s="13">
        <f t="shared" si="1"/>
        <v>1136</v>
      </c>
      <c r="N7" s="35">
        <v>45135</v>
      </c>
      <c r="O7" s="35">
        <v>45220</v>
      </c>
      <c r="P7" s="31">
        <v>25</v>
      </c>
      <c r="Q7" s="31">
        <v>50</v>
      </c>
      <c r="R7" s="31" t="s">
        <v>103</v>
      </c>
      <c r="S7" s="31">
        <v>75</v>
      </c>
      <c r="T7" s="31">
        <v>9</v>
      </c>
      <c r="U7" s="31" t="s">
        <v>100</v>
      </c>
      <c r="V7" s="13">
        <v>18</v>
      </c>
      <c r="W7">
        <v>304</v>
      </c>
    </row>
    <row r="8" spans="1:29" x14ac:dyDescent="0.2">
      <c r="A8" s="3">
        <v>6</v>
      </c>
      <c r="B8" s="27">
        <v>516</v>
      </c>
      <c r="C8" s="27" t="s">
        <v>123</v>
      </c>
      <c r="D8">
        <v>31.854665000000001</v>
      </c>
      <c r="E8">
        <v>74.350065999999998</v>
      </c>
      <c r="F8">
        <v>25</v>
      </c>
      <c r="G8" s="27" t="s">
        <v>90</v>
      </c>
      <c r="H8" s="27" t="s">
        <v>90</v>
      </c>
      <c r="I8" s="27" t="s">
        <v>90</v>
      </c>
      <c r="J8" s="12">
        <v>45103</v>
      </c>
      <c r="K8" s="12">
        <v>45231</v>
      </c>
      <c r="L8" s="13">
        <f t="shared" si="0"/>
        <v>128</v>
      </c>
      <c r="M8" s="13">
        <f t="shared" si="1"/>
        <v>3200</v>
      </c>
      <c r="N8" s="35">
        <v>45120</v>
      </c>
      <c r="O8" s="35">
        <v>45216</v>
      </c>
      <c r="P8" s="31">
        <v>25</v>
      </c>
      <c r="Q8" s="31">
        <v>50</v>
      </c>
      <c r="R8" s="31" t="s">
        <v>103</v>
      </c>
      <c r="S8" s="31">
        <v>75</v>
      </c>
      <c r="T8" s="31">
        <v>9</v>
      </c>
      <c r="U8" s="31" t="s">
        <v>100</v>
      </c>
      <c r="V8" s="13">
        <v>19</v>
      </c>
      <c r="W8">
        <v>950</v>
      </c>
    </row>
    <row r="9" spans="1:29" x14ac:dyDescent="0.2">
      <c r="A9" s="3">
        <v>7</v>
      </c>
      <c r="B9" s="27">
        <v>555</v>
      </c>
      <c r="C9" s="27" t="s">
        <v>58</v>
      </c>
      <c r="D9">
        <v>31.697583999999999</v>
      </c>
      <c r="E9">
        <v>74.348202000000001</v>
      </c>
      <c r="F9">
        <v>10</v>
      </c>
      <c r="G9" s="27" t="s">
        <v>90</v>
      </c>
      <c r="H9" s="27" t="s">
        <v>90</v>
      </c>
      <c r="I9" s="27" t="s">
        <v>90</v>
      </c>
      <c r="J9" s="12">
        <v>45102</v>
      </c>
      <c r="K9" s="12">
        <v>45246</v>
      </c>
      <c r="L9" s="13">
        <f t="shared" si="0"/>
        <v>144</v>
      </c>
      <c r="M9" s="13">
        <f t="shared" si="1"/>
        <v>1440</v>
      </c>
      <c r="N9" s="35">
        <v>45122</v>
      </c>
      <c r="O9" s="35">
        <v>45220</v>
      </c>
      <c r="P9" s="31">
        <v>50</v>
      </c>
      <c r="Q9" s="31">
        <v>50</v>
      </c>
      <c r="R9" s="31" t="s">
        <v>103</v>
      </c>
      <c r="S9" s="31">
        <v>75</v>
      </c>
      <c r="T9" s="31">
        <v>9</v>
      </c>
      <c r="U9" s="31" t="s">
        <v>100</v>
      </c>
      <c r="V9" s="13">
        <v>20</v>
      </c>
      <c r="W9">
        <v>360</v>
      </c>
    </row>
    <row r="10" spans="1:29" x14ac:dyDescent="0.2">
      <c r="A10" s="3">
        <v>8</v>
      </c>
      <c r="B10" s="27">
        <v>671</v>
      </c>
      <c r="C10" s="27" t="s">
        <v>124</v>
      </c>
      <c r="F10">
        <v>8</v>
      </c>
      <c r="G10" s="27" t="s">
        <v>90</v>
      </c>
      <c r="H10" s="27" t="s">
        <v>90</v>
      </c>
      <c r="I10" s="27" t="s">
        <v>90</v>
      </c>
      <c r="J10" s="12">
        <v>45123</v>
      </c>
      <c r="K10" s="12">
        <v>45242</v>
      </c>
      <c r="L10" s="13">
        <f t="shared" si="0"/>
        <v>119</v>
      </c>
      <c r="M10" s="13">
        <f t="shared" si="1"/>
        <v>952</v>
      </c>
      <c r="N10" s="35">
        <v>45135</v>
      </c>
      <c r="O10" s="35">
        <v>45220</v>
      </c>
      <c r="P10" s="31">
        <v>25</v>
      </c>
      <c r="Q10" s="31">
        <v>50</v>
      </c>
      <c r="R10" s="31" t="s">
        <v>103</v>
      </c>
      <c r="S10" s="31">
        <v>75</v>
      </c>
      <c r="T10" s="31">
        <v>9</v>
      </c>
      <c r="U10" s="31" t="s">
        <v>106</v>
      </c>
      <c r="V10" s="13">
        <v>17</v>
      </c>
      <c r="W10">
        <v>312</v>
      </c>
    </row>
    <row r="11" spans="1:29" x14ac:dyDescent="0.2">
      <c r="A11" s="3">
        <v>9</v>
      </c>
      <c r="B11" s="27">
        <v>699</v>
      </c>
      <c r="C11" s="27" t="s">
        <v>125</v>
      </c>
      <c r="D11">
        <v>31.8141943</v>
      </c>
      <c r="E11">
        <v>74.312620699999997</v>
      </c>
      <c r="F11">
        <v>30</v>
      </c>
      <c r="G11" s="27" t="s">
        <v>90</v>
      </c>
      <c r="H11" s="27" t="s">
        <v>90</v>
      </c>
      <c r="I11" s="27" t="s">
        <v>90</v>
      </c>
      <c r="J11" s="12">
        <v>45109</v>
      </c>
      <c r="K11" s="12">
        <v>45241</v>
      </c>
      <c r="L11" s="13">
        <f t="shared" si="0"/>
        <v>132</v>
      </c>
      <c r="M11" s="13">
        <f t="shared" si="1"/>
        <v>3960</v>
      </c>
      <c r="N11" s="35">
        <v>45125</v>
      </c>
      <c r="O11" s="35">
        <v>45222</v>
      </c>
      <c r="P11" s="31">
        <v>50</v>
      </c>
      <c r="Q11" s="31">
        <v>50</v>
      </c>
      <c r="R11" s="31" t="s">
        <v>103</v>
      </c>
      <c r="S11" s="31">
        <v>75</v>
      </c>
      <c r="T11" s="31">
        <v>9</v>
      </c>
      <c r="U11" s="31" t="s">
        <v>100</v>
      </c>
      <c r="V11" s="13">
        <v>18</v>
      </c>
      <c r="W11">
        <v>1140</v>
      </c>
    </row>
    <row r="12" spans="1:29" x14ac:dyDescent="0.2">
      <c r="A12" s="3">
        <v>10</v>
      </c>
      <c r="B12" s="27">
        <v>712</v>
      </c>
      <c r="C12" s="27" t="s">
        <v>126</v>
      </c>
      <c r="D12">
        <v>31.953841000000001</v>
      </c>
      <c r="E12">
        <v>73.764060000000001</v>
      </c>
      <c r="F12">
        <v>26</v>
      </c>
      <c r="G12" s="27" t="s">
        <v>90</v>
      </c>
      <c r="H12" s="27" t="s">
        <v>90</v>
      </c>
      <c r="I12" s="27" t="s">
        <v>90</v>
      </c>
      <c r="J12" s="12">
        <v>45107</v>
      </c>
      <c r="K12" s="12">
        <v>45242</v>
      </c>
      <c r="L12" s="13">
        <f t="shared" si="0"/>
        <v>135</v>
      </c>
      <c r="M12" s="13">
        <f t="shared" si="1"/>
        <v>3510</v>
      </c>
      <c r="N12" s="35">
        <v>45128</v>
      </c>
      <c r="O12" s="35">
        <v>45220</v>
      </c>
      <c r="P12" s="31">
        <v>50</v>
      </c>
      <c r="Q12" s="31">
        <v>50</v>
      </c>
      <c r="R12" s="31" t="s">
        <v>103</v>
      </c>
      <c r="S12" s="31">
        <v>75</v>
      </c>
      <c r="T12" s="31">
        <v>9</v>
      </c>
      <c r="U12" s="31" t="s">
        <v>100</v>
      </c>
      <c r="V12" s="13">
        <v>18</v>
      </c>
      <c r="W12">
        <v>975</v>
      </c>
    </row>
    <row r="13" spans="1:29" x14ac:dyDescent="0.2">
      <c r="A13" s="3">
        <v>11</v>
      </c>
      <c r="B13" s="27">
        <v>726</v>
      </c>
      <c r="C13" s="27" t="s">
        <v>127</v>
      </c>
      <c r="D13">
        <v>31.953848000000001</v>
      </c>
      <c r="E13">
        <v>73.777990000000003</v>
      </c>
      <c r="F13">
        <v>24</v>
      </c>
      <c r="G13" s="27" t="s">
        <v>90</v>
      </c>
      <c r="H13" s="27" t="s">
        <v>90</v>
      </c>
      <c r="I13" s="27" t="s">
        <v>90</v>
      </c>
      <c r="J13" s="12">
        <v>45106</v>
      </c>
      <c r="K13" s="12">
        <v>45234</v>
      </c>
      <c r="L13" s="13">
        <f t="shared" si="0"/>
        <v>128</v>
      </c>
      <c r="M13" s="13">
        <f t="shared" si="1"/>
        <v>3072</v>
      </c>
      <c r="N13" s="35">
        <v>45110</v>
      </c>
      <c r="O13" s="35">
        <v>45221</v>
      </c>
      <c r="P13" s="31">
        <v>50</v>
      </c>
      <c r="Q13" s="31">
        <v>50</v>
      </c>
      <c r="R13" s="31" t="s">
        <v>103</v>
      </c>
      <c r="S13" s="31">
        <v>75</v>
      </c>
      <c r="T13" s="31">
        <v>9</v>
      </c>
      <c r="U13" s="31" t="s">
        <v>100</v>
      </c>
      <c r="V13" s="13">
        <v>19</v>
      </c>
      <c r="W13">
        <v>876</v>
      </c>
    </row>
    <row r="14" spans="1:29" x14ac:dyDescent="0.2">
      <c r="A14" s="3">
        <v>12</v>
      </c>
      <c r="B14" s="27">
        <v>753</v>
      </c>
      <c r="C14" s="27" t="s">
        <v>128</v>
      </c>
      <c r="D14">
        <v>31.940059999999999</v>
      </c>
      <c r="E14">
        <v>73.759895</v>
      </c>
      <c r="F14">
        <v>10</v>
      </c>
      <c r="G14" s="27" t="s">
        <v>90</v>
      </c>
      <c r="H14" s="27" t="s">
        <v>90</v>
      </c>
      <c r="I14" s="27" t="s">
        <v>90</v>
      </c>
      <c r="J14" s="12">
        <v>45103</v>
      </c>
      <c r="K14" s="12">
        <v>45237</v>
      </c>
      <c r="L14" s="13">
        <f t="shared" si="0"/>
        <v>134</v>
      </c>
      <c r="M14" s="13">
        <f t="shared" si="1"/>
        <v>1340</v>
      </c>
      <c r="N14" s="35">
        <v>45117</v>
      </c>
      <c r="O14" s="35">
        <v>45228</v>
      </c>
      <c r="P14" s="31">
        <v>50</v>
      </c>
      <c r="Q14" s="31">
        <v>50</v>
      </c>
      <c r="R14" s="31" t="s">
        <v>103</v>
      </c>
      <c r="S14" s="31">
        <v>75</v>
      </c>
      <c r="T14" s="31">
        <v>9</v>
      </c>
      <c r="U14" s="31" t="s">
        <v>100</v>
      </c>
      <c r="V14" s="13">
        <v>17</v>
      </c>
      <c r="W14">
        <v>370</v>
      </c>
    </row>
    <row r="15" spans="1:29" x14ac:dyDescent="0.2">
      <c r="A15" s="3">
        <v>13</v>
      </c>
      <c r="B15" s="27">
        <v>760</v>
      </c>
      <c r="C15" s="27" t="s">
        <v>129</v>
      </c>
      <c r="D15">
        <v>31.948086</v>
      </c>
      <c r="E15">
        <v>73.778637000000003</v>
      </c>
      <c r="F15">
        <v>6</v>
      </c>
      <c r="G15" s="27" t="s">
        <v>90</v>
      </c>
      <c r="H15" s="27" t="s">
        <v>90</v>
      </c>
      <c r="I15" s="27" t="s">
        <v>90</v>
      </c>
      <c r="J15" s="12">
        <v>45106</v>
      </c>
      <c r="K15" s="12">
        <v>45240</v>
      </c>
      <c r="L15" s="13">
        <f t="shared" si="0"/>
        <v>134</v>
      </c>
      <c r="M15" s="13">
        <f t="shared" si="1"/>
        <v>804</v>
      </c>
      <c r="N15" s="35">
        <v>45126</v>
      </c>
      <c r="O15" s="35">
        <v>45220</v>
      </c>
      <c r="P15" s="31">
        <v>50</v>
      </c>
      <c r="Q15" s="31">
        <v>50</v>
      </c>
      <c r="R15" s="31" t="s">
        <v>103</v>
      </c>
      <c r="S15" s="31">
        <v>75</v>
      </c>
      <c r="T15" s="31">
        <v>9</v>
      </c>
      <c r="U15" s="31" t="s">
        <v>100</v>
      </c>
      <c r="V15" s="13">
        <v>17</v>
      </c>
      <c r="W15">
        <v>222</v>
      </c>
    </row>
    <row r="16" spans="1:29" x14ac:dyDescent="0.2">
      <c r="A16" s="3">
        <v>14</v>
      </c>
      <c r="B16" s="27">
        <v>939</v>
      </c>
      <c r="C16" s="27" t="s">
        <v>130</v>
      </c>
      <c r="D16">
        <v>31.878142</v>
      </c>
      <c r="E16">
        <v>73.846170000000001</v>
      </c>
      <c r="F16">
        <v>44</v>
      </c>
      <c r="G16" t="s">
        <v>90</v>
      </c>
      <c r="H16" t="s">
        <v>90</v>
      </c>
      <c r="I16" t="s">
        <v>90</v>
      </c>
      <c r="J16" s="12">
        <v>45128</v>
      </c>
      <c r="K16" s="12">
        <v>45242</v>
      </c>
      <c r="L16" s="13">
        <f t="shared" si="0"/>
        <v>114</v>
      </c>
      <c r="M16" s="13">
        <f t="shared" si="1"/>
        <v>5016</v>
      </c>
      <c r="N16" s="35">
        <v>45131</v>
      </c>
      <c r="O16" s="35">
        <v>45224</v>
      </c>
      <c r="P16" s="31">
        <v>50</v>
      </c>
      <c r="Q16" s="31">
        <v>50</v>
      </c>
      <c r="R16" s="31" t="s">
        <v>103</v>
      </c>
      <c r="S16" s="31">
        <v>75</v>
      </c>
      <c r="T16" s="31">
        <v>9</v>
      </c>
      <c r="U16" s="31" t="s">
        <v>100</v>
      </c>
      <c r="V16" s="13">
        <v>18</v>
      </c>
      <c r="W16">
        <v>1628</v>
      </c>
    </row>
    <row r="17" spans="1:23" x14ac:dyDescent="0.2">
      <c r="A17" s="3">
        <v>15</v>
      </c>
      <c r="B17" s="27">
        <v>1125</v>
      </c>
      <c r="C17" s="27" t="s">
        <v>131</v>
      </c>
      <c r="D17">
        <v>31.967573000000002</v>
      </c>
      <c r="E17">
        <v>74.509584000000004</v>
      </c>
      <c r="F17">
        <v>6</v>
      </c>
      <c r="G17" t="s">
        <v>90</v>
      </c>
      <c r="H17" t="s">
        <v>90</v>
      </c>
      <c r="I17" t="s">
        <v>90</v>
      </c>
      <c r="J17" s="12">
        <v>45093</v>
      </c>
      <c r="K17" s="12">
        <v>45236</v>
      </c>
      <c r="L17" s="13">
        <f t="shared" si="0"/>
        <v>143</v>
      </c>
      <c r="M17" s="13">
        <f t="shared" si="1"/>
        <v>858</v>
      </c>
      <c r="N17" s="35">
        <v>45131</v>
      </c>
      <c r="O17" s="35">
        <v>45224</v>
      </c>
      <c r="P17" s="31">
        <v>50</v>
      </c>
      <c r="Q17" s="31">
        <v>50</v>
      </c>
      <c r="R17" s="31" t="s">
        <v>103</v>
      </c>
      <c r="S17" s="31">
        <v>75</v>
      </c>
      <c r="T17" s="31">
        <v>9</v>
      </c>
      <c r="U17" s="31" t="s">
        <v>100</v>
      </c>
      <c r="V17" s="13">
        <v>17</v>
      </c>
      <c r="W17">
        <v>216</v>
      </c>
    </row>
    <row r="18" spans="1:23" x14ac:dyDescent="0.2">
      <c r="A18" s="3">
        <v>16</v>
      </c>
      <c r="B18" s="27">
        <v>1441</v>
      </c>
      <c r="C18" s="27" t="s">
        <v>132</v>
      </c>
      <c r="D18">
        <v>31.819096299999998</v>
      </c>
      <c r="E18">
        <v>74.195733000000004</v>
      </c>
      <c r="F18">
        <v>16</v>
      </c>
      <c r="G18" t="s">
        <v>90</v>
      </c>
      <c r="H18" t="s">
        <v>90</v>
      </c>
      <c r="I18" t="s">
        <v>90</v>
      </c>
      <c r="J18" s="12">
        <v>45102</v>
      </c>
      <c r="K18" s="12">
        <v>45243</v>
      </c>
      <c r="L18" s="13">
        <f t="shared" si="0"/>
        <v>141</v>
      </c>
      <c r="M18" s="13">
        <f t="shared" si="1"/>
        <v>2256</v>
      </c>
      <c r="N18" s="35">
        <v>45113</v>
      </c>
      <c r="O18" s="35">
        <v>45226</v>
      </c>
      <c r="P18" s="31">
        <v>50</v>
      </c>
      <c r="Q18" s="31">
        <v>50</v>
      </c>
      <c r="R18" s="31" t="s">
        <v>103</v>
      </c>
      <c r="S18" s="31">
        <v>75</v>
      </c>
      <c r="T18" s="31">
        <v>9</v>
      </c>
      <c r="U18" s="31" t="s">
        <v>100</v>
      </c>
      <c r="V18" s="13">
        <v>18</v>
      </c>
      <c r="W18">
        <v>592</v>
      </c>
    </row>
    <row r="19" spans="1:23" x14ac:dyDescent="0.2">
      <c r="A19" s="3">
        <v>17</v>
      </c>
      <c r="B19" s="27">
        <v>1445</v>
      </c>
      <c r="C19" s="27" t="s">
        <v>133</v>
      </c>
      <c r="D19">
        <v>31.813421000000002</v>
      </c>
      <c r="E19">
        <v>74.188553499999998</v>
      </c>
      <c r="F19">
        <v>90</v>
      </c>
      <c r="G19" t="s">
        <v>90</v>
      </c>
      <c r="H19" t="s">
        <v>90</v>
      </c>
      <c r="I19" t="s">
        <v>90</v>
      </c>
      <c r="J19" s="12">
        <v>45100</v>
      </c>
      <c r="K19" s="12">
        <v>45243</v>
      </c>
      <c r="L19" s="13">
        <f t="shared" si="0"/>
        <v>143</v>
      </c>
      <c r="M19" s="13">
        <f t="shared" si="1"/>
        <v>12870</v>
      </c>
      <c r="N19" s="35">
        <v>45130</v>
      </c>
      <c r="O19" s="35">
        <v>45226</v>
      </c>
      <c r="P19" s="31">
        <v>50</v>
      </c>
      <c r="Q19" s="31">
        <v>50</v>
      </c>
      <c r="R19" s="31" t="s">
        <v>103</v>
      </c>
      <c r="S19" s="31">
        <v>75</v>
      </c>
      <c r="T19" s="31">
        <v>9</v>
      </c>
      <c r="U19" s="31" t="s">
        <v>100</v>
      </c>
      <c r="V19" s="13">
        <v>18</v>
      </c>
      <c r="W19">
        <v>3330</v>
      </c>
    </row>
    <row r="20" spans="1:23" x14ac:dyDescent="0.2">
      <c r="A20" s="3">
        <v>18</v>
      </c>
      <c r="B20" s="27">
        <v>1483</v>
      </c>
      <c r="C20" s="27" t="s">
        <v>134</v>
      </c>
      <c r="D20">
        <v>31.7923902</v>
      </c>
      <c r="E20">
        <v>74.109167499999998</v>
      </c>
      <c r="F20">
        <v>120</v>
      </c>
      <c r="G20" t="s">
        <v>90</v>
      </c>
      <c r="H20" t="s">
        <v>90</v>
      </c>
      <c r="I20" t="s">
        <v>90</v>
      </c>
      <c r="J20" s="12">
        <v>45132</v>
      </c>
      <c r="K20" s="12">
        <v>45237</v>
      </c>
      <c r="L20" s="13">
        <f t="shared" si="0"/>
        <v>105</v>
      </c>
      <c r="M20" s="13">
        <f t="shared" si="1"/>
        <v>12600</v>
      </c>
      <c r="N20" s="35">
        <v>45112</v>
      </c>
      <c r="O20" s="35">
        <v>45227</v>
      </c>
      <c r="P20" s="31">
        <v>50</v>
      </c>
      <c r="Q20" s="31">
        <v>50</v>
      </c>
      <c r="R20" s="31" t="s">
        <v>103</v>
      </c>
      <c r="S20" s="31">
        <v>75</v>
      </c>
      <c r="T20" s="31">
        <v>9</v>
      </c>
      <c r="U20" s="31" t="s">
        <v>100</v>
      </c>
      <c r="V20" s="13">
        <v>18</v>
      </c>
      <c r="W20">
        <v>4440</v>
      </c>
    </row>
    <row r="21" spans="1:23" x14ac:dyDescent="0.2">
      <c r="A21" s="3">
        <v>19</v>
      </c>
      <c r="B21" s="27">
        <v>1486</v>
      </c>
      <c r="C21" s="27" t="s">
        <v>135</v>
      </c>
      <c r="D21">
        <v>31.779161999999999</v>
      </c>
      <c r="E21">
        <v>74.134748000000002</v>
      </c>
      <c r="F21">
        <v>110</v>
      </c>
      <c r="G21" t="s">
        <v>90</v>
      </c>
      <c r="H21" t="s">
        <v>90</v>
      </c>
      <c r="I21" t="s">
        <v>90</v>
      </c>
      <c r="J21" s="12">
        <v>45132</v>
      </c>
      <c r="K21" s="12">
        <v>45237</v>
      </c>
      <c r="L21" s="13">
        <f t="shared" si="0"/>
        <v>105</v>
      </c>
      <c r="M21" s="13">
        <f>F21*L21</f>
        <v>11550</v>
      </c>
      <c r="N21" s="35">
        <v>45112</v>
      </c>
      <c r="O21" s="35">
        <v>45228</v>
      </c>
      <c r="P21" s="21">
        <v>50</v>
      </c>
      <c r="Q21" s="31">
        <v>50</v>
      </c>
      <c r="R21" s="21" t="s">
        <v>103</v>
      </c>
      <c r="S21" s="21">
        <v>75</v>
      </c>
      <c r="T21" s="21">
        <v>9</v>
      </c>
      <c r="U21" s="31" t="s">
        <v>100</v>
      </c>
      <c r="V21" s="13">
        <v>18</v>
      </c>
      <c r="W21">
        <v>4180</v>
      </c>
    </row>
    <row r="22" spans="1:23" x14ac:dyDescent="0.2">
      <c r="A22" s="3">
        <v>20</v>
      </c>
      <c r="B22" s="27">
        <v>1506</v>
      </c>
      <c r="C22" s="27" t="s">
        <v>136</v>
      </c>
      <c r="D22">
        <v>31.782897999999999</v>
      </c>
      <c r="E22">
        <v>74.119861</v>
      </c>
      <c r="F22">
        <v>10</v>
      </c>
      <c r="G22" t="s">
        <v>90</v>
      </c>
      <c r="H22" t="s">
        <v>90</v>
      </c>
      <c r="I22" t="s">
        <v>90</v>
      </c>
      <c r="J22" s="12">
        <v>45107</v>
      </c>
      <c r="K22" s="12">
        <v>45242</v>
      </c>
      <c r="L22" s="13">
        <f t="shared" si="0"/>
        <v>135</v>
      </c>
      <c r="M22" s="13">
        <f t="shared" si="1"/>
        <v>1350</v>
      </c>
      <c r="N22" s="35">
        <v>45111</v>
      </c>
      <c r="O22" s="35">
        <v>45226</v>
      </c>
      <c r="P22" s="21">
        <v>50</v>
      </c>
      <c r="Q22" s="31">
        <v>50</v>
      </c>
      <c r="R22" s="21" t="s">
        <v>103</v>
      </c>
      <c r="S22" s="21">
        <v>75</v>
      </c>
      <c r="T22" s="21">
        <v>9</v>
      </c>
      <c r="U22" s="21" t="s">
        <v>100</v>
      </c>
      <c r="V22" s="13">
        <v>18</v>
      </c>
      <c r="W22">
        <v>592</v>
      </c>
    </row>
    <row r="23" spans="1:23" x14ac:dyDescent="0.2">
      <c r="A23" s="3">
        <v>21</v>
      </c>
      <c r="B23" s="27">
        <v>1511</v>
      </c>
      <c r="C23" s="27" t="s">
        <v>137</v>
      </c>
      <c r="D23">
        <v>31.795421000000001</v>
      </c>
      <c r="E23">
        <v>74.188619000000003</v>
      </c>
      <c r="F23">
        <v>28</v>
      </c>
      <c r="G23" t="s">
        <v>90</v>
      </c>
      <c r="H23" t="s">
        <v>90</v>
      </c>
      <c r="I23" t="s">
        <v>90</v>
      </c>
      <c r="J23" s="12">
        <v>45104</v>
      </c>
      <c r="K23" s="12">
        <v>45236</v>
      </c>
      <c r="L23" s="13">
        <f t="shared" si="0"/>
        <v>132</v>
      </c>
      <c r="M23" s="13">
        <f t="shared" si="1"/>
        <v>3696</v>
      </c>
      <c r="N23" s="35">
        <v>45135</v>
      </c>
      <c r="O23" s="35">
        <v>45222</v>
      </c>
      <c r="P23" s="21">
        <v>50</v>
      </c>
      <c r="Q23" s="31">
        <v>50</v>
      </c>
      <c r="R23" s="21" t="s">
        <v>103</v>
      </c>
      <c r="S23" s="21">
        <v>75</v>
      </c>
      <c r="T23" s="21">
        <v>9</v>
      </c>
      <c r="U23" s="21" t="s">
        <v>100</v>
      </c>
      <c r="V23" s="13">
        <v>17</v>
      </c>
      <c r="W23">
        <v>1036</v>
      </c>
    </row>
    <row r="24" spans="1:23" x14ac:dyDescent="0.2">
      <c r="A24" s="3">
        <v>22</v>
      </c>
      <c r="B24" s="27">
        <v>1644</v>
      </c>
      <c r="C24" s="27" t="s">
        <v>138</v>
      </c>
      <c r="D24">
        <v>31.557682</v>
      </c>
      <c r="E24">
        <v>73.747911000000002</v>
      </c>
      <c r="F24">
        <v>27</v>
      </c>
      <c r="G24" t="s">
        <v>90</v>
      </c>
      <c r="H24" t="s">
        <v>90</v>
      </c>
      <c r="I24" t="s">
        <v>90</v>
      </c>
      <c r="J24" s="12">
        <v>45093</v>
      </c>
      <c r="K24" s="12">
        <v>45233</v>
      </c>
      <c r="L24" s="13">
        <f t="shared" si="0"/>
        <v>140</v>
      </c>
      <c r="M24" s="13">
        <f t="shared" si="1"/>
        <v>3780</v>
      </c>
      <c r="N24" s="35">
        <v>45134</v>
      </c>
      <c r="O24" s="35">
        <v>45222</v>
      </c>
      <c r="P24" s="21">
        <v>50</v>
      </c>
      <c r="Q24" s="31">
        <v>50</v>
      </c>
      <c r="R24" s="21" t="s">
        <v>103</v>
      </c>
      <c r="S24" s="21">
        <v>75</v>
      </c>
      <c r="T24" s="21">
        <v>9</v>
      </c>
      <c r="U24" s="21" t="s">
        <v>100</v>
      </c>
      <c r="V24" s="13">
        <v>18</v>
      </c>
      <c r="W24">
        <v>958</v>
      </c>
    </row>
    <row r="25" spans="1:23" x14ac:dyDescent="0.2">
      <c r="A25" s="3">
        <v>23</v>
      </c>
      <c r="B25" s="27">
        <v>1726</v>
      </c>
      <c r="C25" s="27" t="s">
        <v>139</v>
      </c>
      <c r="F25">
        <v>40</v>
      </c>
      <c r="G25" t="s">
        <v>90</v>
      </c>
      <c r="H25" t="s">
        <v>90</v>
      </c>
      <c r="I25" t="s">
        <v>90</v>
      </c>
      <c r="J25" s="12">
        <v>45105</v>
      </c>
      <c r="K25" s="12">
        <v>45232</v>
      </c>
      <c r="L25" s="13">
        <f t="shared" si="0"/>
        <v>127</v>
      </c>
      <c r="M25" s="13">
        <f t="shared" si="1"/>
        <v>5080</v>
      </c>
      <c r="N25" s="35">
        <v>45134</v>
      </c>
      <c r="O25" s="35">
        <v>45225</v>
      </c>
      <c r="P25" s="21">
        <v>50</v>
      </c>
      <c r="Q25" s="31">
        <v>50</v>
      </c>
      <c r="R25" s="21" t="s">
        <v>103</v>
      </c>
      <c r="S25" s="21">
        <v>75</v>
      </c>
      <c r="T25" s="21">
        <v>9</v>
      </c>
      <c r="U25" s="21" t="s">
        <v>100</v>
      </c>
      <c r="V25" s="13">
        <v>16</v>
      </c>
      <c r="W25">
        <v>1420</v>
      </c>
    </row>
    <row r="26" spans="1:23" x14ac:dyDescent="0.2">
      <c r="A26" s="3">
        <v>24</v>
      </c>
      <c r="B26" s="27">
        <v>1728</v>
      </c>
      <c r="C26" s="27" t="s">
        <v>140</v>
      </c>
      <c r="F26">
        <v>9</v>
      </c>
      <c r="G26" t="s">
        <v>90</v>
      </c>
      <c r="H26" t="s">
        <v>90</v>
      </c>
      <c r="I26" t="s">
        <v>90</v>
      </c>
      <c r="J26" s="12">
        <v>45107</v>
      </c>
      <c r="K26" s="12">
        <v>45234</v>
      </c>
      <c r="L26" s="13">
        <f t="shared" si="0"/>
        <v>127</v>
      </c>
      <c r="M26" s="13">
        <f t="shared" si="1"/>
        <v>1143</v>
      </c>
      <c r="N26" s="35">
        <v>45129</v>
      </c>
      <c r="O26" s="35">
        <v>45226</v>
      </c>
      <c r="P26" s="21">
        <v>50</v>
      </c>
      <c r="Q26" s="31">
        <v>50</v>
      </c>
      <c r="R26" s="21" t="s">
        <v>103</v>
      </c>
      <c r="S26" s="21">
        <v>75</v>
      </c>
      <c r="T26" s="21">
        <v>9</v>
      </c>
      <c r="U26" s="21" t="s">
        <v>100</v>
      </c>
      <c r="V26" s="13">
        <v>18</v>
      </c>
      <c r="W26">
        <v>315</v>
      </c>
    </row>
    <row r="27" spans="1:23" ht="14" customHeight="1" x14ac:dyDescent="0.2">
      <c r="A27" s="3">
        <v>25</v>
      </c>
      <c r="B27" s="27">
        <v>1748</v>
      </c>
      <c r="C27" s="27" t="s">
        <v>141</v>
      </c>
      <c r="F27">
        <v>25</v>
      </c>
      <c r="G27" t="s">
        <v>90</v>
      </c>
      <c r="H27" t="s">
        <v>90</v>
      </c>
      <c r="I27" t="s">
        <v>90</v>
      </c>
      <c r="J27" s="12">
        <v>45098</v>
      </c>
      <c r="K27" s="12">
        <v>45231</v>
      </c>
      <c r="L27" s="13">
        <f t="shared" si="0"/>
        <v>133</v>
      </c>
      <c r="M27" s="13">
        <f t="shared" si="1"/>
        <v>3325</v>
      </c>
      <c r="N27" s="35">
        <v>45127</v>
      </c>
      <c r="O27" s="35">
        <v>45227</v>
      </c>
      <c r="P27" s="21">
        <v>50</v>
      </c>
      <c r="Q27" s="31">
        <v>50</v>
      </c>
      <c r="R27" s="21" t="s">
        <v>103</v>
      </c>
      <c r="S27" s="21">
        <v>75</v>
      </c>
      <c r="T27" s="21">
        <v>9</v>
      </c>
      <c r="U27" s="21" t="s">
        <v>100</v>
      </c>
      <c r="V27" s="13">
        <v>18</v>
      </c>
      <c r="W27">
        <v>910</v>
      </c>
    </row>
    <row r="28" spans="1:23" x14ac:dyDescent="0.2">
      <c r="A28" s="3">
        <v>26</v>
      </c>
      <c r="B28" s="27">
        <v>1779</v>
      </c>
      <c r="C28" s="27" t="s">
        <v>142</v>
      </c>
      <c r="F28">
        <v>10</v>
      </c>
      <c r="G28" t="s">
        <v>90</v>
      </c>
      <c r="H28" t="s">
        <v>90</v>
      </c>
      <c r="I28" t="s">
        <v>90</v>
      </c>
      <c r="J28" s="12">
        <v>45104</v>
      </c>
      <c r="K28" s="12">
        <v>45231</v>
      </c>
      <c r="L28" s="13">
        <f t="shared" si="0"/>
        <v>127</v>
      </c>
      <c r="M28" s="13">
        <f t="shared" si="1"/>
        <v>1270</v>
      </c>
      <c r="N28" s="35">
        <v>45114</v>
      </c>
      <c r="O28" s="35">
        <v>45222</v>
      </c>
      <c r="P28" s="21">
        <v>50</v>
      </c>
      <c r="Q28" s="31">
        <v>50</v>
      </c>
      <c r="R28" s="21" t="s">
        <v>103</v>
      </c>
      <c r="S28" s="21">
        <v>75</v>
      </c>
      <c r="T28" s="21">
        <v>9</v>
      </c>
      <c r="U28" s="21" t="s">
        <v>100</v>
      </c>
      <c r="V28" s="13">
        <v>18</v>
      </c>
      <c r="W28">
        <v>360</v>
      </c>
    </row>
    <row r="29" spans="1:23" x14ac:dyDescent="0.2">
      <c r="A29" s="3">
        <v>27</v>
      </c>
      <c r="B29" s="27">
        <v>1782</v>
      </c>
      <c r="C29" s="27" t="s">
        <v>143</v>
      </c>
      <c r="F29">
        <v>40</v>
      </c>
      <c r="G29" t="s">
        <v>90</v>
      </c>
      <c r="H29" t="s">
        <v>90</v>
      </c>
      <c r="I29" t="s">
        <v>90</v>
      </c>
      <c r="J29" s="12">
        <v>45101</v>
      </c>
      <c r="K29" s="12">
        <v>45234</v>
      </c>
      <c r="L29" s="13">
        <f t="shared" si="0"/>
        <v>133</v>
      </c>
      <c r="M29" s="13">
        <f t="shared" si="1"/>
        <v>5320</v>
      </c>
      <c r="N29" s="35">
        <v>45129</v>
      </c>
      <c r="O29" s="35">
        <v>45220</v>
      </c>
      <c r="P29" s="21">
        <v>50</v>
      </c>
      <c r="Q29" s="31">
        <v>50</v>
      </c>
      <c r="R29" s="21" t="s">
        <v>104</v>
      </c>
      <c r="S29" s="21">
        <v>75</v>
      </c>
      <c r="T29" s="21">
        <v>9</v>
      </c>
      <c r="U29" s="21" t="s">
        <v>100</v>
      </c>
      <c r="V29" s="13">
        <v>17</v>
      </c>
      <c r="W29">
        <v>1400</v>
      </c>
    </row>
    <row r="30" spans="1:23" x14ac:dyDescent="0.2">
      <c r="A30" s="3">
        <v>28</v>
      </c>
      <c r="B30" s="27">
        <v>1851</v>
      </c>
      <c r="C30" s="27" t="s">
        <v>144</v>
      </c>
      <c r="D30">
        <v>31.553236999999999</v>
      </c>
      <c r="E30">
        <v>73.773450999999994</v>
      </c>
      <c r="F30">
        <v>60</v>
      </c>
      <c r="G30" t="s">
        <v>90</v>
      </c>
      <c r="H30" t="s">
        <v>90</v>
      </c>
      <c r="I30" t="s">
        <v>90</v>
      </c>
      <c r="J30" s="12">
        <v>45098</v>
      </c>
      <c r="K30" s="12">
        <v>45237</v>
      </c>
      <c r="L30" s="13">
        <f t="shared" si="0"/>
        <v>139</v>
      </c>
      <c r="M30" s="13">
        <f t="shared" si="1"/>
        <v>8340</v>
      </c>
      <c r="N30" s="35">
        <v>45133</v>
      </c>
      <c r="O30" s="35">
        <v>45218</v>
      </c>
      <c r="P30" s="21">
        <v>50</v>
      </c>
      <c r="Q30" s="31">
        <v>50</v>
      </c>
      <c r="R30" s="21" t="s">
        <v>103</v>
      </c>
      <c r="S30" s="21">
        <v>75</v>
      </c>
      <c r="T30" s="21">
        <v>9</v>
      </c>
      <c r="U30" s="21" t="s">
        <v>100</v>
      </c>
      <c r="V30" s="13">
        <v>18</v>
      </c>
      <c r="W30">
        <v>2220</v>
      </c>
    </row>
    <row r="31" spans="1:23" x14ac:dyDescent="0.2">
      <c r="A31" s="3">
        <v>29</v>
      </c>
      <c r="B31" s="27">
        <v>1852</v>
      </c>
      <c r="C31" s="27" t="s">
        <v>145</v>
      </c>
      <c r="D31">
        <v>31.552254000000001</v>
      </c>
      <c r="E31">
        <v>73.771711999999994</v>
      </c>
      <c r="F31">
        <v>10</v>
      </c>
      <c r="G31" t="s">
        <v>90</v>
      </c>
      <c r="H31" t="s">
        <v>90</v>
      </c>
      <c r="I31" t="s">
        <v>90</v>
      </c>
      <c r="J31" s="12">
        <v>45095</v>
      </c>
      <c r="K31" s="12">
        <v>45233</v>
      </c>
      <c r="L31" s="13">
        <f t="shared" si="0"/>
        <v>138</v>
      </c>
      <c r="M31" s="13">
        <f t="shared" si="1"/>
        <v>1380</v>
      </c>
      <c r="N31" s="35">
        <v>45122</v>
      </c>
      <c r="O31" s="35">
        <v>45223</v>
      </c>
      <c r="P31" s="21">
        <v>50</v>
      </c>
      <c r="Q31" s="31">
        <v>50</v>
      </c>
      <c r="R31" s="21" t="s">
        <v>103</v>
      </c>
      <c r="S31" s="21">
        <v>75</v>
      </c>
      <c r="T31" s="21">
        <v>9</v>
      </c>
      <c r="U31" s="21" t="s">
        <v>100</v>
      </c>
      <c r="V31" s="13">
        <v>16</v>
      </c>
      <c r="W31">
        <v>350</v>
      </c>
    </row>
    <row r="32" spans="1:23" x14ac:dyDescent="0.2">
      <c r="A32" s="3">
        <v>30</v>
      </c>
      <c r="B32" s="27">
        <v>1953</v>
      </c>
      <c r="C32" s="27" t="s">
        <v>146</v>
      </c>
      <c r="F32">
        <v>6</v>
      </c>
      <c r="G32" t="s">
        <v>90</v>
      </c>
      <c r="H32" t="s">
        <v>90</v>
      </c>
      <c r="I32" t="s">
        <v>90</v>
      </c>
      <c r="J32" s="12">
        <v>45102</v>
      </c>
      <c r="K32" s="12">
        <v>45234</v>
      </c>
      <c r="L32" s="13">
        <f t="shared" si="0"/>
        <v>132</v>
      </c>
      <c r="M32" s="13">
        <f t="shared" si="1"/>
        <v>792</v>
      </c>
      <c r="N32" s="35">
        <v>45108</v>
      </c>
      <c r="O32" s="35">
        <v>45218</v>
      </c>
      <c r="P32" s="21">
        <v>25</v>
      </c>
      <c r="Q32" s="31">
        <v>50</v>
      </c>
      <c r="R32" s="21" t="s">
        <v>103</v>
      </c>
      <c r="S32" s="21">
        <v>75</v>
      </c>
      <c r="T32" s="21">
        <v>9</v>
      </c>
      <c r="U32" s="21" t="s">
        <v>100</v>
      </c>
      <c r="V32" s="13">
        <v>17</v>
      </c>
      <c r="W32">
        <v>210</v>
      </c>
    </row>
    <row r="33" spans="2:25" x14ac:dyDescent="0.2">
      <c r="B33" s="27"/>
      <c r="C33" s="27"/>
      <c r="J33" s="12"/>
      <c r="K33" s="12"/>
      <c r="L33" s="13"/>
      <c r="M33" s="13"/>
      <c r="N33" s="35"/>
      <c r="O33" s="35"/>
      <c r="P33" s="21"/>
      <c r="Q33" s="31"/>
      <c r="R33" s="21"/>
      <c r="S33" s="21"/>
      <c r="T33" s="21"/>
      <c r="U33" s="21"/>
      <c r="V33" s="13"/>
      <c r="W33" s="13"/>
    </row>
    <row r="34" spans="2:25" x14ac:dyDescent="0.2">
      <c r="F34" s="3" t="s">
        <v>158</v>
      </c>
      <c r="J34" s="53" t="s">
        <v>179</v>
      </c>
      <c r="K34" s="53" t="s">
        <v>180</v>
      </c>
      <c r="L34" s="53" t="s">
        <v>246</v>
      </c>
      <c r="M34" s="53"/>
      <c r="N34" s="53" t="s">
        <v>177</v>
      </c>
      <c r="O34" s="53" t="s">
        <v>178</v>
      </c>
      <c r="P34" s="21"/>
      <c r="Q34" s="21"/>
      <c r="R34" s="21"/>
      <c r="S34" s="21"/>
      <c r="T34" s="21"/>
      <c r="V34" s="54" t="s">
        <v>168</v>
      </c>
      <c r="W34" s="54" t="s">
        <v>186</v>
      </c>
      <c r="X34" s="3" t="s">
        <v>189</v>
      </c>
      <c r="Y34" s="3"/>
    </row>
    <row r="35" spans="2:25" x14ac:dyDescent="0.2">
      <c r="F35">
        <f>SUM(F3:F32)</f>
        <v>853</v>
      </c>
      <c r="J35" s="52">
        <f>MIN(J3:J32)</f>
        <v>45092</v>
      </c>
      <c r="K35" s="52">
        <f>MAX(K3:K32)</f>
        <v>45246</v>
      </c>
      <c r="L35" s="13">
        <f>(SUM(M3:M32)/F35)</f>
        <v>126.20750293083236</v>
      </c>
      <c r="M35" s="13"/>
      <c r="N35" s="52">
        <f>MIN(N3:N32)</f>
        <v>45108</v>
      </c>
      <c r="O35" s="52">
        <f>MIN(O3:O32)</f>
        <v>45215</v>
      </c>
      <c r="V35" s="1">
        <f>AVERAGE(V3:V32)</f>
        <v>17.7</v>
      </c>
      <c r="W35" s="13">
        <f>SUM(W1:W32)/AA3</f>
        <v>1264560</v>
      </c>
      <c r="X35" s="1">
        <f>W35/(F35*P43)</f>
        <v>3663.301069390443</v>
      </c>
      <c r="Y35" s="1"/>
    </row>
    <row r="36" spans="2:25" x14ac:dyDescent="0.2">
      <c r="G36" s="28"/>
      <c r="H36" s="29" t="s">
        <v>92</v>
      </c>
      <c r="I36" s="29" t="s">
        <v>93</v>
      </c>
      <c r="J36" s="29" t="s">
        <v>320</v>
      </c>
      <c r="N36" s="52">
        <f>MAX(N4:N34)</f>
        <v>45144</v>
      </c>
      <c r="O36" s="52">
        <f>MAX(O4:O34)</f>
        <v>45228</v>
      </c>
      <c r="V36" s="13"/>
      <c r="W36" s="13"/>
    </row>
    <row r="37" spans="2:25" ht="34" x14ac:dyDescent="0.2">
      <c r="G37" s="29" t="s">
        <v>87</v>
      </c>
      <c r="H37" s="28">
        <f>SUMIFS(F3:F32,G3:G32,"Yes")</f>
        <v>853</v>
      </c>
      <c r="I37" s="183">
        <f>H37/$F$35</f>
        <v>1</v>
      </c>
      <c r="J37" s="181">
        <f>H37*I37/$F$35</f>
        <v>1</v>
      </c>
      <c r="P37" s="20"/>
      <c r="Q37" s="20"/>
      <c r="R37" s="20"/>
      <c r="S37" s="20"/>
      <c r="T37" s="20"/>
      <c r="U37" s="20" t="s">
        <v>67</v>
      </c>
      <c r="V37" s="1">
        <f>25-V35</f>
        <v>7.3000000000000007</v>
      </c>
      <c r="W37" s="13"/>
    </row>
    <row r="38" spans="2:25" x14ac:dyDescent="0.2">
      <c r="G38" s="29" t="s">
        <v>88</v>
      </c>
      <c r="H38" s="28">
        <f>SUMIFS(F3:F32,H3:H32,"Yes")</f>
        <v>853</v>
      </c>
      <c r="I38" s="183">
        <f t="shared" ref="I38:I39" si="2">H38/$F$35</f>
        <v>1</v>
      </c>
      <c r="J38" s="181">
        <f t="shared" ref="J38:J39" si="3">H38*I38/$F$35</f>
        <v>1</v>
      </c>
      <c r="V38" s="1"/>
      <c r="W38" s="1"/>
    </row>
    <row r="39" spans="2:25" x14ac:dyDescent="0.2">
      <c r="G39" s="29" t="s">
        <v>94</v>
      </c>
      <c r="H39" s="28">
        <f>SUMIFS(F3:F32,I3:I32,"Yes")</f>
        <v>853</v>
      </c>
      <c r="I39" s="183">
        <f t="shared" si="2"/>
        <v>1</v>
      </c>
      <c r="J39" s="181">
        <f t="shared" si="3"/>
        <v>1</v>
      </c>
      <c r="O39" t="s">
        <v>117</v>
      </c>
      <c r="P39" t="s">
        <v>109</v>
      </c>
      <c r="Q39" t="s">
        <v>116</v>
      </c>
      <c r="R39" t="s">
        <v>112</v>
      </c>
    </row>
    <row r="40" spans="2:25" x14ac:dyDescent="0.2">
      <c r="J40" s="184">
        <f>AVERAGE(J37:J39)</f>
        <v>1</v>
      </c>
      <c r="N40" t="s">
        <v>114</v>
      </c>
      <c r="O40">
        <v>50</v>
      </c>
      <c r="P40" s="32">
        <v>0.18</v>
      </c>
      <c r="Q40" s="1">
        <f>O40*P40</f>
        <v>9</v>
      </c>
      <c r="R40" s="1">
        <f>Q40/P43</f>
        <v>22.23948433424308</v>
      </c>
    </row>
    <row r="41" spans="2:25" x14ac:dyDescent="0.2">
      <c r="N41" t="s">
        <v>115</v>
      </c>
      <c r="O41">
        <v>50</v>
      </c>
      <c r="P41" s="22">
        <v>0.46</v>
      </c>
      <c r="Q41">
        <f>O41*P41</f>
        <v>23</v>
      </c>
      <c r="R41" s="1">
        <f>Q41/P43</f>
        <v>56.83423774306565</v>
      </c>
    </row>
    <row r="42" spans="2:25" x14ac:dyDescent="0.2">
      <c r="R42" s="1">
        <f>R40+R41</f>
        <v>79.07372207730873</v>
      </c>
    </row>
    <row r="43" spans="2:25" x14ac:dyDescent="0.2">
      <c r="N43" t="s">
        <v>110</v>
      </c>
      <c r="O43" t="s">
        <v>111</v>
      </c>
      <c r="P43">
        <v>0.40468564219999997</v>
      </c>
      <c r="Q43" s="33"/>
      <c r="R43" s="33" t="s">
        <v>9</v>
      </c>
    </row>
  </sheetData>
  <mergeCells count="1">
    <mergeCell ref="R1:U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F539-E803-3C44-862E-F38264697881}">
  <dimension ref="B2:E12"/>
  <sheetViews>
    <sheetView workbookViewId="0">
      <selection activeCell="D19" sqref="D19"/>
    </sheetView>
  </sheetViews>
  <sheetFormatPr baseColWidth="10" defaultRowHeight="16" x14ac:dyDescent="0.2"/>
  <cols>
    <col min="2" max="2" width="38.83203125" customWidth="1"/>
    <col min="3" max="3" width="20.5" style="15" customWidth="1"/>
  </cols>
  <sheetData>
    <row r="2" spans="2:5" x14ac:dyDescent="0.2">
      <c r="B2" t="s">
        <v>174</v>
      </c>
      <c r="C2" s="15">
        <v>19050</v>
      </c>
      <c r="D2" t="s">
        <v>14</v>
      </c>
    </row>
    <row r="3" spans="2:5" x14ac:dyDescent="0.2">
      <c r="B3" t="s">
        <v>175</v>
      </c>
      <c r="C3" s="15">
        <f>C6*'Sampled Logbooks_2022'!V35</f>
        <v>12623.8</v>
      </c>
      <c r="D3" t="s">
        <v>14</v>
      </c>
    </row>
    <row r="4" spans="2:5" x14ac:dyDescent="0.2">
      <c r="B4" t="s">
        <v>176</v>
      </c>
      <c r="C4" s="15">
        <f>C6*'Sampled Logbooks_2023'!V35</f>
        <v>13487.4</v>
      </c>
      <c r="D4" t="s">
        <v>14</v>
      </c>
    </row>
    <row r="6" spans="2:5" x14ac:dyDescent="0.2">
      <c r="B6" s="17" t="s">
        <v>13</v>
      </c>
      <c r="C6" s="19">
        <v>762</v>
      </c>
      <c r="D6" s="17" t="s">
        <v>14</v>
      </c>
      <c r="E6" s="17"/>
    </row>
    <row r="7" spans="2:5" x14ac:dyDescent="0.2">
      <c r="B7" s="17" t="s">
        <v>154</v>
      </c>
      <c r="C7" s="19">
        <f>'Sampled Logbooks_2022'!V37</f>
        <v>8.4333333333333336</v>
      </c>
      <c r="D7" s="17"/>
      <c r="E7" s="17" t="s">
        <v>65</v>
      </c>
    </row>
    <row r="8" spans="2:5" x14ac:dyDescent="0.2">
      <c r="B8" s="17" t="s">
        <v>155</v>
      </c>
      <c r="C8" s="19">
        <f>'Sampled Logbooks_2023'!V37</f>
        <v>7.3000000000000007</v>
      </c>
      <c r="D8" s="17"/>
      <c r="E8" s="17" t="s">
        <v>65</v>
      </c>
    </row>
    <row r="9" spans="2:5" x14ac:dyDescent="0.2">
      <c r="C9" s="42"/>
    </row>
    <row r="10" spans="2:5" x14ac:dyDescent="0.2">
      <c r="B10" t="s">
        <v>156</v>
      </c>
      <c r="C10" s="15">
        <f>C2-C3</f>
        <v>6426.2000000000007</v>
      </c>
      <c r="D10" t="s">
        <v>14</v>
      </c>
    </row>
    <row r="11" spans="2:5" x14ac:dyDescent="0.2">
      <c r="B11" t="s">
        <v>157</v>
      </c>
      <c r="C11" s="15">
        <f>C2-C4</f>
        <v>5562.6</v>
      </c>
      <c r="D11" t="s">
        <v>14</v>
      </c>
    </row>
    <row r="12" spans="2:5" x14ac:dyDescent="0.2">
      <c r="B12" s="10" t="s">
        <v>158</v>
      </c>
      <c r="C12" s="11">
        <f>C10+C11</f>
        <v>11988.800000000001</v>
      </c>
      <c r="D12" s="10" t="s">
        <v>14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13D-A9D5-BF45-9CCD-119AE5862335}">
  <dimension ref="B2:E19"/>
  <sheetViews>
    <sheetView workbookViewId="0">
      <selection activeCell="C13" sqref="C13"/>
    </sheetView>
  </sheetViews>
  <sheetFormatPr baseColWidth="10" defaultRowHeight="16" x14ac:dyDescent="0.2"/>
  <cols>
    <col min="3" max="4" width="23.6640625" customWidth="1"/>
    <col min="5" max="5" width="57.33203125" customWidth="1"/>
  </cols>
  <sheetData>
    <row r="2" spans="2:5" x14ac:dyDescent="0.2">
      <c r="C2">
        <v>2022</v>
      </c>
      <c r="D2">
        <v>2023</v>
      </c>
    </row>
    <row r="3" spans="2:5" ht="119" x14ac:dyDescent="0.2">
      <c r="B3" t="s">
        <v>73</v>
      </c>
      <c r="C3" s="20" t="s">
        <v>289</v>
      </c>
      <c r="D3" s="20" t="s">
        <v>290</v>
      </c>
      <c r="E3" s="20" t="s">
        <v>77</v>
      </c>
    </row>
    <row r="4" spans="2:5" x14ac:dyDescent="0.2">
      <c r="E4" s="20"/>
    </row>
    <row r="5" spans="2:5" ht="17" x14ac:dyDescent="0.2">
      <c r="B5" t="s">
        <v>74</v>
      </c>
      <c r="C5" t="s">
        <v>79</v>
      </c>
      <c r="D5" t="s">
        <v>79</v>
      </c>
      <c r="E5" s="20" t="s">
        <v>78</v>
      </c>
    </row>
    <row r="6" spans="2:5" x14ac:dyDescent="0.2">
      <c r="E6" s="20"/>
    </row>
    <row r="7" spans="2:5" ht="17" x14ac:dyDescent="0.2">
      <c r="B7" t="s">
        <v>75</v>
      </c>
      <c r="C7">
        <v>700</v>
      </c>
      <c r="D7">
        <v>2000</v>
      </c>
      <c r="E7" s="20" t="s">
        <v>76</v>
      </c>
    </row>
    <row r="8" spans="2:5" x14ac:dyDescent="0.2">
      <c r="E8" s="20"/>
    </row>
    <row r="9" spans="2:5" x14ac:dyDescent="0.2">
      <c r="E9" s="20"/>
    </row>
    <row r="10" spans="2:5" x14ac:dyDescent="0.2">
      <c r="B10" s="20"/>
      <c r="E10" s="20"/>
    </row>
    <row r="11" spans="2:5" x14ac:dyDescent="0.2">
      <c r="B11" s="20"/>
      <c r="E11" s="20"/>
    </row>
    <row r="12" spans="2:5" x14ac:dyDescent="0.2">
      <c r="B12" s="20"/>
      <c r="E12" s="20"/>
    </row>
    <row r="13" spans="2:5" x14ac:dyDescent="0.2">
      <c r="B13" s="20"/>
      <c r="E13" s="20"/>
    </row>
    <row r="14" spans="2:5" x14ac:dyDescent="0.2">
      <c r="E14" s="20"/>
    </row>
    <row r="15" spans="2:5" x14ac:dyDescent="0.2">
      <c r="B15" s="20"/>
      <c r="E15" s="20"/>
    </row>
    <row r="16" spans="2:5" x14ac:dyDescent="0.2">
      <c r="E16" s="20"/>
    </row>
    <row r="17" spans="5:5" x14ac:dyDescent="0.2">
      <c r="E17" s="20"/>
    </row>
    <row r="18" spans="5:5" x14ac:dyDescent="0.2">
      <c r="E18" s="20"/>
    </row>
    <row r="19" spans="5:5" x14ac:dyDescent="0.2">
      <c r="E19" s="20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ER Calculation</vt:lpstr>
      <vt:lpstr>IPCC Tier-1_Registered PDD</vt:lpstr>
      <vt:lpstr>Project Emissions</vt:lpstr>
      <vt:lpstr>Residue Management</vt:lpstr>
      <vt:lpstr>SDG 1&amp;2&amp;12</vt:lpstr>
      <vt:lpstr>Sampled Logbooks_2022</vt:lpstr>
      <vt:lpstr>Sampled Logbooks_2023</vt:lpstr>
      <vt:lpstr>SDG 6</vt:lpstr>
      <vt:lpstr>Other SDGs</vt:lpstr>
      <vt:lpstr>Average Yield Cross-check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Pınar Öztürk</dc:creator>
  <cp:lastModifiedBy>Zeynep Pınar Öztürk</cp:lastModifiedBy>
  <dcterms:created xsi:type="dcterms:W3CDTF">2022-05-28T10:38:27Z</dcterms:created>
  <dcterms:modified xsi:type="dcterms:W3CDTF">2025-10-08T06:59:28Z</dcterms:modified>
</cp:coreProperties>
</file>