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90" yWindow="270" windowWidth="16260" windowHeight="9915"/>
  </bookViews>
  <sheets>
    <sheet name="Summary" sheetId="6" r:id="rId1"/>
    <sheet name="ER Calculations" sheetId="1" r:id="rId2"/>
    <sheet name="Parameters" sheetId="4" r:id="rId3"/>
  </sheets>
  <definedNames>
    <definedName name="_ftn1" localSheetId="1">'ER Calculations'!$B$21</definedName>
    <definedName name="_ftnref1" localSheetId="1">'ER Calculations'!$D$15</definedName>
  </definedNames>
  <calcPr calcId="125725"/>
</workbook>
</file>

<file path=xl/calcChain.xml><?xml version="1.0" encoding="utf-8"?>
<calcChain xmlns="http://schemas.openxmlformats.org/spreadsheetml/2006/main">
  <c r="C19" i="4"/>
  <c r="C18"/>
  <c r="B15"/>
  <c r="C46"/>
  <c r="C36" l="1"/>
  <c r="C31"/>
  <c r="C44"/>
  <c r="B14"/>
  <c r="B9" i="6"/>
  <c r="B10" s="1"/>
  <c r="B11" s="1"/>
  <c r="B8"/>
  <c r="B7"/>
  <c r="C43" i="4"/>
  <c r="C32" l="1"/>
  <c r="C23" s="1"/>
  <c r="H24" i="1" l="1"/>
  <c r="C24"/>
  <c r="D6" i="6"/>
  <c r="C39" i="4"/>
  <c r="C40" s="1"/>
  <c r="C24" l="1"/>
  <c r="D12" i="6"/>
  <c r="D14" s="1"/>
  <c r="D7"/>
  <c r="D8" s="1"/>
  <c r="D9" s="1"/>
  <c r="D10" s="1"/>
  <c r="D11" s="1"/>
  <c r="C25" i="4" l="1"/>
  <c r="C26" s="1"/>
  <c r="C15" i="1" s="1"/>
  <c r="H15" s="1"/>
  <c r="C8" i="4" l="1"/>
  <c r="C9" s="1"/>
  <c r="C7"/>
  <c r="C22" i="1" l="1"/>
  <c r="D7" i="4"/>
  <c r="D8"/>
  <c r="D9" s="1"/>
  <c r="C6" i="1" l="1"/>
  <c r="H22"/>
  <c r="H14" s="1"/>
  <c r="H13" s="1"/>
  <c r="C14"/>
  <c r="C13" s="1"/>
  <c r="C5" i="6" l="1"/>
  <c r="C6" s="1"/>
  <c r="C7" s="1"/>
  <c r="C8" s="1"/>
  <c r="C9" s="1"/>
  <c r="C10" s="1"/>
  <c r="C11" s="1"/>
  <c r="C5" i="1"/>
  <c r="H29"/>
  <c r="C8" s="1"/>
  <c r="C12" i="6" l="1"/>
  <c r="C14" s="1"/>
  <c r="E5"/>
  <c r="C7" i="1"/>
  <c r="F5" i="6" l="1"/>
  <c r="E6"/>
  <c r="E7" s="1"/>
  <c r="E8" s="1"/>
  <c r="E9" s="1"/>
  <c r="E10" s="1"/>
  <c r="E11" s="1"/>
  <c r="E12" l="1"/>
  <c r="E14" s="1"/>
  <c r="F6"/>
  <c r="F7" s="1"/>
  <c r="F8" s="1"/>
  <c r="F9" s="1"/>
  <c r="F10" s="1"/>
  <c r="F11" s="1"/>
  <c r="F12" l="1"/>
  <c r="F14" s="1"/>
</calcChain>
</file>

<file path=xl/comments1.xml><?xml version="1.0" encoding="utf-8"?>
<comments xmlns="http://schemas.openxmlformats.org/spreadsheetml/2006/main">
  <authors>
    <author>Sudha P</author>
  </authors>
  <commentList>
    <comment ref="B43" authorId="0">
      <text>
        <r>
          <rPr>
            <b/>
            <sz val="9"/>
            <color indexed="81"/>
            <rFont val="Tahoma"/>
            <family val="2"/>
          </rPr>
          <t>Sudha P:</t>
        </r>
        <r>
          <rPr>
            <sz val="9"/>
            <color indexed="81"/>
            <rFont val="Tahoma"/>
            <family val="2"/>
          </rPr>
          <t xml:space="preserve">
Von Mantel's Method reference 
http://www.fao.org/3/w8212e/w8212e07.htm </t>
        </r>
      </text>
    </comment>
  </commentList>
</comments>
</file>

<file path=xl/sharedStrings.xml><?xml version="1.0" encoding="utf-8"?>
<sst xmlns="http://schemas.openxmlformats.org/spreadsheetml/2006/main" count="134" uniqueCount="90">
  <si>
    <r>
      <t>Baseline emissions during the year </t>
    </r>
    <r>
      <rPr>
        <i/>
        <sz val="10"/>
        <color theme="1"/>
        <rFont val="Arial"/>
        <family val="2"/>
      </rPr>
      <t>y</t>
    </r>
    <r>
      <rPr>
        <sz val="10"/>
        <color theme="1"/>
        <rFont val="Arial"/>
        <family val="2"/>
      </rPr>
      <t xml:space="preserve"> in t CO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e</t>
    </r>
  </si>
  <si>
    <t>Quantity of woody biomass that is substituted or displaced in tonnes</t>
  </si>
  <si>
    <t>Net calorific value of the non-renewable woody biomass that is substituted (IPCC default for wood fuel, 0.0156 TJ/tonne)</t>
  </si>
  <si>
    <t xml:space="preserve">Emission factor for the substitution of non-renewable woody biomass by similar consumers. </t>
  </si>
  <si>
    <t>Fraction of woody biomass used in the absence of the project activity in year y that can be established as non-renewable biomass (fNRB)</t>
  </si>
  <si>
    <t>Value</t>
  </si>
  <si>
    <t>Activity Data</t>
  </si>
  <si>
    <t>Description</t>
  </si>
  <si>
    <t>Source</t>
  </si>
  <si>
    <t>Calculated</t>
  </si>
  <si>
    <t>Methodology</t>
  </si>
  <si>
    <t>Methodology (value for South Asia)</t>
  </si>
  <si>
    <t>Number of households in the project activity, number</t>
  </si>
  <si>
    <t>Average annual consumption of woody biomass per household before the start of the project activity, tonnes/household/year</t>
  </si>
  <si>
    <t>If it is found that pre-project devices were not completely displaced but continue to be used to some extent, average annual consumption of woody biomass per household in the pre-project devices during the project activity, tonnes/household/year</t>
  </si>
  <si>
    <t>Assumed as zero for ex-ante calculations; For ex-post calculations, will be based on surveys conducted in the project area</t>
  </si>
  <si>
    <t>PDD</t>
  </si>
  <si>
    <t>PEy</t>
  </si>
  <si>
    <t>Project Emissions</t>
  </si>
  <si>
    <t>LEy</t>
  </si>
  <si>
    <t>Without Leakage</t>
  </si>
  <si>
    <t>After considering Leakage</t>
  </si>
  <si>
    <t xml:space="preserve"> </t>
  </si>
  <si>
    <t>ERy</t>
  </si>
  <si>
    <t>Leakage as tCO2 due to reduction of By by 5%</t>
  </si>
  <si>
    <t>Calculated as (BEy-BEy,with leakage)</t>
  </si>
  <si>
    <t>HH Size</t>
  </si>
  <si>
    <t>Mean</t>
  </si>
  <si>
    <t>Std Dev</t>
  </si>
  <si>
    <t>Count</t>
  </si>
  <si>
    <t>Standard error of mean</t>
  </si>
  <si>
    <t>Confidence level (90%)</t>
  </si>
  <si>
    <t>Reliability</t>
  </si>
  <si>
    <t>Based on sample Survey</t>
  </si>
  <si>
    <t>f NRB = (NRB/NRB+DRB)</t>
  </si>
  <si>
    <t>Million t</t>
  </si>
  <si>
    <t>Total</t>
  </si>
  <si>
    <t>BEy</t>
  </si>
  <si>
    <t>By</t>
  </si>
  <si>
    <r>
      <t>Baseline emissions during the year </t>
    </r>
    <r>
      <rPr>
        <b/>
        <i/>
        <sz val="10"/>
        <color theme="1"/>
        <rFont val="Arial"/>
        <family val="2"/>
      </rPr>
      <t>y</t>
    </r>
    <r>
      <rPr>
        <b/>
        <sz val="10"/>
        <color theme="1"/>
        <rFont val="Arial"/>
        <family val="2"/>
      </rPr>
      <t xml:space="preserve"> in t 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e</t>
    </r>
  </si>
  <si>
    <r>
      <t>Project emissions during the year </t>
    </r>
    <r>
      <rPr>
        <b/>
        <i/>
        <sz val="10"/>
        <color theme="1"/>
        <rFont val="Arial"/>
        <family val="2"/>
      </rPr>
      <t>y</t>
    </r>
    <r>
      <rPr>
        <b/>
        <sz val="10"/>
        <color theme="1"/>
        <rFont val="Arial"/>
        <family val="2"/>
      </rPr>
      <t xml:space="preserve"> in t 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e</t>
    </r>
  </si>
  <si>
    <r>
      <t>Emissions due to leakage during the year </t>
    </r>
    <r>
      <rPr>
        <b/>
        <i/>
        <sz val="10"/>
        <color theme="1"/>
        <rFont val="Arial"/>
        <family val="2"/>
      </rPr>
      <t>y</t>
    </r>
    <r>
      <rPr>
        <b/>
        <sz val="10"/>
        <color theme="1"/>
        <rFont val="Arial"/>
        <family val="2"/>
      </rPr>
      <t xml:space="preserve"> in t 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e</t>
    </r>
  </si>
  <si>
    <r>
      <t>Emission Reduction during the year </t>
    </r>
    <r>
      <rPr>
        <b/>
        <i/>
        <sz val="10"/>
        <color theme="1"/>
        <rFont val="Arial"/>
        <family val="2"/>
      </rPr>
      <t>y</t>
    </r>
    <r>
      <rPr>
        <b/>
        <sz val="10"/>
        <color theme="1"/>
        <rFont val="Arial"/>
        <family val="2"/>
      </rPr>
      <t xml:space="preserve"> in t 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e</t>
    </r>
  </si>
  <si>
    <t>Year</t>
  </si>
  <si>
    <t>Baseline emissions</t>
  </si>
  <si>
    <r>
      <t>(t 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e)</t>
    </r>
  </si>
  <si>
    <t>Project emissions</t>
  </si>
  <si>
    <t>Leakage</t>
  </si>
  <si>
    <t>Emission reductions</t>
  </si>
  <si>
    <t>Total number of crediting years</t>
  </si>
  <si>
    <t>Annual average over the crediting period</t>
  </si>
  <si>
    <t>Kaul et al, 2008., Page 9</t>
  </si>
  <si>
    <t>RB</t>
  </si>
  <si>
    <t>Consumption (million tonnes) - H</t>
  </si>
  <si>
    <t>Renewable Biomass (million tonnes) - RB</t>
  </si>
  <si>
    <t xml:space="preserve">Non-Renewable Biomass, (million tonnes) - NRB </t>
  </si>
  <si>
    <t>Determination of RB</t>
  </si>
  <si>
    <t>Total Biomass Increment (Million t/yr)</t>
  </si>
  <si>
    <t>Source: Wood is Good, Iis India doing enough to meet its present and future needs? A status report by CSE, 2017</t>
  </si>
  <si>
    <r>
      <t>Area of Forest (ha) (F</t>
    </r>
    <r>
      <rPr>
        <vertAlign val="subscript"/>
        <sz val="11"/>
        <color theme="1"/>
        <rFont val="Calibri"/>
        <family val="2"/>
        <scheme val="minor"/>
      </rPr>
      <t>forest</t>
    </r>
    <r>
      <rPr>
        <sz val="11"/>
        <color theme="1"/>
        <rFont val="Calibri"/>
        <family val="2"/>
        <scheme val="minor"/>
      </rPr>
      <t>)</t>
    </r>
  </si>
  <si>
    <r>
      <t>Protected forests (ha) (P</t>
    </r>
    <r>
      <rPr>
        <vertAlign val="subscript"/>
        <sz val="11"/>
        <color theme="1"/>
        <rFont val="Calibri"/>
        <family val="2"/>
        <scheme val="minor"/>
      </rPr>
      <t>forest</t>
    </r>
    <r>
      <rPr>
        <sz val="11"/>
        <color theme="1"/>
        <rFont val="Calibri"/>
        <family val="2"/>
        <scheme val="minor"/>
      </rPr>
      <t>)</t>
    </r>
  </si>
  <si>
    <r>
      <t>Mean Annual Increment (t/ha/yr) (MAI</t>
    </r>
    <r>
      <rPr>
        <vertAlign val="subscript"/>
        <sz val="11"/>
        <color theme="1"/>
        <rFont val="Calibri"/>
        <family val="2"/>
        <scheme val="minor"/>
      </rPr>
      <t>forest</t>
    </r>
    <r>
      <rPr>
        <sz val="11"/>
        <color theme="1"/>
        <rFont val="Calibri"/>
        <family val="2"/>
        <scheme val="minor"/>
      </rPr>
      <t>)</t>
    </r>
  </si>
  <si>
    <t>Total Biomass Increment (t/yr) from Forests</t>
  </si>
  <si>
    <t>Million cum</t>
  </si>
  <si>
    <t>Mean Annual Increment (Von Mantel's Method)    (t=2GS/R); where GS is the growing stock and R is the rotation period</t>
  </si>
  <si>
    <t>Mean Annual Increment in TOF</t>
  </si>
  <si>
    <t>Fuelwood (Mt)</t>
  </si>
  <si>
    <t>Timber (Mt)</t>
  </si>
  <si>
    <t>Total (Mt)</t>
  </si>
  <si>
    <t>2021 (starting from 1st Jan 2021)</t>
  </si>
  <si>
    <t>HH size</t>
  </si>
  <si>
    <t>District Statistics, 2016</t>
  </si>
  <si>
    <t>Based on survey conducted during Second Crediting Period</t>
  </si>
  <si>
    <t>Source of Data</t>
  </si>
  <si>
    <t>Minimum of HH size and per capita fuelwood use</t>
  </si>
  <si>
    <t>Fuelwood consumption based on sample survey conducted in November 2020</t>
  </si>
  <si>
    <t>Determination of fNRB for Andhra Pradesh</t>
  </si>
  <si>
    <t>Determination of consumption of wood in Andhra Pradesh - H</t>
  </si>
  <si>
    <t>Sustainable Production from TOF (Trees outside Forests) of Andhra Pradesh</t>
  </si>
  <si>
    <t>Source: Chapter 11.1, Andhra Pradesh, State of Forest Report 2019. Conversion of cum to t-wood density of 0.79 (Kaul et al, 2008); Mean Annual Increment is calculated based on the equation t=2GS/R, where GS is growing stock and R is rotation. 80 years is considered as the rotation period, as in Andhra Pradesh, the TOF is dominated by long-term trees.</t>
  </si>
  <si>
    <t>Based on survey value of per capita value and conservative HH size (3.08 t/HH/yr)</t>
  </si>
  <si>
    <t>Ex-ante Emission Reduction Calculations based on AMS.I.E., Version 11 - Renewal of Crediting Period</t>
  </si>
  <si>
    <t>Chapter 11.1, Page 5, FSI, 2019</t>
  </si>
  <si>
    <t>Chapter 11.1, Page 3, FSI, 2019</t>
  </si>
  <si>
    <t>Growing Stock in TOF Million cum</t>
  </si>
  <si>
    <t xml:space="preserve">Chapter 11.1, Andha Pradesh, Page 10, State of Forest Report 2019 </t>
  </si>
  <si>
    <t>Based on project households of  3095</t>
  </si>
  <si>
    <t>Average fuelwood use- kg/capita/day</t>
  </si>
  <si>
    <t>Fuelwood use- kg/capita/day</t>
  </si>
  <si>
    <t>Fuelwood Use-Tonne/Year/HH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</si>
</sst>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00"/>
    <numFmt numFmtId="165" formatCode="0.0000"/>
    <numFmt numFmtId="166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宋体"/>
      <charset val="13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4"/>
      <color rgb="FF006100"/>
      <name val="Calibri"/>
      <family val="2"/>
      <scheme val="minor"/>
    </font>
    <font>
      <b/>
      <sz val="16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131">
    <xf numFmtId="0" fontId="0" fillId="0" borderId="0" xfId="0"/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/>
    </xf>
    <xf numFmtId="0" fontId="0" fillId="0" borderId="2" xfId="0" applyBorder="1"/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2" fontId="0" fillId="0" borderId="2" xfId="0" applyNumberFormat="1" applyBorder="1" applyAlignment="1">
      <alignment vertical="top"/>
    </xf>
    <xf numFmtId="2" fontId="4" fillId="0" borderId="2" xfId="0" applyNumberFormat="1" applyFont="1" applyBorder="1" applyAlignment="1">
      <alignment vertical="top" wrapText="1"/>
    </xf>
    <xf numFmtId="2" fontId="0" fillId="0" borderId="0" xfId="0" applyNumberFormat="1"/>
    <xf numFmtId="2" fontId="0" fillId="0" borderId="2" xfId="0" applyNumberFormat="1" applyBorder="1"/>
    <xf numFmtId="0" fontId="4" fillId="0" borderId="2" xfId="0" applyFont="1" applyFill="1" applyBorder="1" applyAlignment="1">
      <alignment vertical="center" wrapText="1"/>
    </xf>
    <xf numFmtId="0" fontId="2" fillId="0" borderId="2" xfId="0" applyFont="1" applyBorder="1"/>
    <xf numFmtId="2" fontId="2" fillId="0" borderId="2" xfId="0" applyNumberFormat="1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Font="1" applyBorder="1"/>
    <xf numFmtId="0" fontId="0" fillId="0" borderId="5" xfId="0" applyFont="1" applyBorder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0" fillId="0" borderId="8" xfId="0" applyFont="1" applyBorder="1" applyAlignment="1">
      <alignment horizontal="left"/>
    </xf>
    <xf numFmtId="164" fontId="2" fillId="0" borderId="9" xfId="0" applyNumberFormat="1" applyFont="1" applyBorder="1"/>
    <xf numFmtId="0" fontId="0" fillId="0" borderId="8" xfId="0" applyBorder="1"/>
    <xf numFmtId="2" fontId="0" fillId="0" borderId="2" xfId="0" applyNumberFormat="1" applyFont="1" applyBorder="1"/>
    <xf numFmtId="2" fontId="0" fillId="0" borderId="9" xfId="0" applyNumberFormat="1" applyFont="1" applyBorder="1"/>
    <xf numFmtId="165" fontId="0" fillId="0" borderId="0" xfId="0" applyNumberFormat="1" applyFont="1" applyBorder="1"/>
    <xf numFmtId="0" fontId="0" fillId="0" borderId="9" xfId="0" applyFont="1" applyBorder="1"/>
    <xf numFmtId="164" fontId="0" fillId="0" borderId="2" xfId="0" applyNumberFormat="1" applyFont="1" applyBorder="1"/>
    <xf numFmtId="164" fontId="0" fillId="0" borderId="9" xfId="0" applyNumberFormat="1" applyFont="1" applyBorder="1"/>
    <xf numFmtId="0" fontId="0" fillId="0" borderId="14" xfId="0" applyFont="1" applyBorder="1" applyAlignment="1">
      <alignment horizontal="left"/>
    </xf>
    <xf numFmtId="10" fontId="0" fillId="0" borderId="15" xfId="1" applyNumberFormat="1" applyFont="1" applyBorder="1"/>
    <xf numFmtId="10" fontId="0" fillId="0" borderId="16" xfId="1" applyNumberFormat="1" applyFont="1" applyBorder="1"/>
    <xf numFmtId="0" fontId="0" fillId="0" borderId="14" xfId="0" applyBorder="1"/>
    <xf numFmtId="165" fontId="0" fillId="0" borderId="0" xfId="0" applyNumberFormat="1"/>
    <xf numFmtId="0" fontId="0" fillId="0" borderId="9" xfId="0" applyBorder="1"/>
    <xf numFmtId="0" fontId="12" fillId="0" borderId="0" xfId="0" applyFont="1"/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2" fontId="0" fillId="0" borderId="9" xfId="0" applyNumberFormat="1" applyFill="1" applyBorder="1" applyAlignment="1"/>
    <xf numFmtId="2" fontId="0" fillId="0" borderId="9" xfId="0" applyNumberFormat="1" applyBorder="1"/>
    <xf numFmtId="2" fontId="11" fillId="0" borderId="0" xfId="0" applyNumberFormat="1" applyFont="1"/>
    <xf numFmtId="0" fontId="2" fillId="0" borderId="14" xfId="0" applyFont="1" applyBorder="1" applyAlignment="1">
      <alignment horizontal="left" vertical="center" wrapText="1"/>
    </xf>
    <xf numFmtId="2" fontId="2" fillId="0" borderId="16" xfId="0" applyNumberFormat="1" applyFont="1" applyBorder="1"/>
    <xf numFmtId="0" fontId="0" fillId="0" borderId="8" xfId="0" applyFont="1" applyFill="1" applyBorder="1" applyAlignment="1">
      <alignment horizontal="left" vertical="center" wrapText="1"/>
    </xf>
    <xf numFmtId="0" fontId="0" fillId="0" borderId="16" xfId="0" applyBorder="1"/>
    <xf numFmtId="0" fontId="0" fillId="0" borderId="8" xfId="0" applyFill="1" applyBorder="1"/>
    <xf numFmtId="0" fontId="0" fillId="0" borderId="9" xfId="0" applyFill="1" applyBorder="1"/>
    <xf numFmtId="0" fontId="0" fillId="0" borderId="14" xfId="0" applyFill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justify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justify" vertical="center" wrapText="1"/>
    </xf>
    <xf numFmtId="0" fontId="5" fillId="2" borderId="24" xfId="0" applyFont="1" applyFill="1" applyBorder="1" applyAlignment="1">
      <alignment horizontal="justify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right" vertical="center" wrapText="1"/>
    </xf>
    <xf numFmtId="1" fontId="4" fillId="0" borderId="25" xfId="0" applyNumberFormat="1" applyFont="1" applyBorder="1" applyAlignment="1">
      <alignment horizontal="right" vertical="center" wrapText="1"/>
    </xf>
    <xf numFmtId="3" fontId="0" fillId="0" borderId="2" xfId="0" applyNumberFormat="1" applyBorder="1"/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0" borderId="2" xfId="0" applyNumberFormat="1" applyFont="1" applyBorder="1" applyAlignment="1">
      <alignment vertical="top"/>
    </xf>
    <xf numFmtId="166" fontId="4" fillId="0" borderId="25" xfId="7" applyNumberFormat="1" applyFont="1" applyBorder="1" applyAlignment="1">
      <alignment horizontal="right" vertical="center" wrapText="1"/>
    </xf>
    <xf numFmtId="0" fontId="0" fillId="0" borderId="17" xfId="0" applyFont="1" applyBorder="1"/>
    <xf numFmtId="0" fontId="0" fillId="0" borderId="19" xfId="0" applyFont="1" applyBorder="1"/>
    <xf numFmtId="43" fontId="2" fillId="0" borderId="18" xfId="0" applyNumberFormat="1" applyFont="1" applyBorder="1"/>
    <xf numFmtId="0" fontId="0" fillId="0" borderId="26" xfId="0" applyFont="1" applyBorder="1"/>
    <xf numFmtId="0" fontId="0" fillId="0" borderId="26" xfId="0" applyBorder="1"/>
    <xf numFmtId="0" fontId="4" fillId="0" borderId="2" xfId="0" applyFont="1" applyBorder="1" applyAlignment="1">
      <alignment horizontal="justify" vertical="center" wrapText="1"/>
    </xf>
    <xf numFmtId="0" fontId="0" fillId="0" borderId="0" xfId="0" applyFont="1" applyFill="1" applyBorder="1"/>
    <xf numFmtId="0" fontId="17" fillId="0" borderId="0" xfId="8"/>
    <xf numFmtId="0" fontId="0" fillId="0" borderId="27" xfId="0" applyFont="1" applyBorder="1" applyAlignment="1">
      <alignment horizontal="left"/>
    </xf>
    <xf numFmtId="0" fontId="0" fillId="0" borderId="0" xfId="0" applyFont="1" applyFill="1" applyBorder="1" applyAlignment="1">
      <alignment vertical="center" wrapText="1"/>
    </xf>
    <xf numFmtId="0" fontId="2" fillId="0" borderId="2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3" fontId="0" fillId="0" borderId="1" xfId="0" applyNumberFormat="1" applyFont="1" applyBorder="1"/>
    <xf numFmtId="2" fontId="0" fillId="0" borderId="15" xfId="0" applyNumberFormat="1" applyFont="1" applyBorder="1"/>
    <xf numFmtId="0" fontId="4" fillId="0" borderId="2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left"/>
    </xf>
    <xf numFmtId="10" fontId="0" fillId="0" borderId="0" xfId="1" applyNumberFormat="1" applyFont="1" applyBorder="1"/>
    <xf numFmtId="0" fontId="2" fillId="0" borderId="2" xfId="0" applyFont="1" applyFill="1" applyBorder="1" applyAlignment="1">
      <alignment horizontal="left"/>
    </xf>
    <xf numFmtId="0" fontId="0" fillId="0" borderId="2" xfId="0" applyFont="1" applyBorder="1" applyAlignment="1">
      <alignment wrapText="1"/>
    </xf>
    <xf numFmtId="166" fontId="2" fillId="0" borderId="2" xfId="7" applyNumberFormat="1" applyFont="1" applyBorder="1"/>
    <xf numFmtId="166" fontId="2" fillId="0" borderId="2" xfId="7" applyNumberFormat="1" applyFont="1" applyBorder="1" applyAlignment="1"/>
    <xf numFmtId="166" fontId="1" fillId="0" borderId="2" xfId="7" applyNumberFormat="1" applyFont="1" applyBorder="1"/>
    <xf numFmtId="0" fontId="2" fillId="0" borderId="0" xfId="0" applyFont="1" applyAlignment="1">
      <alignment horizontal="center"/>
    </xf>
    <xf numFmtId="0" fontId="0" fillId="0" borderId="27" xfId="0" applyFont="1" applyBorder="1" applyAlignment="1">
      <alignment horizontal="left" wrapText="1"/>
    </xf>
    <xf numFmtId="43" fontId="2" fillId="0" borderId="2" xfId="0" applyNumberFormat="1" applyFont="1" applyBorder="1"/>
    <xf numFmtId="43" fontId="0" fillId="0" borderId="0" xfId="0" applyNumberFormat="1"/>
    <xf numFmtId="166" fontId="2" fillId="0" borderId="2" xfId="0" applyNumberFormat="1" applyFont="1" applyBorder="1"/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20" fillId="3" borderId="0" xfId="9" applyFont="1" applyAlignment="1">
      <alignment horizontal="center"/>
    </xf>
    <xf numFmtId="0" fontId="19" fillId="3" borderId="2" xfId="9" applyFont="1" applyBorder="1" applyAlignment="1">
      <alignment horizontal="center" vertical="center"/>
    </xf>
    <xf numFmtId="0" fontId="4" fillId="0" borderId="2" xfId="0" applyFont="1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4" fillId="0" borderId="2" xfId="0" applyFont="1" applyBorder="1" applyAlignment="1">
      <alignment horizontal="justify" vertical="center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2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28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</cellXfs>
  <cellStyles count="10">
    <cellStyle name="Comma" xfId="7" builtinId="3"/>
    <cellStyle name="Comma 3" xfId="2"/>
    <cellStyle name="Good" xfId="9" builtinId="26"/>
    <cellStyle name="Hyperlink" xfId="8" builtinId="8"/>
    <cellStyle name="Normal" xfId="0" builtinId="0"/>
    <cellStyle name="Normal 2" xfId="3"/>
    <cellStyle name="Normal 3" xfId="4"/>
    <cellStyle name="Normal 4" xfId="5"/>
    <cellStyle name="Percent" xfId="1" builtinId="5"/>
    <cellStyle name="Percent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778245</xdr:colOff>
      <xdr:row>7</xdr:row>
      <xdr:rowOff>43459</xdr:rowOff>
    </xdr:from>
    <xdr:to>
      <xdr:col>7</xdr:col>
      <xdr:colOff>139923</xdr:colOff>
      <xdr:row>9</xdr:row>
      <xdr:rowOff>127279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204355" y="1466975"/>
          <a:ext cx="2593898" cy="469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1</xdr:col>
      <xdr:colOff>137160</xdr:colOff>
      <xdr:row>13</xdr:row>
      <xdr:rowOff>160020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2468880"/>
          <a:ext cx="13716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</xdr:col>
      <xdr:colOff>320040</xdr:colOff>
      <xdr:row>14</xdr:row>
      <xdr:rowOff>160020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3810000"/>
          <a:ext cx="32004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1</xdr:col>
      <xdr:colOff>601980</xdr:colOff>
      <xdr:row>15</xdr:row>
      <xdr:rowOff>152400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6918960"/>
          <a:ext cx="60198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16</xdr:row>
      <xdr:rowOff>64412</xdr:rowOff>
    </xdr:from>
    <xdr:to>
      <xdr:col>1</xdr:col>
      <xdr:colOff>952500</xdr:colOff>
      <xdr:row>17</xdr:row>
      <xdr:rowOff>45720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3036212"/>
          <a:ext cx="952500" cy="164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1</xdr:col>
      <xdr:colOff>220980</xdr:colOff>
      <xdr:row>22</xdr:row>
      <xdr:rowOff>152400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4084320"/>
          <a:ext cx="22098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502920</xdr:colOff>
      <xdr:row>23</xdr:row>
      <xdr:rowOff>160020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4267200"/>
          <a:ext cx="5029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1</xdr:col>
      <xdr:colOff>487680</xdr:colOff>
      <xdr:row>24</xdr:row>
      <xdr:rowOff>160020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4770120"/>
          <a:ext cx="48768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13</xdr:row>
      <xdr:rowOff>0</xdr:rowOff>
    </xdr:from>
    <xdr:to>
      <xdr:col>6</xdr:col>
      <xdr:colOff>137160</xdr:colOff>
      <xdr:row>13</xdr:row>
      <xdr:rowOff>160020</xdr:rowOff>
    </xdr:to>
    <xdr:pic>
      <xdr:nvPicPr>
        <xdr:cNvPr id="2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1478280"/>
          <a:ext cx="13716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14</xdr:row>
      <xdr:rowOff>0</xdr:rowOff>
    </xdr:from>
    <xdr:to>
      <xdr:col>6</xdr:col>
      <xdr:colOff>320040</xdr:colOff>
      <xdr:row>14</xdr:row>
      <xdr:rowOff>160020</xdr:rowOff>
    </xdr:to>
    <xdr:pic>
      <xdr:nvPicPr>
        <xdr:cNvPr id="21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1813560"/>
          <a:ext cx="32004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15</xdr:row>
      <xdr:rowOff>0</xdr:rowOff>
    </xdr:from>
    <xdr:to>
      <xdr:col>6</xdr:col>
      <xdr:colOff>601980</xdr:colOff>
      <xdr:row>15</xdr:row>
      <xdr:rowOff>152400</xdr:rowOff>
    </xdr:to>
    <xdr:pic>
      <xdr:nvPicPr>
        <xdr:cNvPr id="2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2316480"/>
          <a:ext cx="60198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16</xdr:row>
      <xdr:rowOff>64412</xdr:rowOff>
    </xdr:from>
    <xdr:to>
      <xdr:col>6</xdr:col>
      <xdr:colOff>952500</xdr:colOff>
      <xdr:row>17</xdr:row>
      <xdr:rowOff>45720</xdr:rowOff>
    </xdr:to>
    <xdr:pic>
      <xdr:nvPicPr>
        <xdr:cNvPr id="2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2883812"/>
          <a:ext cx="952500" cy="164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22</xdr:row>
      <xdr:rowOff>0</xdr:rowOff>
    </xdr:from>
    <xdr:to>
      <xdr:col>6</xdr:col>
      <xdr:colOff>220980</xdr:colOff>
      <xdr:row>22</xdr:row>
      <xdr:rowOff>152400</xdr:rowOff>
    </xdr:to>
    <xdr:pic>
      <xdr:nvPicPr>
        <xdr:cNvPr id="2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4084320"/>
          <a:ext cx="22098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23</xdr:row>
      <xdr:rowOff>0</xdr:rowOff>
    </xdr:from>
    <xdr:to>
      <xdr:col>6</xdr:col>
      <xdr:colOff>502920</xdr:colOff>
      <xdr:row>23</xdr:row>
      <xdr:rowOff>160020</xdr:rowOff>
    </xdr:to>
    <xdr:pic>
      <xdr:nvPicPr>
        <xdr:cNvPr id="26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4267200"/>
          <a:ext cx="50292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24</xdr:row>
      <xdr:rowOff>0</xdr:rowOff>
    </xdr:from>
    <xdr:to>
      <xdr:col>6</xdr:col>
      <xdr:colOff>487680</xdr:colOff>
      <xdr:row>24</xdr:row>
      <xdr:rowOff>160020</xdr:rowOff>
    </xdr:to>
    <xdr:pic>
      <xdr:nvPicPr>
        <xdr:cNvPr id="27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0" y="4770120"/>
          <a:ext cx="487680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1383239</xdr:colOff>
      <xdr:row>1</xdr:row>
      <xdr:rowOff>211685</xdr:rowOff>
    </xdr:from>
    <xdr:to>
      <xdr:col>6</xdr:col>
      <xdr:colOff>371537</xdr:colOff>
      <xdr:row>4</xdr:row>
      <xdr:rowOff>65566</xdr:rowOff>
    </xdr:to>
    <xdr:pic>
      <xdr:nvPicPr>
        <xdr:cNvPr id="34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809349" y="395905"/>
          <a:ext cx="1391529" cy="49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1431890</xdr:colOff>
      <xdr:row>19</xdr:row>
      <xdr:rowOff>41868</xdr:rowOff>
    </xdr:from>
    <xdr:to>
      <xdr:col>6</xdr:col>
      <xdr:colOff>570997</xdr:colOff>
      <xdr:row>20</xdr:row>
      <xdr:rowOff>921</xdr:rowOff>
    </xdr:to>
    <xdr:pic>
      <xdr:nvPicPr>
        <xdr:cNvPr id="1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858000" y="4705978"/>
          <a:ext cx="1542338" cy="16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4"/>
  <sheetViews>
    <sheetView tabSelected="1" workbookViewId="0">
      <selection activeCell="I14" sqref="I14"/>
    </sheetView>
  </sheetViews>
  <sheetFormatPr defaultRowHeight="15"/>
  <cols>
    <col min="2" max="2" width="19.85546875" customWidth="1"/>
    <col min="3" max="3" width="11.7109375" customWidth="1"/>
    <col min="4" max="4" width="11.42578125" customWidth="1"/>
    <col min="5" max="5" width="9.28515625" bestFit="1" customWidth="1"/>
    <col min="6" max="6" width="13.85546875" customWidth="1"/>
  </cols>
  <sheetData>
    <row r="2" spans="2:6" ht="15.75" thickBot="1"/>
    <row r="3" spans="2:6" ht="25.5">
      <c r="B3" s="96" t="s">
        <v>43</v>
      </c>
      <c r="C3" s="55" t="s">
        <v>44</v>
      </c>
      <c r="D3" s="55" t="s">
        <v>46</v>
      </c>
      <c r="E3" s="55" t="s">
        <v>47</v>
      </c>
      <c r="F3" s="55" t="s">
        <v>48</v>
      </c>
    </row>
    <row r="4" spans="2:6" ht="15.75" thickBot="1">
      <c r="B4" s="97"/>
      <c r="C4" s="56" t="s">
        <v>45</v>
      </c>
      <c r="D4" s="56" t="s">
        <v>45</v>
      </c>
      <c r="E4" s="56" t="s">
        <v>45</v>
      </c>
      <c r="F4" s="56" t="s">
        <v>45</v>
      </c>
    </row>
    <row r="5" spans="2:6" ht="26.25" thickBot="1">
      <c r="B5" s="57" t="s">
        <v>69</v>
      </c>
      <c r="C5" s="67">
        <f>ROUND('ER Calculations'!C13,0)</f>
        <v>16968</v>
      </c>
      <c r="D5" s="61">
        <v>0</v>
      </c>
      <c r="E5" s="62">
        <f>ROUNDUP('ER Calculations'!H29,0)</f>
        <v>849</v>
      </c>
      <c r="F5" s="67">
        <f>C5-D5-E5</f>
        <v>16119</v>
      </c>
    </row>
    <row r="6" spans="2:6" ht="15.75" thickBot="1">
      <c r="B6" s="58">
        <v>2022</v>
      </c>
      <c r="C6" s="67">
        <f t="shared" ref="C6:F11" si="0">C5</f>
        <v>16968</v>
      </c>
      <c r="D6" s="61">
        <f t="shared" si="0"/>
        <v>0</v>
      </c>
      <c r="E6" s="61">
        <f t="shared" si="0"/>
        <v>849</v>
      </c>
      <c r="F6" s="67">
        <f t="shared" si="0"/>
        <v>16119</v>
      </c>
    </row>
    <row r="7" spans="2:6" ht="15.75" thickBot="1">
      <c r="B7" s="58">
        <f>B6+1</f>
        <v>2023</v>
      </c>
      <c r="C7" s="67">
        <f t="shared" si="0"/>
        <v>16968</v>
      </c>
      <c r="D7" s="61">
        <f t="shared" si="0"/>
        <v>0</v>
      </c>
      <c r="E7" s="61">
        <f t="shared" si="0"/>
        <v>849</v>
      </c>
      <c r="F7" s="67">
        <f t="shared" si="0"/>
        <v>16119</v>
      </c>
    </row>
    <row r="8" spans="2:6" ht="15.75" thickBot="1">
      <c r="B8" s="58">
        <f t="shared" ref="B8:B11" si="1">B7+1</f>
        <v>2024</v>
      </c>
      <c r="C8" s="67">
        <f t="shared" si="0"/>
        <v>16968</v>
      </c>
      <c r="D8" s="61">
        <f t="shared" si="0"/>
        <v>0</v>
      </c>
      <c r="E8" s="61">
        <f t="shared" si="0"/>
        <v>849</v>
      </c>
      <c r="F8" s="67">
        <f t="shared" si="0"/>
        <v>16119</v>
      </c>
    </row>
    <row r="9" spans="2:6" ht="15.75" thickBot="1">
      <c r="B9" s="58">
        <f t="shared" si="1"/>
        <v>2025</v>
      </c>
      <c r="C9" s="67">
        <f t="shared" si="0"/>
        <v>16968</v>
      </c>
      <c r="D9" s="61">
        <f t="shared" si="0"/>
        <v>0</v>
      </c>
      <c r="E9" s="61">
        <f t="shared" si="0"/>
        <v>849</v>
      </c>
      <c r="F9" s="67">
        <f t="shared" si="0"/>
        <v>16119</v>
      </c>
    </row>
    <row r="10" spans="2:6" ht="15.75" thickBot="1">
      <c r="B10" s="58">
        <f t="shared" si="1"/>
        <v>2026</v>
      </c>
      <c r="C10" s="67">
        <f t="shared" si="0"/>
        <v>16968</v>
      </c>
      <c r="D10" s="61">
        <f t="shared" si="0"/>
        <v>0</v>
      </c>
      <c r="E10" s="61">
        <f t="shared" si="0"/>
        <v>849</v>
      </c>
      <c r="F10" s="67">
        <f t="shared" si="0"/>
        <v>16119</v>
      </c>
    </row>
    <row r="11" spans="2:6" ht="15.75" thickBot="1">
      <c r="B11" s="58">
        <f t="shared" si="1"/>
        <v>2027</v>
      </c>
      <c r="C11" s="67">
        <f t="shared" si="0"/>
        <v>16968</v>
      </c>
      <c r="D11" s="61">
        <f t="shared" si="0"/>
        <v>0</v>
      </c>
      <c r="E11" s="61">
        <f t="shared" si="0"/>
        <v>849</v>
      </c>
      <c r="F11" s="67">
        <f t="shared" si="0"/>
        <v>16119</v>
      </c>
    </row>
    <row r="12" spans="2:6" ht="15.75" thickBot="1">
      <c r="B12" s="59" t="s">
        <v>36</v>
      </c>
      <c r="C12" s="67">
        <f>SUM(C5:C11)</f>
        <v>118776</v>
      </c>
      <c r="D12" s="61">
        <f>SUM(D5:D11)</f>
        <v>0</v>
      </c>
      <c r="E12" s="67">
        <f>SUM(E5:E11)</f>
        <v>5943</v>
      </c>
      <c r="F12" s="67">
        <f>SUM(F5:F11)</f>
        <v>112833</v>
      </c>
    </row>
    <row r="13" spans="2:6" ht="26.25" thickBot="1">
      <c r="B13" s="60" t="s">
        <v>49</v>
      </c>
      <c r="C13" s="98">
        <v>7</v>
      </c>
      <c r="D13" s="99"/>
      <c r="E13" s="99"/>
      <c r="F13" s="100"/>
    </row>
    <row r="14" spans="2:6" ht="39" thickBot="1">
      <c r="B14" s="60" t="s">
        <v>50</v>
      </c>
      <c r="C14" s="67">
        <f>C12/7</f>
        <v>16968</v>
      </c>
      <c r="D14" s="67">
        <f>D12/7</f>
        <v>0</v>
      </c>
      <c r="E14" s="67">
        <f>E12/7</f>
        <v>849</v>
      </c>
      <c r="F14" s="67">
        <f>F12/7</f>
        <v>16119</v>
      </c>
    </row>
  </sheetData>
  <mergeCells count="2">
    <mergeCell ref="B3:B4"/>
    <mergeCell ref="C13:F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J30"/>
  <sheetViews>
    <sheetView zoomScale="91" zoomScaleNormal="91" workbookViewId="0">
      <selection activeCell="I7" sqref="I7"/>
    </sheetView>
  </sheetViews>
  <sheetFormatPr defaultRowHeight="15"/>
  <cols>
    <col min="2" max="2" width="12.140625" bestFit="1" customWidth="1"/>
    <col min="3" max="3" width="11.140625" bestFit="1" customWidth="1"/>
    <col min="4" max="4" width="48.7109375" bestFit="1" customWidth="1"/>
    <col min="5" max="5" width="31.7109375" bestFit="1" customWidth="1"/>
    <col min="6" max="6" width="3.42578125" customWidth="1"/>
    <col min="7" max="7" width="12.140625" bestFit="1" customWidth="1"/>
    <col min="8" max="8" width="9.42578125" bestFit="1" customWidth="1"/>
    <col min="9" max="9" width="50.28515625" customWidth="1"/>
    <col min="10" max="10" width="31.7109375" bestFit="1" customWidth="1"/>
  </cols>
  <sheetData>
    <row r="2" spans="2:10" ht="21">
      <c r="B2" s="101" t="s">
        <v>81</v>
      </c>
      <c r="C2" s="101"/>
      <c r="D2" s="101"/>
      <c r="E2" s="101"/>
      <c r="F2" s="101"/>
      <c r="G2" s="101"/>
      <c r="H2" s="101"/>
      <c r="I2" s="101"/>
      <c r="J2" s="101"/>
    </row>
    <row r="3" spans="2:10">
      <c r="B3" s="1"/>
    </row>
    <row r="4" spans="2:10">
      <c r="C4" s="94"/>
    </row>
    <row r="5" spans="2:10">
      <c r="B5" s="17" t="s">
        <v>37</v>
      </c>
      <c r="C5" s="88">
        <f>C13</f>
        <v>16967.525143680592</v>
      </c>
      <c r="D5" s="54" t="s">
        <v>39</v>
      </c>
      <c r="E5" s="94"/>
    </row>
    <row r="6" spans="2:10">
      <c r="B6" s="17" t="s">
        <v>17</v>
      </c>
      <c r="C6" s="93">
        <f>H27</f>
        <v>0</v>
      </c>
      <c r="D6" s="54" t="s">
        <v>40</v>
      </c>
      <c r="E6" s="94"/>
      <c r="H6" s="14"/>
    </row>
    <row r="7" spans="2:10" ht="27">
      <c r="B7" s="17" t="s">
        <v>19</v>
      </c>
      <c r="C7" s="95">
        <f>H29</f>
        <v>848.37625718403251</v>
      </c>
      <c r="D7" s="54" t="s">
        <v>41</v>
      </c>
      <c r="E7" s="94"/>
      <c r="H7" s="14"/>
    </row>
    <row r="8" spans="2:10">
      <c r="B8" s="17" t="s">
        <v>23</v>
      </c>
      <c r="C8" s="89">
        <f>ROUNDDOWN(C13-H27-H29,0)</f>
        <v>16119</v>
      </c>
      <c r="D8" s="54" t="s">
        <v>42</v>
      </c>
      <c r="E8" s="94"/>
    </row>
    <row r="11" spans="2:10" ht="18.75">
      <c r="B11" s="102" t="s">
        <v>20</v>
      </c>
      <c r="C11" s="102"/>
      <c r="D11" s="102"/>
      <c r="E11" s="102"/>
      <c r="G11" s="102" t="s">
        <v>21</v>
      </c>
      <c r="H11" s="102"/>
      <c r="I11" s="102"/>
      <c r="J11" s="102"/>
    </row>
    <row r="12" spans="2:10" s="91" customFormat="1">
      <c r="B12" s="64" t="s">
        <v>6</v>
      </c>
      <c r="C12" s="64" t="s">
        <v>5</v>
      </c>
      <c r="D12" s="64" t="s">
        <v>7</v>
      </c>
      <c r="E12" s="64" t="s">
        <v>8</v>
      </c>
      <c r="G12" s="64" t="s">
        <v>6</v>
      </c>
      <c r="H12" s="64" t="s">
        <v>5</v>
      </c>
      <c r="I12" s="64" t="s">
        <v>7</v>
      </c>
      <c r="J12" s="64" t="s">
        <v>8</v>
      </c>
    </row>
    <row r="13" spans="2:10" ht="15.75">
      <c r="B13" s="53" t="s">
        <v>37</v>
      </c>
      <c r="C13" s="66">
        <f>C14*C15*C16*C17</f>
        <v>16967.525143680592</v>
      </c>
      <c r="D13" s="8" t="s">
        <v>0</v>
      </c>
      <c r="E13" s="5" t="s">
        <v>9</v>
      </c>
      <c r="G13" s="53" t="s">
        <v>37</v>
      </c>
      <c r="H13" s="66">
        <f>H14*H15*H16*H17</f>
        <v>16119.148886496559</v>
      </c>
      <c r="I13" s="8" t="s">
        <v>0</v>
      </c>
      <c r="J13" s="5" t="s">
        <v>9</v>
      </c>
    </row>
    <row r="14" spans="2:10" ht="38.25">
      <c r="B14" s="6"/>
      <c r="C14" s="13">
        <f>C22</f>
        <v>18559.515872374806</v>
      </c>
      <c r="D14" s="8" t="s">
        <v>1</v>
      </c>
      <c r="E14" s="83" t="s">
        <v>80</v>
      </c>
      <c r="G14" s="6"/>
      <c r="H14" s="13">
        <f>H22</f>
        <v>17631.540078756065</v>
      </c>
      <c r="I14" s="8" t="s">
        <v>1</v>
      </c>
      <c r="J14" s="83" t="s">
        <v>80</v>
      </c>
    </row>
    <row r="15" spans="2:10" ht="38.25">
      <c r="B15" s="6"/>
      <c r="C15" s="13">
        <f>Parameters!C26</f>
        <v>0.91</v>
      </c>
      <c r="D15" s="73" t="s">
        <v>4</v>
      </c>
      <c r="E15" s="5" t="s">
        <v>9</v>
      </c>
      <c r="G15" s="6"/>
      <c r="H15" s="13">
        <f>C15</f>
        <v>0.91</v>
      </c>
      <c r="I15" s="73" t="s">
        <v>4</v>
      </c>
      <c r="J15" s="5" t="s">
        <v>9</v>
      </c>
    </row>
    <row r="16" spans="2:10" ht="38.25">
      <c r="B16" s="6"/>
      <c r="C16" s="6">
        <v>1.5599999999999999E-2</v>
      </c>
      <c r="D16" s="8" t="s">
        <v>2</v>
      </c>
      <c r="E16" s="5" t="s">
        <v>10</v>
      </c>
      <c r="G16" s="6"/>
      <c r="H16" s="6">
        <v>1.5599999999999999E-2</v>
      </c>
      <c r="I16" s="8" t="s">
        <v>2</v>
      </c>
      <c r="J16" s="5" t="s">
        <v>10</v>
      </c>
    </row>
    <row r="17" spans="2:10">
      <c r="B17" s="103"/>
      <c r="C17" s="109">
        <v>64.400000000000006</v>
      </c>
      <c r="D17" s="106" t="s">
        <v>3</v>
      </c>
      <c r="E17" s="107" t="s">
        <v>11</v>
      </c>
      <c r="G17" s="103"/>
      <c r="H17" s="104">
        <v>64.400000000000006</v>
      </c>
      <c r="I17" s="106" t="s">
        <v>3</v>
      </c>
      <c r="J17" s="107" t="s">
        <v>11</v>
      </c>
    </row>
    <row r="18" spans="2:10">
      <c r="B18" s="103"/>
      <c r="C18" s="110"/>
      <c r="D18" s="106"/>
      <c r="E18" s="108"/>
      <c r="G18" s="103"/>
      <c r="H18" s="105"/>
      <c r="I18" s="106"/>
      <c r="J18" s="108"/>
    </row>
    <row r="20" spans="2:10">
      <c r="G20" s="4"/>
    </row>
    <row r="21" spans="2:10">
      <c r="B21" s="9"/>
      <c r="C21" s="2"/>
      <c r="G21" s="9"/>
      <c r="H21" s="2"/>
    </row>
    <row r="22" spans="2:10" ht="25.5">
      <c r="B22" s="53" t="s">
        <v>38</v>
      </c>
      <c r="C22" s="12">
        <f>C23*(C24-C25)</f>
        <v>18559.515872374806</v>
      </c>
      <c r="D22" s="8" t="s">
        <v>1</v>
      </c>
      <c r="E22" s="5" t="s">
        <v>9</v>
      </c>
      <c r="G22" s="53" t="s">
        <v>38</v>
      </c>
      <c r="H22" s="12">
        <f>0.95*H23*(H24-H25)</f>
        <v>17631.540078756065</v>
      </c>
      <c r="I22" s="8" t="s">
        <v>1</v>
      </c>
      <c r="J22" s="5" t="s">
        <v>9</v>
      </c>
    </row>
    <row r="23" spans="2:10" ht="22.15" customHeight="1">
      <c r="B23" s="10"/>
      <c r="C23" s="6">
        <v>5000</v>
      </c>
      <c r="D23" s="7" t="s">
        <v>12</v>
      </c>
      <c r="E23" s="5" t="s">
        <v>16</v>
      </c>
      <c r="G23" s="10"/>
      <c r="H23" s="6">
        <v>5000</v>
      </c>
      <c r="I23" s="7" t="s">
        <v>12</v>
      </c>
      <c r="J23" s="5" t="s">
        <v>16</v>
      </c>
    </row>
    <row r="24" spans="2:10" ht="38.25">
      <c r="B24" s="10"/>
      <c r="C24" s="13">
        <f>MIN(Parameters!C18:C19)</f>
        <v>3.7119031744749611</v>
      </c>
      <c r="D24" s="7" t="s">
        <v>13</v>
      </c>
      <c r="E24" s="73" t="s">
        <v>80</v>
      </c>
      <c r="H24" s="13">
        <f>MIN(Parameters!C18:C19)</f>
        <v>3.7119031744749611</v>
      </c>
      <c r="I24" s="7" t="s">
        <v>13</v>
      </c>
      <c r="J24" s="83" t="s">
        <v>80</v>
      </c>
    </row>
    <row r="25" spans="2:10" ht="63.75">
      <c r="B25" s="10"/>
      <c r="C25" s="6">
        <v>0</v>
      </c>
      <c r="D25" s="7" t="s">
        <v>14</v>
      </c>
      <c r="E25" s="8" t="s">
        <v>15</v>
      </c>
      <c r="G25" s="10"/>
      <c r="H25" s="6">
        <v>0</v>
      </c>
      <c r="I25" s="7" t="s">
        <v>14</v>
      </c>
      <c r="J25" s="8" t="s">
        <v>15</v>
      </c>
    </row>
    <row r="27" spans="2:10">
      <c r="C27" s="11"/>
      <c r="D27" s="11"/>
      <c r="G27" s="17" t="s">
        <v>17</v>
      </c>
      <c r="H27" s="16">
        <v>0</v>
      </c>
      <c r="I27" s="16" t="s">
        <v>18</v>
      </c>
      <c r="J27" s="5"/>
    </row>
    <row r="29" spans="2:10">
      <c r="G29" s="17" t="s">
        <v>19</v>
      </c>
      <c r="H29" s="15">
        <f>C13-H13</f>
        <v>848.37625718403251</v>
      </c>
      <c r="I29" s="5" t="s">
        <v>24</v>
      </c>
      <c r="J29" s="5" t="s">
        <v>25</v>
      </c>
    </row>
    <row r="30" spans="2:10">
      <c r="B30" s="3" t="s">
        <v>22</v>
      </c>
    </row>
  </sheetData>
  <mergeCells count="11">
    <mergeCell ref="B2:J2"/>
    <mergeCell ref="B11:E11"/>
    <mergeCell ref="G11:J11"/>
    <mergeCell ref="G17:G18"/>
    <mergeCell ref="H17:H18"/>
    <mergeCell ref="I17:I18"/>
    <mergeCell ref="J17:J18"/>
    <mergeCell ref="B17:B18"/>
    <mergeCell ref="C17:C18"/>
    <mergeCell ref="D17:D18"/>
    <mergeCell ref="E17:E18"/>
  </mergeCells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6"/>
  <sheetViews>
    <sheetView topLeftCell="A26" zoomScale="85" zoomScaleNormal="85" workbookViewId="0">
      <selection activeCell="C42" sqref="C42"/>
    </sheetView>
  </sheetViews>
  <sheetFormatPr defaultColWidth="8.85546875" defaultRowHeight="15"/>
  <cols>
    <col min="1" max="1" width="9.7109375" style="20" bestFit="1" customWidth="1"/>
    <col min="2" max="2" width="44.5703125" style="20" customWidth="1"/>
    <col min="3" max="3" width="13.28515625" style="20" bestFit="1" customWidth="1"/>
    <col min="4" max="4" width="35.28515625" style="20" customWidth="1"/>
    <col min="5" max="5" width="8.28515625" customWidth="1"/>
    <col min="6" max="6" width="22.7109375" style="19" bestFit="1" customWidth="1"/>
    <col min="7" max="7" width="14.7109375" style="19" bestFit="1" customWidth="1"/>
    <col min="8" max="8" width="17.85546875" style="19" bestFit="1" customWidth="1"/>
    <col min="9" max="9" width="9" style="19" bestFit="1" customWidth="1"/>
    <col min="10" max="10" width="8.28515625" style="19" bestFit="1" customWidth="1"/>
    <col min="11" max="11" width="6.85546875" style="19" bestFit="1" customWidth="1"/>
    <col min="12" max="12" width="13.7109375" style="19" customWidth="1"/>
    <col min="13" max="16384" width="8.85546875" style="19"/>
  </cols>
  <sheetData>
    <row r="1" spans="2:13" ht="15.75" thickBot="1"/>
    <row r="2" spans="2:13" ht="15.75" thickBot="1">
      <c r="B2" s="114" t="s">
        <v>75</v>
      </c>
      <c r="C2" s="115"/>
      <c r="D2" s="116"/>
    </row>
    <row r="3" spans="2:13">
      <c r="B3" s="22"/>
      <c r="C3" s="23" t="s">
        <v>26</v>
      </c>
      <c r="D3" s="24" t="s">
        <v>87</v>
      </c>
    </row>
    <row r="4" spans="2:13">
      <c r="B4" s="25" t="s">
        <v>27</v>
      </c>
      <c r="C4" s="18">
        <v>6.44</v>
      </c>
      <c r="D4" s="26">
        <v>2.6949999999999998</v>
      </c>
    </row>
    <row r="5" spans="2:13">
      <c r="B5" s="25" t="s">
        <v>28</v>
      </c>
      <c r="C5" s="28">
        <v>2.0767227896461309</v>
      </c>
      <c r="D5" s="29">
        <v>1.1550049149419421</v>
      </c>
      <c r="M5" s="30"/>
    </row>
    <row r="6" spans="2:13">
      <c r="B6" s="25" t="s">
        <v>29</v>
      </c>
      <c r="C6" s="21">
        <v>155</v>
      </c>
      <c r="D6" s="31">
        <v>155</v>
      </c>
      <c r="M6" s="30"/>
    </row>
    <row r="7" spans="2:13">
      <c r="B7" s="25" t="s">
        <v>30</v>
      </c>
      <c r="C7" s="32">
        <f>C5/SQRT(C6)</f>
        <v>0.16680638854160906</v>
      </c>
      <c r="D7" s="33">
        <f>D5/SQRT(D6)</f>
        <v>9.2772227265875445E-2</v>
      </c>
      <c r="M7" s="30"/>
    </row>
    <row r="8" spans="2:13">
      <c r="B8" s="25" t="s">
        <v>31</v>
      </c>
      <c r="C8" s="28">
        <f>CONFIDENCE(0.1,C5,C6)</f>
        <v>0.27437209319134204</v>
      </c>
      <c r="D8" s="29">
        <f>CONFIDENCE(0.1,D5,D6)</f>
        <v>0.15259673449864142</v>
      </c>
    </row>
    <row r="9" spans="2:13" ht="15.75" thickBot="1">
      <c r="B9" s="34" t="s">
        <v>32</v>
      </c>
      <c r="C9" s="35">
        <f>C8/C4</f>
        <v>4.2604362296792236E-2</v>
      </c>
      <c r="D9" s="36">
        <f>D8/D4</f>
        <v>5.6622164934560827E-2</v>
      </c>
    </row>
    <row r="10" spans="2:13">
      <c r="B10" s="84"/>
      <c r="C10" s="85"/>
      <c r="D10" s="85"/>
    </row>
    <row r="11" spans="2:13">
      <c r="B11" s="19"/>
      <c r="C11" s="19"/>
      <c r="D11" s="19"/>
    </row>
    <row r="12" spans="2:13">
      <c r="B12" s="17" t="s">
        <v>88</v>
      </c>
      <c r="C12" s="64" t="s">
        <v>70</v>
      </c>
      <c r="D12" s="17" t="s">
        <v>73</v>
      </c>
    </row>
    <row r="13" spans="2:13">
      <c r="B13" s="21"/>
      <c r="C13" s="21">
        <v>4</v>
      </c>
      <c r="D13" s="21" t="s">
        <v>71</v>
      </c>
    </row>
    <row r="14" spans="2:13">
      <c r="B14" s="21">
        <f>3.48</f>
        <v>3.48</v>
      </c>
      <c r="C14" s="28">
        <v>3.7735056542811001</v>
      </c>
      <c r="D14" s="87" t="s">
        <v>86</v>
      </c>
    </row>
    <row r="15" spans="2:13" ht="30">
      <c r="B15" s="21">
        <f>2.695</f>
        <v>2.6949999999999998</v>
      </c>
      <c r="C15" s="21">
        <v>6.44</v>
      </c>
      <c r="D15" s="87" t="s">
        <v>72</v>
      </c>
    </row>
    <row r="17" spans="2:7">
      <c r="B17" s="19"/>
      <c r="C17" s="19"/>
      <c r="D17" s="19"/>
    </row>
    <row r="18" spans="2:7" ht="30">
      <c r="B18" s="86" t="s">
        <v>89</v>
      </c>
      <c r="C18" s="18">
        <f>(MIN(C13:C15)*MIN(B13:B15)*365)/1000</f>
        <v>3.7119031744749611</v>
      </c>
      <c r="D18" s="87" t="s">
        <v>74</v>
      </c>
    </row>
    <row r="19" spans="2:7">
      <c r="B19" s="86" t="s">
        <v>89</v>
      </c>
      <c r="C19" s="18">
        <f>ROUND((C4*D4*365)/1000,2)</f>
        <v>6.33</v>
      </c>
      <c r="D19" s="87" t="s">
        <v>33</v>
      </c>
    </row>
    <row r="20" spans="2:7" s="71" customFormat="1" ht="15.75" thickBot="1">
      <c r="E20" s="72"/>
      <c r="F20" s="72"/>
      <c r="G20" s="72"/>
    </row>
    <row r="21" spans="2:7" ht="16.5" thickTop="1" thickBot="1">
      <c r="B21"/>
      <c r="C21" s="38"/>
      <c r="D21"/>
      <c r="F21"/>
      <c r="G21"/>
    </row>
    <row r="22" spans="2:7" ht="15.75" thickBot="1">
      <c r="B22" s="123" t="s">
        <v>76</v>
      </c>
      <c r="C22" s="124"/>
      <c r="D22"/>
      <c r="F22"/>
      <c r="G22"/>
    </row>
    <row r="23" spans="2:7">
      <c r="B23" s="42" t="s">
        <v>53</v>
      </c>
      <c r="C23" s="43">
        <f>C32</f>
        <v>46.894000000000005</v>
      </c>
      <c r="D23" s="40"/>
      <c r="F23"/>
      <c r="G23"/>
    </row>
    <row r="24" spans="2:7">
      <c r="B24" s="42" t="s">
        <v>54</v>
      </c>
      <c r="C24" s="44">
        <f>C46</f>
        <v>3.8029432119999997</v>
      </c>
      <c r="D24" s="40"/>
      <c r="F24"/>
      <c r="G24"/>
    </row>
    <row r="25" spans="2:7" ht="30">
      <c r="B25" s="42" t="s">
        <v>55</v>
      </c>
      <c r="C25" s="44">
        <f>C23-C24</f>
        <v>43.091056788000003</v>
      </c>
      <c r="D25" s="14"/>
      <c r="F25"/>
      <c r="G25"/>
    </row>
    <row r="26" spans="2:7" ht="15.75" thickBot="1">
      <c r="B26" s="46" t="s">
        <v>34</v>
      </c>
      <c r="C26" s="47">
        <f>ROUNDDOWN(C25/(C25+C24),2)</f>
        <v>0.91</v>
      </c>
      <c r="D26" s="45"/>
      <c r="F26"/>
      <c r="G26"/>
    </row>
    <row r="27" spans="2:7" ht="15.75" thickBot="1">
      <c r="B27"/>
      <c r="C27"/>
      <c r="D27"/>
      <c r="F27"/>
      <c r="G27"/>
    </row>
    <row r="28" spans="2:7" ht="15" customHeight="1" thickBot="1">
      <c r="B28" s="120" t="s">
        <v>77</v>
      </c>
      <c r="C28" s="121"/>
      <c r="D28" s="122"/>
      <c r="F28"/>
      <c r="G28"/>
    </row>
    <row r="29" spans="2:7">
      <c r="B29" s="78" t="s">
        <v>6</v>
      </c>
      <c r="C29" s="79" t="s">
        <v>5</v>
      </c>
      <c r="D29" s="80" t="s">
        <v>8</v>
      </c>
      <c r="E29" s="77"/>
    </row>
    <row r="30" spans="2:7" ht="15" customHeight="1">
      <c r="B30" s="48" t="s">
        <v>66</v>
      </c>
      <c r="C30" s="15">
        <v>24.3</v>
      </c>
      <c r="D30" s="125" t="s">
        <v>58</v>
      </c>
      <c r="E30" s="77"/>
    </row>
    <row r="31" spans="2:7">
      <c r="B31" s="48" t="s">
        <v>67</v>
      </c>
      <c r="C31" s="15">
        <f>28.6*0.79</f>
        <v>22.594000000000001</v>
      </c>
      <c r="D31" s="126"/>
      <c r="E31" s="77"/>
    </row>
    <row r="32" spans="2:7" ht="34.9" customHeight="1">
      <c r="B32" s="48" t="s">
        <v>68</v>
      </c>
      <c r="C32" s="18">
        <f>SUM(C30:C31)</f>
        <v>46.894000000000005</v>
      </c>
      <c r="D32" s="127"/>
      <c r="E32" s="77"/>
    </row>
    <row r="33" spans="2:11" ht="15.75" thickBot="1">
      <c r="B33"/>
      <c r="C33"/>
      <c r="D33"/>
    </row>
    <row r="34" spans="2:11">
      <c r="B34" s="117" t="s">
        <v>56</v>
      </c>
      <c r="C34" s="118"/>
      <c r="D34" s="119"/>
    </row>
    <row r="35" spans="2:11">
      <c r="B35" s="65" t="s">
        <v>6</v>
      </c>
      <c r="C35" s="64" t="s">
        <v>5</v>
      </c>
      <c r="D35" s="41" t="s">
        <v>8</v>
      </c>
    </row>
    <row r="36" spans="2:11" ht="18">
      <c r="B36" s="27" t="s">
        <v>59</v>
      </c>
      <c r="C36" s="63">
        <f>2913740+825484</f>
        <v>3739224</v>
      </c>
      <c r="D36" s="39" t="s">
        <v>82</v>
      </c>
    </row>
    <row r="37" spans="2:11" ht="18">
      <c r="B37" s="27" t="s">
        <v>60</v>
      </c>
      <c r="C37" s="5">
        <v>506900</v>
      </c>
      <c r="D37" s="39" t="s">
        <v>83</v>
      </c>
    </row>
    <row r="38" spans="2:11" ht="18">
      <c r="B38" s="27" t="s">
        <v>61</v>
      </c>
      <c r="C38" s="5">
        <v>0.76300000000000001</v>
      </c>
      <c r="D38" s="39" t="s">
        <v>51</v>
      </c>
    </row>
    <row r="39" spans="2:11">
      <c r="B39" s="27" t="s">
        <v>62</v>
      </c>
      <c r="C39" s="90">
        <f>(C36-C37)*C38</f>
        <v>2466263.2119999998</v>
      </c>
      <c r="D39" s="39" t="s">
        <v>9</v>
      </c>
    </row>
    <row r="40" spans="2:11" ht="15.75" thickBot="1">
      <c r="B40" s="37" t="s">
        <v>57</v>
      </c>
      <c r="C40" s="81">
        <f>C39/1000000</f>
        <v>2.4662632119999999</v>
      </c>
      <c r="D40" s="49" t="s">
        <v>9</v>
      </c>
    </row>
    <row r="41" spans="2:11">
      <c r="B41" s="128" t="s">
        <v>78</v>
      </c>
      <c r="C41" s="129"/>
      <c r="D41" s="130"/>
    </row>
    <row r="42" spans="2:11" ht="30">
      <c r="B42" s="50" t="s">
        <v>84</v>
      </c>
      <c r="C42">
        <v>67.680000000000007</v>
      </c>
      <c r="D42" s="92" t="s">
        <v>85</v>
      </c>
    </row>
    <row r="43" spans="2:11" ht="45.75" thickBot="1">
      <c r="B43" s="52" t="s">
        <v>64</v>
      </c>
      <c r="C43" s="82">
        <f>2*C42/80</f>
        <v>1.6920000000000002</v>
      </c>
      <c r="D43" s="76" t="s">
        <v>63</v>
      </c>
    </row>
    <row r="44" spans="2:11" ht="15.75" thickBot="1">
      <c r="B44" s="50" t="s">
        <v>65</v>
      </c>
      <c r="C44" s="15">
        <f>C43*0.79</f>
        <v>1.3366800000000001</v>
      </c>
      <c r="D44" s="51" t="s">
        <v>35</v>
      </c>
      <c r="G44" s="74"/>
      <c r="J44" s="74"/>
    </row>
    <row r="45" spans="2:11" ht="61.9" customHeight="1" thickBot="1">
      <c r="B45" s="111" t="s">
        <v>79</v>
      </c>
      <c r="C45" s="112"/>
      <c r="D45" s="113"/>
      <c r="G45" s="74"/>
      <c r="H45" s="74"/>
      <c r="I45" s="74"/>
      <c r="J45" s="74"/>
      <c r="K45" s="75"/>
    </row>
    <row r="46" spans="2:11" ht="15.75" thickBot="1">
      <c r="B46" s="68" t="s">
        <v>52</v>
      </c>
      <c r="C46" s="70">
        <f>C44+C40</f>
        <v>3.8029432119999997</v>
      </c>
      <c r="D46" s="69" t="s">
        <v>35</v>
      </c>
    </row>
  </sheetData>
  <mergeCells count="7">
    <mergeCell ref="B45:D45"/>
    <mergeCell ref="B2:D2"/>
    <mergeCell ref="B34:D34"/>
    <mergeCell ref="B28:D28"/>
    <mergeCell ref="B22:C22"/>
    <mergeCell ref="D30:D32"/>
    <mergeCell ref="B41:D41"/>
  </mergeCells>
  <pageMargins left="0.7" right="0.7" top="0.75" bottom="0.75" header="0.3" footer="0.3"/>
  <pageSetup paperSize="9" orientation="portrait" horizontalDpi="4294967294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Summary</vt:lpstr>
      <vt:lpstr>ER Calculations</vt:lpstr>
      <vt:lpstr>Parameters</vt:lpstr>
      <vt:lpstr>'ER Calculations'!_ftn1</vt:lpstr>
      <vt:lpstr>'ER Calculations'!_ftnref1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Sudha P</dc:creator>
  <cp:lastModifiedBy>Author</cp:lastModifiedBy>
  <dcterms:created xsi:type="dcterms:W3CDTF">2020-04-16T11:33:04Z</dcterms:created>
  <dcterms:modified xsi:type="dcterms:W3CDTF">2021-03-12T09:44:08Z</dcterms:modified>
</cp:coreProperties>
</file>