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dationgoodplanet.sharepoint.com/sites/CARBONE678/Documents partages/Cameroun/5. Carbone/2. Monitoring/2024/2 GS MR/round 0/"/>
    </mc:Choice>
  </mc:AlternateContent>
  <xr:revisionPtr revIDLastSave="71" documentId="13_ncr:1_{74B55329-BD8C-458C-B3F8-D52C6FFA9310}" xr6:coauthVersionLast="47" xr6:coauthVersionMax="47" xr10:uidLastSave="{5F6C9BDA-7E27-439D-BEBD-98F2A99A6FA7}"/>
  <bookViews>
    <workbookView xWindow="28680" yWindow="-120" windowWidth="29040" windowHeight="15720" tabRatio="749" firstSheet="1" activeTab="4" xr2:uid="{00000000-000D-0000-FFFF-FFFF00000000}"/>
  </bookViews>
  <sheets>
    <sheet name="Introduction" sheetId="18" state="hidden" r:id="rId1"/>
    <sheet name="Monitored Datas" sheetId="5" r:id="rId2"/>
    <sheet name="BECH4y" sheetId="2" r:id="rId3"/>
    <sheet name="PEy" sheetId="6" r:id="rId4"/>
    <sheet name="Emission reductions" sheetId="7" r:id="rId5"/>
    <sheet name="Year1.2017" sheetId="8" state="hidden" r:id="rId6"/>
    <sheet name="Year2.2018" sheetId="9" state="hidden" r:id="rId7"/>
    <sheet name="Year3.2019" sheetId="10" state="hidden" r:id="rId8"/>
    <sheet name="Year4. 2020" sheetId="19" state="hidden" r:id="rId9"/>
    <sheet name="Year5.2021" sheetId="20" state="hidden" r:id="rId10"/>
    <sheet name="Year6.2022" sheetId="21" state="hidden" r:id="rId11"/>
    <sheet name="Year7.2023" sheetId="23" state="hidden" r:id="rId12"/>
    <sheet name="Year4" sheetId="11" state="hidden" r:id="rId13"/>
    <sheet name="Year6" sheetId="13" state="hidden" r:id="rId14"/>
    <sheet name="Year8.2024" sheetId="15" r:id="rId15"/>
    <sheet name="Year9" sheetId="16" state="hidden" r:id="rId16"/>
    <sheet name="Year10" sheetId="17" state="hidden" r:id="rId17"/>
    <sheet name="Year 11" sheetId="22" state="hidden" r:id="rId18"/>
    <sheet name="fixé en amont" sheetId="1" state="hidden" r:id="rId19"/>
  </sheets>
  <definedNames>
    <definedName name="_xlnm.Print_Area" localSheetId="8">'Year4. 2020'!$A$1:$U$51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6" l="1"/>
  <c r="E14" i="6"/>
  <c r="E13" i="6"/>
  <c r="R34" i="15" l="1"/>
  <c r="R33" i="15"/>
  <c r="R32" i="15"/>
  <c r="R31" i="15"/>
  <c r="R30" i="15"/>
  <c r="R29" i="15"/>
  <c r="R23" i="15"/>
  <c r="R22" i="15"/>
  <c r="R21" i="15"/>
  <c r="R20" i="15"/>
  <c r="R19" i="15"/>
  <c r="R18" i="15"/>
  <c r="E7" i="15"/>
  <c r="E40" i="15"/>
  <c r="F46" i="15" l="1"/>
  <c r="G46" i="15"/>
  <c r="H46" i="15"/>
  <c r="I46" i="15"/>
  <c r="J46" i="15"/>
  <c r="K46" i="15"/>
  <c r="L46" i="15"/>
  <c r="M46" i="15"/>
  <c r="N46" i="15"/>
  <c r="O46" i="15"/>
  <c r="P46" i="15"/>
  <c r="E46" i="15"/>
  <c r="F45" i="15"/>
  <c r="G45" i="15"/>
  <c r="H45" i="15"/>
  <c r="I45" i="15"/>
  <c r="J45" i="15"/>
  <c r="K45" i="15"/>
  <c r="L45" i="15"/>
  <c r="M45" i="15"/>
  <c r="N45" i="15"/>
  <c r="O45" i="15"/>
  <c r="P45" i="15"/>
  <c r="F44" i="15"/>
  <c r="G44" i="15"/>
  <c r="H44" i="15"/>
  <c r="I44" i="15"/>
  <c r="J44" i="15"/>
  <c r="K44" i="15"/>
  <c r="L44" i="15"/>
  <c r="M44" i="15"/>
  <c r="N44" i="15"/>
  <c r="O44" i="15"/>
  <c r="P44" i="15"/>
  <c r="F43" i="15"/>
  <c r="G43" i="15"/>
  <c r="H43" i="15"/>
  <c r="I43" i="15"/>
  <c r="J43" i="15"/>
  <c r="K43" i="15"/>
  <c r="L43" i="15"/>
  <c r="M43" i="15"/>
  <c r="N43" i="15"/>
  <c r="O43" i="15"/>
  <c r="P43" i="15"/>
  <c r="F42" i="15"/>
  <c r="G42" i="15"/>
  <c r="H42" i="15"/>
  <c r="I42" i="15"/>
  <c r="J42" i="15"/>
  <c r="K42" i="15"/>
  <c r="L42" i="15"/>
  <c r="M42" i="15"/>
  <c r="N42" i="15"/>
  <c r="O42" i="15"/>
  <c r="P42" i="15"/>
  <c r="F41" i="15"/>
  <c r="G41" i="15"/>
  <c r="H41" i="15"/>
  <c r="I41" i="15"/>
  <c r="J41" i="15"/>
  <c r="K41" i="15"/>
  <c r="L41" i="15"/>
  <c r="M41" i="15"/>
  <c r="N41" i="15"/>
  <c r="O41" i="15"/>
  <c r="P41" i="15"/>
  <c r="E45" i="15"/>
  <c r="E44" i="15"/>
  <c r="E43" i="15"/>
  <c r="E42" i="15"/>
  <c r="E41" i="15"/>
  <c r="F40" i="15"/>
  <c r="G40" i="15"/>
  <c r="H40" i="15"/>
  <c r="I40" i="15"/>
  <c r="J40" i="15"/>
  <c r="K40" i="15"/>
  <c r="L40" i="15"/>
  <c r="M40" i="15"/>
  <c r="N40" i="15"/>
  <c r="O40" i="15"/>
  <c r="P40" i="15"/>
  <c r="E40" i="23"/>
  <c r="C9" i="15" l="1"/>
  <c r="F8" i="15"/>
  <c r="G8" i="15"/>
  <c r="H8" i="15"/>
  <c r="I8" i="15"/>
  <c r="J8" i="15"/>
  <c r="K8" i="15"/>
  <c r="L8" i="15"/>
  <c r="M8" i="15"/>
  <c r="N8" i="15"/>
  <c r="O8" i="15"/>
  <c r="P8" i="15"/>
  <c r="F7" i="15"/>
  <c r="G7" i="15"/>
  <c r="H7" i="15"/>
  <c r="I7" i="15"/>
  <c r="J7" i="15"/>
  <c r="K7" i="15"/>
  <c r="L7" i="15"/>
  <c r="M7" i="15"/>
  <c r="N7" i="15"/>
  <c r="O7" i="15"/>
  <c r="P7" i="15"/>
  <c r="E8" i="15"/>
  <c r="F35" i="15"/>
  <c r="G35" i="15"/>
  <c r="H35" i="15"/>
  <c r="I35" i="15"/>
  <c r="J35" i="15"/>
  <c r="K35" i="15"/>
  <c r="L35" i="15"/>
  <c r="M35" i="15"/>
  <c r="N35" i="15"/>
  <c r="O35" i="15"/>
  <c r="P35" i="15"/>
  <c r="E35" i="15"/>
  <c r="F24" i="15"/>
  <c r="G24" i="15"/>
  <c r="H24" i="15"/>
  <c r="I24" i="15"/>
  <c r="J24" i="15"/>
  <c r="K24" i="15"/>
  <c r="L24" i="15"/>
  <c r="M24" i="15"/>
  <c r="N24" i="15"/>
  <c r="O24" i="15"/>
  <c r="P24" i="15"/>
  <c r="E24" i="15"/>
  <c r="G13" i="2" l="1"/>
  <c r="R21" i="23"/>
  <c r="R20" i="23"/>
  <c r="R19" i="23"/>
  <c r="R18" i="23"/>
  <c r="D48" i="15"/>
  <c r="D47" i="15"/>
  <c r="D52" i="15"/>
  <c r="D51" i="15"/>
  <c r="D51" i="23"/>
  <c r="F50" i="15"/>
  <c r="G50" i="15"/>
  <c r="H50" i="15"/>
  <c r="I50" i="15"/>
  <c r="J50" i="15"/>
  <c r="K50" i="15"/>
  <c r="L50" i="15"/>
  <c r="M50" i="15"/>
  <c r="N50" i="15"/>
  <c r="O50" i="15"/>
  <c r="P50" i="15"/>
  <c r="E50" i="15"/>
  <c r="E50" i="23"/>
  <c r="D50" i="23"/>
  <c r="D11" i="15"/>
  <c r="D10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D8" i="15"/>
  <c r="D7" i="15"/>
  <c r="E9" i="15"/>
  <c r="D50" i="15" l="1"/>
  <c r="B13" i="5" s="1"/>
  <c r="R40" i="15"/>
  <c r="D12" i="15"/>
  <c r="I13" i="5" s="1"/>
  <c r="E7" i="23" l="1"/>
  <c r="D47" i="23"/>
  <c r="D52" i="23"/>
  <c r="F50" i="23"/>
  <c r="G50" i="23"/>
  <c r="H50" i="23"/>
  <c r="I50" i="23"/>
  <c r="J50" i="23"/>
  <c r="K50" i="23"/>
  <c r="L50" i="23"/>
  <c r="M50" i="23"/>
  <c r="N50" i="23"/>
  <c r="O50" i="23"/>
  <c r="P50" i="23"/>
  <c r="D48" i="23" l="1"/>
  <c r="F8" i="23"/>
  <c r="G8" i="23"/>
  <c r="H8" i="23"/>
  <c r="I8" i="23"/>
  <c r="J8" i="23"/>
  <c r="K8" i="23"/>
  <c r="L8" i="23"/>
  <c r="M8" i="23"/>
  <c r="N8" i="23"/>
  <c r="O8" i="23"/>
  <c r="P8" i="23"/>
  <c r="E8" i="23"/>
  <c r="F7" i="23"/>
  <c r="D7" i="23" s="1"/>
  <c r="G7" i="23"/>
  <c r="H7" i="23"/>
  <c r="I7" i="23"/>
  <c r="J7" i="23"/>
  <c r="K7" i="23"/>
  <c r="L7" i="23"/>
  <c r="M7" i="23"/>
  <c r="N7" i="23"/>
  <c r="O7" i="23"/>
  <c r="P7" i="23"/>
  <c r="D8" i="23" l="1"/>
  <c r="C9" i="23" s="1"/>
  <c r="D10" i="23"/>
  <c r="E24" i="23" l="1"/>
  <c r="D17" i="7"/>
  <c r="H27" i="2"/>
  <c r="I12" i="2"/>
  <c r="D50" i="21"/>
  <c r="B11" i="5" s="1"/>
  <c r="T40" i="21"/>
  <c r="T39" i="21"/>
  <c r="R41" i="21"/>
  <c r="R40" i="21"/>
  <c r="E40" i="21"/>
  <c r="T18" i="21"/>
  <c r="R23" i="21"/>
  <c r="R22" i="21"/>
  <c r="R21" i="21"/>
  <c r="R20" i="21"/>
  <c r="R19" i="21"/>
  <c r="R18" i="21"/>
  <c r="S17" i="23"/>
  <c r="D15" i="21"/>
  <c r="R17" i="21"/>
  <c r="R39" i="21" s="1"/>
  <c r="E44" i="21"/>
  <c r="T22" i="21"/>
  <c r="T20" i="21"/>
  <c r="T19" i="21"/>
  <c r="T17" i="21"/>
  <c r="P24" i="20"/>
  <c r="G24" i="20"/>
  <c r="E24" i="20"/>
  <c r="D15" i="20"/>
  <c r="S45" i="23"/>
  <c r="S44" i="23"/>
  <c r="S43" i="23"/>
  <c r="S42" i="23"/>
  <c r="S41" i="23"/>
  <c r="S40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R34" i="23"/>
  <c r="R33" i="23"/>
  <c r="R32" i="23"/>
  <c r="R31" i="23"/>
  <c r="R30" i="23"/>
  <c r="R29" i="23"/>
  <c r="R40" i="23" s="1"/>
  <c r="S28" i="23"/>
  <c r="S39" i="23" s="1"/>
  <c r="P24" i="23"/>
  <c r="O24" i="23"/>
  <c r="N24" i="23"/>
  <c r="M24" i="23"/>
  <c r="L24" i="23"/>
  <c r="K24" i="23"/>
  <c r="J24" i="23"/>
  <c r="I24" i="23"/>
  <c r="H24" i="23"/>
  <c r="G24" i="23"/>
  <c r="F24" i="23"/>
  <c r="R2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1" i="23"/>
  <c r="P9" i="23"/>
  <c r="J9" i="23"/>
  <c r="I9" i="23"/>
  <c r="H9" i="23"/>
  <c r="O9" i="23"/>
  <c r="N9" i="23"/>
  <c r="M9" i="23"/>
  <c r="L9" i="23"/>
  <c r="K9" i="23"/>
  <c r="G9" i="23"/>
  <c r="F9" i="23"/>
  <c r="E9" i="23"/>
  <c r="D12" i="21"/>
  <c r="E9" i="21"/>
  <c r="D9" i="21" s="1"/>
  <c r="I15" i="5"/>
  <c r="H16" i="5"/>
  <c r="P46" i="22"/>
  <c r="O46" i="22"/>
  <c r="N46" i="22"/>
  <c r="M46" i="22"/>
  <c r="L46" i="22"/>
  <c r="K46" i="22"/>
  <c r="J46" i="22"/>
  <c r="I46" i="22"/>
  <c r="H46" i="22"/>
  <c r="D46" i="22" s="1"/>
  <c r="G46" i="22"/>
  <c r="F46" i="22"/>
  <c r="E46" i="22"/>
  <c r="S42" i="22"/>
  <c r="R42" i="22"/>
  <c r="S41" i="22"/>
  <c r="S40" i="22"/>
  <c r="S39" i="22"/>
  <c r="S38" i="22"/>
  <c r="S37" i="22"/>
  <c r="R37" i="22"/>
  <c r="S36" i="22"/>
  <c r="R31" i="22"/>
  <c r="T31" i="22" s="1"/>
  <c r="R30" i="22"/>
  <c r="T30" i="22" s="1"/>
  <c r="R29" i="22"/>
  <c r="R40" i="22" s="1"/>
  <c r="R28" i="22"/>
  <c r="R27" i="22"/>
  <c r="R38" i="22" s="1"/>
  <c r="R26" i="22"/>
  <c r="S25" i="22"/>
  <c r="T25" i="22" s="1"/>
  <c r="T28" i="22" s="1"/>
  <c r="R25" i="22"/>
  <c r="R20" i="22"/>
  <c r="R19" i="22"/>
  <c r="R18" i="22"/>
  <c r="R17" i="22"/>
  <c r="R16" i="22"/>
  <c r="R15" i="22"/>
  <c r="S14" i="22"/>
  <c r="D12" i="22"/>
  <c r="P9" i="22"/>
  <c r="O9" i="22"/>
  <c r="N9" i="22"/>
  <c r="M9" i="22"/>
  <c r="L9" i="22"/>
  <c r="K9" i="22"/>
  <c r="J9" i="22"/>
  <c r="I9" i="22"/>
  <c r="D9" i="22" s="1"/>
  <c r="H9" i="22"/>
  <c r="G9" i="22"/>
  <c r="F9" i="22"/>
  <c r="E9" i="22"/>
  <c r="D8" i="22"/>
  <c r="D7" i="22"/>
  <c r="K27" i="2"/>
  <c r="L27" i="2"/>
  <c r="M27" i="2"/>
  <c r="I16" i="2"/>
  <c r="G16" i="2"/>
  <c r="I10" i="2"/>
  <c r="I11" i="2"/>
  <c r="D9" i="23" l="1"/>
  <c r="H45" i="23"/>
  <c r="H40" i="23"/>
  <c r="H41" i="23"/>
  <c r="H42" i="23"/>
  <c r="H43" i="23"/>
  <c r="H44" i="23"/>
  <c r="L45" i="23"/>
  <c r="L40" i="23"/>
  <c r="L41" i="23"/>
  <c r="L42" i="23"/>
  <c r="L43" i="23"/>
  <c r="L44" i="23"/>
  <c r="P40" i="23"/>
  <c r="P41" i="23"/>
  <c r="P42" i="23"/>
  <c r="P43" i="23"/>
  <c r="P44" i="23"/>
  <c r="P45" i="23"/>
  <c r="E41" i="23"/>
  <c r="E42" i="23"/>
  <c r="E43" i="23"/>
  <c r="E44" i="23"/>
  <c r="E45" i="23"/>
  <c r="D12" i="23"/>
  <c r="I40" i="23"/>
  <c r="I41" i="23"/>
  <c r="I42" i="23"/>
  <c r="I43" i="23"/>
  <c r="I44" i="23"/>
  <c r="I45" i="23"/>
  <c r="M40" i="23"/>
  <c r="M41" i="23"/>
  <c r="M42" i="23"/>
  <c r="M43" i="23"/>
  <c r="M44" i="23"/>
  <c r="M45" i="23"/>
  <c r="F44" i="23"/>
  <c r="F40" i="23"/>
  <c r="F41" i="23"/>
  <c r="F42" i="23"/>
  <c r="F43" i="23"/>
  <c r="F45" i="23"/>
  <c r="J42" i="23"/>
  <c r="J43" i="23"/>
  <c r="J45" i="23"/>
  <c r="J40" i="23"/>
  <c r="J41" i="23"/>
  <c r="J44" i="23"/>
  <c r="N44" i="23"/>
  <c r="N40" i="23"/>
  <c r="N41" i="23"/>
  <c r="N42" i="23"/>
  <c r="N43" i="23"/>
  <c r="N45" i="23"/>
  <c r="G40" i="23"/>
  <c r="G41" i="23"/>
  <c r="G42" i="23"/>
  <c r="G43" i="23"/>
  <c r="G44" i="23"/>
  <c r="G45" i="23"/>
  <c r="K40" i="23"/>
  <c r="K41" i="23"/>
  <c r="K42" i="23"/>
  <c r="K43" i="23"/>
  <c r="K44" i="23"/>
  <c r="K45" i="23"/>
  <c r="O40" i="23"/>
  <c r="O41" i="23"/>
  <c r="O42" i="23"/>
  <c r="O43" i="23"/>
  <c r="O44" i="23"/>
  <c r="O45" i="23"/>
  <c r="R43" i="23"/>
  <c r="R44" i="23"/>
  <c r="R23" i="23"/>
  <c r="R45" i="23" s="1"/>
  <c r="B12" i="5"/>
  <c r="C12" i="6" s="1"/>
  <c r="D12" i="6" s="1"/>
  <c r="R42" i="23"/>
  <c r="H12" i="5"/>
  <c r="I12" i="5"/>
  <c r="R28" i="23"/>
  <c r="R41" i="23"/>
  <c r="T26" i="22"/>
  <c r="T29" i="22"/>
  <c r="T27" i="22"/>
  <c r="R41" i="22"/>
  <c r="R39" i="22"/>
  <c r="R14" i="22"/>
  <c r="R36" i="22" s="1"/>
  <c r="T36" i="22" s="1"/>
  <c r="J34" i="2"/>
  <c r="D49" i="20"/>
  <c r="D10" i="21"/>
  <c r="E24" i="21"/>
  <c r="E46" i="23" l="1"/>
  <c r="T28" i="23"/>
  <c r="R17" i="23"/>
  <c r="T17" i="23" s="1"/>
  <c r="O46" i="23"/>
  <c r="F46" i="23"/>
  <c r="P46" i="23"/>
  <c r="H46" i="23"/>
  <c r="J46" i="23"/>
  <c r="G46" i="23"/>
  <c r="I46" i="23"/>
  <c r="L46" i="23"/>
  <c r="K46" i="23"/>
  <c r="T34" i="23"/>
  <c r="T30" i="23"/>
  <c r="N46" i="23"/>
  <c r="M46" i="23"/>
  <c r="T31" i="23"/>
  <c r="T33" i="23"/>
  <c r="T29" i="23"/>
  <c r="T32" i="23"/>
  <c r="T42" i="22"/>
  <c r="T37" i="22"/>
  <c r="T40" i="22"/>
  <c r="T38" i="22"/>
  <c r="T14" i="22"/>
  <c r="T39" i="22"/>
  <c r="T41" i="22"/>
  <c r="D9" i="20"/>
  <c r="F50" i="21"/>
  <c r="D7" i="21"/>
  <c r="T19" i="23" l="1"/>
  <c r="T18" i="23"/>
  <c r="R39" i="23"/>
  <c r="T20" i="23"/>
  <c r="T21" i="23"/>
  <c r="T22" i="23"/>
  <c r="T39" i="23"/>
  <c r="T23" i="23"/>
  <c r="T18" i="22"/>
  <c r="T19" i="22"/>
  <c r="T20" i="22"/>
  <c r="T15" i="22"/>
  <c r="T17" i="22"/>
  <c r="T16" i="22"/>
  <c r="G11" i="2"/>
  <c r="I11" i="5"/>
  <c r="D52" i="21"/>
  <c r="D51" i="21"/>
  <c r="E50" i="21"/>
  <c r="F45" i="21"/>
  <c r="G45" i="21"/>
  <c r="H45" i="21"/>
  <c r="I45" i="21"/>
  <c r="J45" i="21"/>
  <c r="K45" i="21"/>
  <c r="L45" i="21"/>
  <c r="M45" i="21"/>
  <c r="N45" i="21"/>
  <c r="O45" i="21"/>
  <c r="P45" i="21"/>
  <c r="F44" i="21"/>
  <c r="G44" i="21"/>
  <c r="H44" i="21"/>
  <c r="I44" i="21"/>
  <c r="J44" i="21"/>
  <c r="K44" i="21"/>
  <c r="L44" i="21"/>
  <c r="M44" i="21"/>
  <c r="N44" i="21"/>
  <c r="O44" i="21"/>
  <c r="P44" i="21"/>
  <c r="F43" i="21"/>
  <c r="G43" i="21"/>
  <c r="H43" i="21"/>
  <c r="I43" i="21"/>
  <c r="J43" i="21"/>
  <c r="K43" i="21"/>
  <c r="L43" i="21"/>
  <c r="M43" i="21"/>
  <c r="N43" i="21"/>
  <c r="O43" i="21"/>
  <c r="P43" i="21"/>
  <c r="F42" i="21"/>
  <c r="G42" i="21"/>
  <c r="H42" i="21"/>
  <c r="I42" i="21"/>
  <c r="J42" i="21"/>
  <c r="K42" i="21"/>
  <c r="L42" i="21"/>
  <c r="M42" i="21"/>
  <c r="N42" i="21"/>
  <c r="O42" i="21"/>
  <c r="P42" i="21"/>
  <c r="E45" i="21"/>
  <c r="E43" i="21"/>
  <c r="E42" i="21"/>
  <c r="F41" i="21"/>
  <c r="G41" i="21"/>
  <c r="H41" i="21"/>
  <c r="I41" i="21"/>
  <c r="J41" i="21"/>
  <c r="K41" i="21"/>
  <c r="L41" i="21"/>
  <c r="M41" i="21"/>
  <c r="N41" i="21"/>
  <c r="O41" i="21"/>
  <c r="P41" i="21"/>
  <c r="E41" i="21"/>
  <c r="F40" i="21"/>
  <c r="G40" i="21"/>
  <c r="H40" i="21"/>
  <c r="I40" i="21"/>
  <c r="J40" i="21"/>
  <c r="K40" i="21"/>
  <c r="L40" i="21"/>
  <c r="M40" i="21"/>
  <c r="N40" i="21"/>
  <c r="O40" i="21"/>
  <c r="P40" i="21"/>
  <c r="T42" i="23" l="1"/>
  <c r="I23" i="5" s="1"/>
  <c r="T40" i="23"/>
  <c r="T45" i="23"/>
  <c r="I26" i="5"/>
  <c r="T44" i="23"/>
  <c r="I25" i="5" s="1"/>
  <c r="T41" i="23"/>
  <c r="I22" i="5" s="1"/>
  <c r="I21" i="5"/>
  <c r="T43" i="23"/>
  <c r="I24" i="5" s="1"/>
  <c r="E46" i="21"/>
  <c r="G50" i="21"/>
  <c r="I50" i="21"/>
  <c r="J50" i="21"/>
  <c r="K50" i="21"/>
  <c r="L50" i="21"/>
  <c r="M50" i="21"/>
  <c r="N50" i="21"/>
  <c r="O50" i="21"/>
  <c r="P50" i="21"/>
  <c r="I28" i="5" l="1"/>
  <c r="I22" i="2"/>
  <c r="C11" i="6"/>
  <c r="D11" i="6" s="1"/>
  <c r="G27" i="2"/>
  <c r="C9" i="20"/>
  <c r="E7" i="21"/>
  <c r="D8" i="7"/>
  <c r="D48" i="21"/>
  <c r="D47" i="21"/>
  <c r="S45" i="21"/>
  <c r="S44" i="21"/>
  <c r="S43" i="21"/>
  <c r="S42" i="21"/>
  <c r="S41" i="21"/>
  <c r="S40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R34" i="21"/>
  <c r="R33" i="21"/>
  <c r="R32" i="21"/>
  <c r="R31" i="21"/>
  <c r="R30" i="21"/>
  <c r="R29" i="21"/>
  <c r="S28" i="21"/>
  <c r="S39" i="21" s="1"/>
  <c r="P24" i="21"/>
  <c r="O24" i="21"/>
  <c r="N24" i="21"/>
  <c r="M24" i="21"/>
  <c r="L24" i="21"/>
  <c r="K24" i="21"/>
  <c r="J24" i="21"/>
  <c r="I24" i="21"/>
  <c r="H24" i="21"/>
  <c r="G24" i="21"/>
  <c r="F24" i="21"/>
  <c r="S17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1" i="21"/>
  <c r="P8" i="21"/>
  <c r="O8" i="21"/>
  <c r="N8" i="21"/>
  <c r="M8" i="21"/>
  <c r="L8" i="21"/>
  <c r="K8" i="21"/>
  <c r="J8" i="21"/>
  <c r="I8" i="21"/>
  <c r="H8" i="21"/>
  <c r="G8" i="21"/>
  <c r="F8" i="21"/>
  <c r="E8" i="21"/>
  <c r="P7" i="21"/>
  <c r="P9" i="21" s="1"/>
  <c r="O7" i="21"/>
  <c r="N7" i="21"/>
  <c r="N9" i="21" s="1"/>
  <c r="M7" i="21"/>
  <c r="M9" i="21" s="1"/>
  <c r="L7" i="21"/>
  <c r="L9" i="21" s="1"/>
  <c r="K7" i="21"/>
  <c r="J7" i="21"/>
  <c r="I7" i="21"/>
  <c r="H7" i="21"/>
  <c r="H9" i="21" s="1"/>
  <c r="G7" i="21"/>
  <c r="F7" i="21"/>
  <c r="F9" i="21" s="1"/>
  <c r="D11" i="20"/>
  <c r="D10" i="20"/>
  <c r="S28" i="20"/>
  <c r="O50" i="20"/>
  <c r="D47" i="20"/>
  <c r="D50" i="20"/>
  <c r="B10" i="5"/>
  <c r="D48" i="20"/>
  <c r="S45" i="20"/>
  <c r="S44" i="20"/>
  <c r="S43" i="20"/>
  <c r="S42" i="20"/>
  <c r="S41" i="20"/>
  <c r="S40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R34" i="20"/>
  <c r="R33" i="20"/>
  <c r="R32" i="20"/>
  <c r="R31" i="20"/>
  <c r="R30" i="20"/>
  <c r="R29" i="20"/>
  <c r="O24" i="20"/>
  <c r="N24" i="20"/>
  <c r="M24" i="20"/>
  <c r="L24" i="20"/>
  <c r="K24" i="20"/>
  <c r="J24" i="20"/>
  <c r="I24" i="20"/>
  <c r="H24" i="20"/>
  <c r="F24" i="20"/>
  <c r="R23" i="20"/>
  <c r="R22" i="20"/>
  <c r="R21" i="20"/>
  <c r="R20" i="20"/>
  <c r="R19" i="20"/>
  <c r="R18" i="20"/>
  <c r="S17" i="20"/>
  <c r="P12" i="20"/>
  <c r="O12" i="20"/>
  <c r="N12" i="20"/>
  <c r="M12" i="20"/>
  <c r="M44" i="20"/>
  <c r="L12" i="20"/>
  <c r="L43" i="20"/>
  <c r="K12" i="20"/>
  <c r="K42" i="20"/>
  <c r="J12" i="20"/>
  <c r="J45" i="20"/>
  <c r="I12" i="20"/>
  <c r="I44" i="20"/>
  <c r="H12" i="20"/>
  <c r="H43" i="20"/>
  <c r="G12" i="20"/>
  <c r="G42" i="20"/>
  <c r="F12" i="20"/>
  <c r="F45" i="20"/>
  <c r="E12" i="20"/>
  <c r="E44" i="20"/>
  <c r="P8" i="20"/>
  <c r="O8" i="20"/>
  <c r="N8" i="20"/>
  <c r="M8" i="20"/>
  <c r="L8" i="20"/>
  <c r="K8" i="20"/>
  <c r="J8" i="20"/>
  <c r="I8" i="20"/>
  <c r="H8" i="20"/>
  <c r="G8" i="20"/>
  <c r="F8" i="20"/>
  <c r="E8" i="20"/>
  <c r="P7" i="20"/>
  <c r="O7" i="20"/>
  <c r="O9" i="20"/>
  <c r="N7" i="20"/>
  <c r="N9" i="20"/>
  <c r="M7" i="20"/>
  <c r="L7" i="20"/>
  <c r="K7" i="20"/>
  <c r="J7" i="20"/>
  <c r="J9" i="20"/>
  <c r="I7" i="20"/>
  <c r="H7" i="20"/>
  <c r="G7" i="20"/>
  <c r="F7" i="20"/>
  <c r="F9" i="20"/>
  <c r="E7" i="20"/>
  <c r="P43" i="20"/>
  <c r="P40" i="20"/>
  <c r="O42" i="20"/>
  <c r="O40" i="20"/>
  <c r="N45" i="20"/>
  <c r="N40" i="20"/>
  <c r="E9" i="20"/>
  <c r="D8" i="20"/>
  <c r="I9" i="20"/>
  <c r="M9" i="20"/>
  <c r="M41" i="20"/>
  <c r="G9" i="20"/>
  <c r="K9" i="20"/>
  <c r="G43" i="20"/>
  <c r="O41" i="20"/>
  <c r="H9" i="20"/>
  <c r="L9" i="20"/>
  <c r="P9" i="20"/>
  <c r="G41" i="20"/>
  <c r="G45" i="20"/>
  <c r="R40" i="20"/>
  <c r="R44" i="20"/>
  <c r="I41" i="20"/>
  <c r="M43" i="20"/>
  <c r="K45" i="20"/>
  <c r="I43" i="20"/>
  <c r="R17" i="20"/>
  <c r="T17" i="20"/>
  <c r="T22" i="20"/>
  <c r="K41" i="20"/>
  <c r="O45" i="20"/>
  <c r="R42" i="20"/>
  <c r="E41" i="20"/>
  <c r="E43" i="20"/>
  <c r="F40" i="20"/>
  <c r="J40" i="20"/>
  <c r="H42" i="20"/>
  <c r="L42" i="20"/>
  <c r="P42" i="20"/>
  <c r="R43" i="20"/>
  <c r="F44" i="20"/>
  <c r="J44" i="20"/>
  <c r="N44" i="20"/>
  <c r="R28" i="20"/>
  <c r="S39" i="20"/>
  <c r="G40" i="20"/>
  <c r="K40" i="20"/>
  <c r="H41" i="20"/>
  <c r="L41" i="20"/>
  <c r="P41" i="20"/>
  <c r="E42" i="20"/>
  <c r="I42" i="20"/>
  <c r="M42" i="20"/>
  <c r="F43" i="20"/>
  <c r="J43" i="20"/>
  <c r="N43" i="20"/>
  <c r="G44" i="20"/>
  <c r="K44" i="20"/>
  <c r="O44" i="20"/>
  <c r="H45" i="20"/>
  <c r="L45" i="20"/>
  <c r="P45" i="20"/>
  <c r="K43" i="20"/>
  <c r="O43" i="20"/>
  <c r="H44" i="20"/>
  <c r="L44" i="20"/>
  <c r="P44" i="20"/>
  <c r="E45" i="20"/>
  <c r="I45" i="20"/>
  <c r="M45" i="20"/>
  <c r="R45" i="20"/>
  <c r="D7" i="20"/>
  <c r="H40" i="20"/>
  <c r="L40" i="20"/>
  <c r="R41" i="20"/>
  <c r="F42" i="20"/>
  <c r="J42" i="20"/>
  <c r="N42" i="20"/>
  <c r="I40" i="20"/>
  <c r="M40" i="20"/>
  <c r="F41" i="20"/>
  <c r="J41" i="20"/>
  <c r="N41" i="20"/>
  <c r="E8" i="19"/>
  <c r="D11" i="19"/>
  <c r="D10" i="19"/>
  <c r="T21" i="20"/>
  <c r="I46" i="20"/>
  <c r="H46" i="20"/>
  <c r="T23" i="20"/>
  <c r="O46" i="20"/>
  <c r="T19" i="20"/>
  <c r="T18" i="20"/>
  <c r="T20" i="20"/>
  <c r="R39" i="20"/>
  <c r="T39" i="20"/>
  <c r="J46" i="20"/>
  <c r="K46" i="20"/>
  <c r="F46" i="20"/>
  <c r="M46" i="20"/>
  <c r="L46" i="20"/>
  <c r="G46" i="20"/>
  <c r="P46" i="20"/>
  <c r="N46" i="20"/>
  <c r="T28" i="20"/>
  <c r="E7" i="19"/>
  <c r="E9" i="19"/>
  <c r="D48" i="19"/>
  <c r="T40" i="20"/>
  <c r="G21" i="5"/>
  <c r="T44" i="20"/>
  <c r="G25" i="5"/>
  <c r="T41" i="20"/>
  <c r="G22" i="5"/>
  <c r="T42" i="20"/>
  <c r="G23" i="5"/>
  <c r="T45" i="20"/>
  <c r="G26" i="5"/>
  <c r="T43" i="20"/>
  <c r="G24" i="5"/>
  <c r="T34" i="20"/>
  <c r="T32" i="20"/>
  <c r="T29" i="20"/>
  <c r="T31" i="20"/>
  <c r="T30" i="20"/>
  <c r="T33" i="20"/>
  <c r="R21" i="19"/>
  <c r="R21" i="10"/>
  <c r="R31" i="10"/>
  <c r="R32" i="10"/>
  <c r="R32" i="19"/>
  <c r="R33" i="19"/>
  <c r="R34" i="19"/>
  <c r="R30" i="19"/>
  <c r="R31" i="19"/>
  <c r="R19" i="19"/>
  <c r="R20" i="19"/>
  <c r="R22" i="19"/>
  <c r="R23" i="19"/>
  <c r="D50" i="19"/>
  <c r="O12" i="19"/>
  <c r="B9" i="5"/>
  <c r="C9" i="6"/>
  <c r="D47" i="19"/>
  <c r="D49" i="19" s="1"/>
  <c r="S45" i="19"/>
  <c r="S44" i="19"/>
  <c r="S43" i="19"/>
  <c r="S42" i="19"/>
  <c r="S41" i="19"/>
  <c r="S40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R29" i="19"/>
  <c r="S28" i="19"/>
  <c r="O24" i="19"/>
  <c r="K24" i="19"/>
  <c r="F24" i="19"/>
  <c r="E24" i="19"/>
  <c r="S17" i="19"/>
  <c r="D15" i="19"/>
  <c r="P12" i="19"/>
  <c r="N12" i="19"/>
  <c r="M12" i="19"/>
  <c r="L12" i="19"/>
  <c r="K12" i="19"/>
  <c r="J12" i="19"/>
  <c r="I12" i="19"/>
  <c r="H12" i="19"/>
  <c r="G12" i="19"/>
  <c r="F12" i="19"/>
  <c r="E12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O9" i="19"/>
  <c r="N7" i="19"/>
  <c r="N9" i="19"/>
  <c r="M7" i="19"/>
  <c r="L7" i="19"/>
  <c r="K7" i="19"/>
  <c r="K9" i="19"/>
  <c r="J7" i="19"/>
  <c r="J9" i="19"/>
  <c r="I7" i="19"/>
  <c r="H7" i="19"/>
  <c r="G7" i="19"/>
  <c r="F7" i="19"/>
  <c r="L9" i="19"/>
  <c r="I9" i="19"/>
  <c r="M9" i="19"/>
  <c r="H9" i="19"/>
  <c r="P9" i="19"/>
  <c r="G9" i="19"/>
  <c r="F9" i="19"/>
  <c r="D8" i="19"/>
  <c r="S39" i="19"/>
  <c r="R43" i="19"/>
  <c r="H42" i="19"/>
  <c r="H40" i="19"/>
  <c r="H44" i="19"/>
  <c r="H45" i="19"/>
  <c r="H43" i="19"/>
  <c r="H41" i="19"/>
  <c r="R42" i="19"/>
  <c r="E44" i="19"/>
  <c r="E42" i="19"/>
  <c r="E41" i="19"/>
  <c r="E45" i="19"/>
  <c r="E40" i="19"/>
  <c r="E43" i="19"/>
  <c r="I43" i="19"/>
  <c r="I41" i="19"/>
  <c r="I42" i="19"/>
  <c r="I44" i="19"/>
  <c r="I40" i="19"/>
  <c r="I45" i="19"/>
  <c r="M43" i="19"/>
  <c r="M45" i="19"/>
  <c r="M42" i="19"/>
  <c r="M44" i="19"/>
  <c r="M40" i="19"/>
  <c r="M41" i="19"/>
  <c r="D7" i="19"/>
  <c r="G41" i="19"/>
  <c r="G45" i="19"/>
  <c r="G42" i="19"/>
  <c r="G43" i="19"/>
  <c r="G44" i="19"/>
  <c r="G40" i="19"/>
  <c r="K41" i="19"/>
  <c r="K45" i="19"/>
  <c r="K43" i="19"/>
  <c r="K44" i="19"/>
  <c r="K42" i="19"/>
  <c r="K40" i="19"/>
  <c r="O41" i="19"/>
  <c r="O45" i="19"/>
  <c r="O44" i="19"/>
  <c r="O40" i="19"/>
  <c r="O42" i="19"/>
  <c r="O43" i="19"/>
  <c r="L42" i="19"/>
  <c r="L40" i="19"/>
  <c r="L45" i="19"/>
  <c r="L43" i="19"/>
  <c r="L44" i="19"/>
  <c r="L41" i="19"/>
  <c r="P42" i="19"/>
  <c r="P40" i="19"/>
  <c r="P44" i="19"/>
  <c r="P41" i="19"/>
  <c r="P43" i="19"/>
  <c r="P45" i="19"/>
  <c r="F44" i="19"/>
  <c r="F42" i="19"/>
  <c r="F43" i="19"/>
  <c r="F41" i="19"/>
  <c r="F45" i="19"/>
  <c r="F40" i="19"/>
  <c r="J44" i="19"/>
  <c r="J40" i="19"/>
  <c r="J41" i="19"/>
  <c r="J45" i="19"/>
  <c r="J42" i="19"/>
  <c r="J43" i="19"/>
  <c r="N44" i="19"/>
  <c r="N42" i="19"/>
  <c r="N41" i="19"/>
  <c r="N45" i="19"/>
  <c r="N40" i="19"/>
  <c r="N43" i="19"/>
  <c r="J24" i="19"/>
  <c r="P24" i="19"/>
  <c r="N24" i="19"/>
  <c r="M24" i="19"/>
  <c r="L24" i="19"/>
  <c r="H24" i="19"/>
  <c r="D12" i="19"/>
  <c r="I9" i="5"/>
  <c r="R44" i="19"/>
  <c r="R41" i="19"/>
  <c r="R45" i="19"/>
  <c r="R28" i="19"/>
  <c r="D41" i="2"/>
  <c r="I6" i="6"/>
  <c r="J6" i="6"/>
  <c r="I7" i="6"/>
  <c r="J7" i="6"/>
  <c r="I8" i="6"/>
  <c r="J8" i="6"/>
  <c r="I9" i="6"/>
  <c r="J9" i="6"/>
  <c r="B16" i="5"/>
  <c r="E8" i="9"/>
  <c r="D9" i="19"/>
  <c r="C8" i="19"/>
  <c r="F46" i="19"/>
  <c r="K46" i="19"/>
  <c r="O46" i="19"/>
  <c r="M46" i="19"/>
  <c r="E46" i="19"/>
  <c r="L46" i="19"/>
  <c r="N46" i="19"/>
  <c r="P46" i="19"/>
  <c r="J46" i="19"/>
  <c r="G46" i="19"/>
  <c r="I46" i="19"/>
  <c r="H46" i="19"/>
  <c r="R18" i="19"/>
  <c r="H9" i="5"/>
  <c r="G24" i="19"/>
  <c r="T28" i="19"/>
  <c r="D40" i="2"/>
  <c r="I14" i="5"/>
  <c r="D39" i="2"/>
  <c r="D38" i="2"/>
  <c r="D37" i="2"/>
  <c r="I38" i="2" s="1"/>
  <c r="D34" i="2"/>
  <c r="C16" i="6"/>
  <c r="D16" i="6"/>
  <c r="M23" i="2"/>
  <c r="M24" i="2"/>
  <c r="M25" i="2"/>
  <c r="M26" i="2"/>
  <c r="M22" i="2"/>
  <c r="T31" i="19"/>
  <c r="T32" i="19"/>
  <c r="I24" i="19"/>
  <c r="R17" i="19"/>
  <c r="R40" i="19"/>
  <c r="T34" i="19"/>
  <c r="T29" i="19"/>
  <c r="T30" i="19"/>
  <c r="T33" i="19"/>
  <c r="T18" i="8"/>
  <c r="T19" i="8"/>
  <c r="T20" i="8"/>
  <c r="T21" i="8"/>
  <c r="T22" i="8"/>
  <c r="T23" i="8"/>
  <c r="T29" i="8"/>
  <c r="T30" i="8"/>
  <c r="T31" i="8"/>
  <c r="T32" i="8"/>
  <c r="T43" i="8"/>
  <c r="T33" i="8"/>
  <c r="T34" i="8"/>
  <c r="T45" i="8" s="1"/>
  <c r="T40" i="8"/>
  <c r="T44" i="8"/>
  <c r="P8" i="10"/>
  <c r="O8" i="10"/>
  <c r="N8" i="10"/>
  <c r="M8" i="10"/>
  <c r="L8" i="10"/>
  <c r="K8" i="10"/>
  <c r="J8" i="10"/>
  <c r="I8" i="10"/>
  <c r="H8" i="10"/>
  <c r="G8" i="10"/>
  <c r="F8" i="10"/>
  <c r="E8" i="10"/>
  <c r="P7" i="10"/>
  <c r="P9" i="10"/>
  <c r="O7" i="10"/>
  <c r="O9" i="10"/>
  <c r="N7" i="10"/>
  <c r="N9" i="10"/>
  <c r="M7" i="10"/>
  <c r="M9" i="10"/>
  <c r="L7" i="10"/>
  <c r="L9" i="10"/>
  <c r="K7" i="10"/>
  <c r="K9" i="10"/>
  <c r="J7" i="10"/>
  <c r="J9" i="10"/>
  <c r="I7" i="10"/>
  <c r="I9" i="10"/>
  <c r="H7" i="10"/>
  <c r="H9" i="10"/>
  <c r="G7" i="10"/>
  <c r="G9" i="10"/>
  <c r="F7" i="10"/>
  <c r="F9" i="10"/>
  <c r="E7" i="10"/>
  <c r="E9" i="10"/>
  <c r="F8" i="9"/>
  <c r="E7" i="9"/>
  <c r="E9" i="9"/>
  <c r="F7" i="9"/>
  <c r="P8" i="9"/>
  <c r="O8" i="9"/>
  <c r="N8" i="9"/>
  <c r="M8" i="9"/>
  <c r="L8" i="9"/>
  <c r="K8" i="9"/>
  <c r="J8" i="9"/>
  <c r="I8" i="9"/>
  <c r="H8" i="9"/>
  <c r="G8" i="9"/>
  <c r="P7" i="9"/>
  <c r="O7" i="9"/>
  <c r="O9" i="9"/>
  <c r="N7" i="9"/>
  <c r="N9" i="9"/>
  <c r="M7" i="9"/>
  <c r="M9" i="9"/>
  <c r="L7" i="9"/>
  <c r="K7" i="9"/>
  <c r="K9" i="9"/>
  <c r="J7" i="9"/>
  <c r="J9" i="9"/>
  <c r="I7" i="9"/>
  <c r="I9" i="9"/>
  <c r="H7" i="9"/>
  <c r="G7" i="9"/>
  <c r="G9" i="9" s="1"/>
  <c r="H8" i="8"/>
  <c r="I8" i="8"/>
  <c r="J8" i="8"/>
  <c r="K8" i="8"/>
  <c r="L8" i="8"/>
  <c r="M8" i="8"/>
  <c r="N8" i="8"/>
  <c r="O8" i="8"/>
  <c r="P8" i="8"/>
  <c r="G8" i="8"/>
  <c r="H7" i="8"/>
  <c r="I7" i="8"/>
  <c r="J7" i="8"/>
  <c r="J9" i="8"/>
  <c r="K7" i="8"/>
  <c r="L7" i="8"/>
  <c r="M7" i="8"/>
  <c r="N7" i="8"/>
  <c r="N9" i="8"/>
  <c r="O7" i="8"/>
  <c r="O9" i="8"/>
  <c r="P7" i="8"/>
  <c r="G7" i="8"/>
  <c r="M9" i="8"/>
  <c r="I9" i="8"/>
  <c r="F9" i="9"/>
  <c r="H9" i="9"/>
  <c r="L9" i="9"/>
  <c r="P9" i="9"/>
  <c r="T42" i="8"/>
  <c r="T17" i="19"/>
  <c r="T21" i="19"/>
  <c r="R39" i="19"/>
  <c r="T39" i="19"/>
  <c r="D9" i="10"/>
  <c r="H8" i="5"/>
  <c r="C33" i="2"/>
  <c r="T28" i="8"/>
  <c r="K9" i="8"/>
  <c r="D8" i="9"/>
  <c r="T17" i="8"/>
  <c r="D7" i="9"/>
  <c r="D7" i="8"/>
  <c r="G9" i="8"/>
  <c r="P9" i="8"/>
  <c r="L9" i="8"/>
  <c r="H9" i="8"/>
  <c r="T41" i="8"/>
  <c r="D8" i="8"/>
  <c r="D8" i="10"/>
  <c r="D7" i="10"/>
  <c r="D48" i="8"/>
  <c r="D47" i="8"/>
  <c r="D48" i="10"/>
  <c r="D47" i="10"/>
  <c r="D47" i="9"/>
  <c r="E48" i="9"/>
  <c r="F48" i="9"/>
  <c r="G48" i="9"/>
  <c r="H48" i="9"/>
  <c r="I48" i="9"/>
  <c r="J48" i="9"/>
  <c r="K50" i="9"/>
  <c r="K48" i="9"/>
  <c r="L50" i="9"/>
  <c r="L48" i="9"/>
  <c r="M50" i="9"/>
  <c r="M48" i="9"/>
  <c r="N50" i="9"/>
  <c r="N48" i="9"/>
  <c r="O50" i="9"/>
  <c r="O48" i="9"/>
  <c r="P50" i="9"/>
  <c r="P48" i="9"/>
  <c r="T39" i="8"/>
  <c r="T43" i="19"/>
  <c r="F24" i="5"/>
  <c r="T42" i="19"/>
  <c r="F23" i="5"/>
  <c r="T23" i="19"/>
  <c r="T19" i="19"/>
  <c r="T22" i="19"/>
  <c r="T18" i="19"/>
  <c r="T20" i="19"/>
  <c r="T45" i="19"/>
  <c r="F26" i="5"/>
  <c r="T41" i="19"/>
  <c r="F22" i="5"/>
  <c r="T44" i="19"/>
  <c r="F25" i="5"/>
  <c r="T40" i="19"/>
  <c r="F21" i="5"/>
  <c r="D48" i="9"/>
  <c r="D9" i="8"/>
  <c r="H6" i="5"/>
  <c r="C31" i="2"/>
  <c r="R30" i="10"/>
  <c r="R33" i="10"/>
  <c r="R34" i="10"/>
  <c r="R29" i="10"/>
  <c r="R19" i="10"/>
  <c r="R20" i="10"/>
  <c r="R22" i="10"/>
  <c r="R23" i="10"/>
  <c r="R18" i="10"/>
  <c r="R18" i="9"/>
  <c r="R30" i="9"/>
  <c r="P35" i="10"/>
  <c r="O35" i="10"/>
  <c r="N35" i="10"/>
  <c r="M35" i="10"/>
  <c r="L35" i="10"/>
  <c r="K35" i="10"/>
  <c r="J35" i="10"/>
  <c r="I35" i="10"/>
  <c r="H35" i="10"/>
  <c r="P24" i="10"/>
  <c r="O24" i="10"/>
  <c r="N24" i="10"/>
  <c r="M24" i="10"/>
  <c r="L24" i="10"/>
  <c r="K24" i="10"/>
  <c r="J24" i="10"/>
  <c r="I24" i="10"/>
  <c r="H24" i="10"/>
  <c r="P12" i="10"/>
  <c r="P42" i="10"/>
  <c r="O12" i="10"/>
  <c r="O41" i="10"/>
  <c r="N12" i="10"/>
  <c r="N44" i="10"/>
  <c r="M12" i="10"/>
  <c r="M43" i="10"/>
  <c r="L12" i="10"/>
  <c r="L42" i="10"/>
  <c r="K12" i="10"/>
  <c r="K41" i="10"/>
  <c r="J12" i="10"/>
  <c r="J44" i="10"/>
  <c r="I12" i="10"/>
  <c r="I43" i="10"/>
  <c r="H12" i="10"/>
  <c r="H42" i="10"/>
  <c r="J41" i="10"/>
  <c r="K40" i="10"/>
  <c r="I44" i="10"/>
  <c r="N45" i="10"/>
  <c r="O42" i="10"/>
  <c r="J45" i="10"/>
  <c r="K42" i="10"/>
  <c r="O40" i="10"/>
  <c r="M44" i="10"/>
  <c r="N41" i="10"/>
  <c r="N40" i="10"/>
  <c r="J40" i="10"/>
  <c r="M45" i="10"/>
  <c r="I45" i="10"/>
  <c r="P44" i="10"/>
  <c r="L44" i="10"/>
  <c r="H44" i="10"/>
  <c r="O43" i="10"/>
  <c r="K43" i="10"/>
  <c r="N42" i="10"/>
  <c r="J42" i="10"/>
  <c r="M41" i="10"/>
  <c r="I41" i="10"/>
  <c r="L43" i="10"/>
  <c r="H43" i="10"/>
  <c r="M40" i="10"/>
  <c r="I40" i="10"/>
  <c r="P45" i="10"/>
  <c r="L45" i="10"/>
  <c r="H45" i="10"/>
  <c r="O44" i="10"/>
  <c r="K44" i="10"/>
  <c r="N43" i="10"/>
  <c r="J43" i="10"/>
  <c r="M42" i="10"/>
  <c r="I42" i="10"/>
  <c r="P41" i="10"/>
  <c r="L41" i="10"/>
  <c r="H41" i="10"/>
  <c r="P43" i="10"/>
  <c r="P40" i="10"/>
  <c r="L40" i="10"/>
  <c r="H40" i="10"/>
  <c r="O45" i="10"/>
  <c r="K45" i="10"/>
  <c r="K46" i="10"/>
  <c r="O46" i="10"/>
  <c r="J46" i="10"/>
  <c r="I46" i="10"/>
  <c r="N46" i="10"/>
  <c r="L46" i="10"/>
  <c r="M46" i="10"/>
  <c r="P46" i="10"/>
  <c r="D50" i="9"/>
  <c r="E35" i="10"/>
  <c r="F35" i="10"/>
  <c r="E24" i="10"/>
  <c r="F24" i="10"/>
  <c r="D10" i="10"/>
  <c r="D11" i="10"/>
  <c r="D10" i="8"/>
  <c r="D11" i="8"/>
  <c r="D10" i="9"/>
  <c r="D11" i="9"/>
  <c r="S40" i="8"/>
  <c r="S28" i="8"/>
  <c r="S17" i="8"/>
  <c r="S39" i="8"/>
  <c r="R18" i="8"/>
  <c r="R31" i="9"/>
  <c r="R32" i="9"/>
  <c r="R33" i="9"/>
  <c r="R34" i="9"/>
  <c r="R29" i="9"/>
  <c r="R19" i="9"/>
  <c r="R20" i="9"/>
  <c r="R21" i="9"/>
  <c r="R22" i="9"/>
  <c r="R23" i="9"/>
  <c r="R30" i="8"/>
  <c r="U30" i="8"/>
  <c r="R31" i="8"/>
  <c r="U31" i="8"/>
  <c r="R32" i="8"/>
  <c r="U32" i="8"/>
  <c r="R33" i="8"/>
  <c r="U33" i="8"/>
  <c r="R34" i="8"/>
  <c r="U34" i="8"/>
  <c r="R29" i="8"/>
  <c r="U29" i="8"/>
  <c r="R19" i="8"/>
  <c r="U19" i="8"/>
  <c r="U41" i="8"/>
  <c r="R20" i="8"/>
  <c r="U20" i="8"/>
  <c r="U42" i="8"/>
  <c r="R21" i="8"/>
  <c r="U21" i="8"/>
  <c r="R22" i="8"/>
  <c r="U22" i="8"/>
  <c r="R23" i="8"/>
  <c r="U23" i="8"/>
  <c r="F50" i="10"/>
  <c r="E50" i="10"/>
  <c r="F12" i="10"/>
  <c r="E12" i="10"/>
  <c r="F12" i="9"/>
  <c r="E12" i="9"/>
  <c r="D50" i="10"/>
  <c r="F44" i="10"/>
  <c r="F41" i="10"/>
  <c r="F45" i="10"/>
  <c r="F43" i="10"/>
  <c r="F42" i="10"/>
  <c r="F40" i="10"/>
  <c r="E42" i="10"/>
  <c r="E44" i="10"/>
  <c r="E40" i="10"/>
  <c r="E41" i="10"/>
  <c r="E43" i="10"/>
  <c r="E45" i="10"/>
  <c r="F41" i="9"/>
  <c r="F45" i="9"/>
  <c r="F44" i="9"/>
  <c r="F40" i="9"/>
  <c r="F43" i="9"/>
  <c r="F42" i="9"/>
  <c r="E41" i="9"/>
  <c r="E42" i="9"/>
  <c r="E43" i="9"/>
  <c r="E44" i="9"/>
  <c r="E45" i="9"/>
  <c r="E40" i="9"/>
  <c r="U43" i="8"/>
  <c r="U45" i="8"/>
  <c r="U44" i="8"/>
  <c r="R17" i="8"/>
  <c r="U17" i="8"/>
  <c r="R40" i="8"/>
  <c r="U18" i="8"/>
  <c r="U40" i="8"/>
  <c r="R17" i="10"/>
  <c r="R44" i="8"/>
  <c r="R41" i="8"/>
  <c r="R42" i="8"/>
  <c r="R45" i="8"/>
  <c r="R43" i="8"/>
  <c r="V17" i="8"/>
  <c r="V18" i="8"/>
  <c r="G50" i="8"/>
  <c r="L12" i="8"/>
  <c r="L41" i="8"/>
  <c r="L45" i="8"/>
  <c r="L43" i="8"/>
  <c r="L42" i="8"/>
  <c r="L40" i="8"/>
  <c r="L44" i="8"/>
  <c r="O25" i="2"/>
  <c r="O24" i="2"/>
  <c r="O22" i="2"/>
  <c r="G35" i="10"/>
  <c r="G24" i="10"/>
  <c r="P46" i="17"/>
  <c r="O46" i="17"/>
  <c r="N46" i="17"/>
  <c r="M46" i="17"/>
  <c r="L46" i="17"/>
  <c r="K46" i="17"/>
  <c r="J46" i="17"/>
  <c r="I46" i="17"/>
  <c r="H46" i="17"/>
  <c r="G46" i="17"/>
  <c r="F46" i="17"/>
  <c r="E46" i="17"/>
  <c r="S42" i="17"/>
  <c r="S41" i="17"/>
  <c r="S40" i="17"/>
  <c r="S39" i="17"/>
  <c r="S38" i="17"/>
  <c r="S37" i="17"/>
  <c r="R31" i="17"/>
  <c r="R30" i="17"/>
  <c r="R29" i="17"/>
  <c r="R28" i="17"/>
  <c r="R27" i="17"/>
  <c r="R26" i="17"/>
  <c r="S25" i="17"/>
  <c r="R20" i="17"/>
  <c r="R19" i="17"/>
  <c r="R18" i="17"/>
  <c r="R17" i="17"/>
  <c r="R16" i="17"/>
  <c r="R15" i="17"/>
  <c r="S14" i="17"/>
  <c r="D12" i="17"/>
  <c r="P9" i="17"/>
  <c r="O9" i="17"/>
  <c r="N9" i="17"/>
  <c r="M9" i="17"/>
  <c r="L9" i="17"/>
  <c r="K9" i="17"/>
  <c r="J9" i="17"/>
  <c r="I9" i="17"/>
  <c r="H9" i="17"/>
  <c r="G9" i="17"/>
  <c r="F9" i="17"/>
  <c r="E9" i="17"/>
  <c r="D8" i="17"/>
  <c r="D7" i="17"/>
  <c r="P46" i="16"/>
  <c r="O46" i="16"/>
  <c r="N46" i="16"/>
  <c r="M46" i="16"/>
  <c r="L46" i="16"/>
  <c r="K46" i="16"/>
  <c r="J46" i="16"/>
  <c r="I46" i="16"/>
  <c r="H46" i="16"/>
  <c r="G46" i="16"/>
  <c r="F46" i="16"/>
  <c r="E46" i="16"/>
  <c r="S42" i="16"/>
  <c r="S41" i="16"/>
  <c r="S40" i="16"/>
  <c r="S39" i="16"/>
  <c r="S38" i="16"/>
  <c r="S37" i="16"/>
  <c r="R31" i="16"/>
  <c r="R30" i="16"/>
  <c r="R29" i="16"/>
  <c r="R28" i="16"/>
  <c r="R27" i="16"/>
  <c r="R26" i="16"/>
  <c r="S25" i="16"/>
  <c r="R20" i="16"/>
  <c r="R19" i="16"/>
  <c r="R18" i="16"/>
  <c r="R17" i="16"/>
  <c r="R16" i="16"/>
  <c r="R15" i="16"/>
  <c r="S14" i="16"/>
  <c r="D12" i="16"/>
  <c r="P9" i="16"/>
  <c r="O9" i="16"/>
  <c r="N9" i="16"/>
  <c r="M9" i="16"/>
  <c r="L9" i="16"/>
  <c r="K9" i="16"/>
  <c r="J9" i="16"/>
  <c r="I9" i="16"/>
  <c r="H9" i="16"/>
  <c r="G9" i="16"/>
  <c r="F9" i="16"/>
  <c r="E9" i="16"/>
  <c r="D8" i="16"/>
  <c r="D7" i="16"/>
  <c r="S45" i="15"/>
  <c r="S44" i="15"/>
  <c r="S43" i="15"/>
  <c r="S42" i="15"/>
  <c r="S41" i="15"/>
  <c r="S40" i="15"/>
  <c r="S28" i="15"/>
  <c r="S17" i="15"/>
  <c r="P9" i="15"/>
  <c r="O9" i="15"/>
  <c r="N9" i="15"/>
  <c r="M9" i="15"/>
  <c r="L9" i="15"/>
  <c r="K9" i="15"/>
  <c r="J9" i="15"/>
  <c r="I9" i="15"/>
  <c r="H9" i="15"/>
  <c r="G9" i="15"/>
  <c r="F9" i="15"/>
  <c r="P46" i="13"/>
  <c r="O46" i="13"/>
  <c r="N46" i="13"/>
  <c r="M46" i="13"/>
  <c r="L46" i="13"/>
  <c r="K46" i="13"/>
  <c r="J46" i="13"/>
  <c r="I46" i="13"/>
  <c r="H46" i="13"/>
  <c r="G46" i="13"/>
  <c r="F46" i="13"/>
  <c r="E46" i="13"/>
  <c r="S42" i="13"/>
  <c r="S41" i="13"/>
  <c r="S40" i="13"/>
  <c r="S39" i="13"/>
  <c r="S38" i="13"/>
  <c r="S37" i="13"/>
  <c r="R31" i="13"/>
  <c r="R30" i="13"/>
  <c r="R29" i="13"/>
  <c r="R28" i="13"/>
  <c r="R27" i="13"/>
  <c r="R26" i="13"/>
  <c r="S25" i="13"/>
  <c r="R20" i="13"/>
  <c r="R19" i="13"/>
  <c r="R18" i="13"/>
  <c r="R17" i="13"/>
  <c r="R16" i="13"/>
  <c r="R15" i="13"/>
  <c r="S14" i="13"/>
  <c r="D12" i="13"/>
  <c r="P9" i="13"/>
  <c r="O9" i="13"/>
  <c r="N9" i="13"/>
  <c r="M9" i="13"/>
  <c r="L9" i="13"/>
  <c r="K9" i="13"/>
  <c r="J9" i="13"/>
  <c r="I9" i="13"/>
  <c r="H9" i="13"/>
  <c r="G9" i="13"/>
  <c r="F9" i="13"/>
  <c r="E9" i="13"/>
  <c r="D8" i="13"/>
  <c r="D7" i="13"/>
  <c r="P46" i="11"/>
  <c r="O46" i="11"/>
  <c r="N46" i="11"/>
  <c r="M46" i="11"/>
  <c r="L46" i="11"/>
  <c r="K46" i="11"/>
  <c r="J46" i="11"/>
  <c r="I46" i="11"/>
  <c r="H46" i="11"/>
  <c r="G46" i="11"/>
  <c r="F46" i="11"/>
  <c r="E46" i="11"/>
  <c r="S42" i="11"/>
  <c r="S41" i="11"/>
  <c r="S40" i="11"/>
  <c r="S39" i="11"/>
  <c r="S38" i="11"/>
  <c r="S37" i="11"/>
  <c r="R31" i="11"/>
  <c r="R30" i="11"/>
  <c r="R29" i="11"/>
  <c r="R28" i="11"/>
  <c r="R27" i="11"/>
  <c r="R26" i="11"/>
  <c r="S25" i="11"/>
  <c r="R20" i="11"/>
  <c r="R19" i="11"/>
  <c r="R18" i="11"/>
  <c r="R17" i="11"/>
  <c r="R16" i="11"/>
  <c r="R15" i="11"/>
  <c r="S14" i="11"/>
  <c r="D12" i="11"/>
  <c r="P9" i="11"/>
  <c r="O9" i="11"/>
  <c r="N9" i="11"/>
  <c r="M9" i="11"/>
  <c r="L9" i="11"/>
  <c r="K9" i="11"/>
  <c r="J9" i="11"/>
  <c r="I9" i="11"/>
  <c r="H9" i="11"/>
  <c r="G9" i="11"/>
  <c r="F9" i="11"/>
  <c r="E9" i="11"/>
  <c r="D8" i="11"/>
  <c r="D7" i="11"/>
  <c r="B8" i="5"/>
  <c r="S45" i="10"/>
  <c r="S44" i="10"/>
  <c r="S43" i="10"/>
  <c r="S42" i="10"/>
  <c r="S41" i="10"/>
  <c r="S40" i="10"/>
  <c r="S28" i="10"/>
  <c r="S17" i="10"/>
  <c r="D15" i="10"/>
  <c r="G12" i="10"/>
  <c r="B7" i="5"/>
  <c r="S45" i="9"/>
  <c r="S44" i="9"/>
  <c r="S43" i="9"/>
  <c r="S42" i="9"/>
  <c r="S41" i="9"/>
  <c r="S40" i="9"/>
  <c r="S28" i="9"/>
  <c r="S17" i="9"/>
  <c r="D15" i="9"/>
  <c r="P12" i="9"/>
  <c r="O12" i="9"/>
  <c r="N12" i="9"/>
  <c r="M12" i="9"/>
  <c r="L12" i="9"/>
  <c r="K12" i="9"/>
  <c r="J12" i="9"/>
  <c r="I12" i="9"/>
  <c r="H12" i="9"/>
  <c r="G12" i="9"/>
  <c r="G41" i="10"/>
  <c r="G45" i="10"/>
  <c r="G42" i="10"/>
  <c r="G44" i="10"/>
  <c r="G40" i="10"/>
  <c r="G43" i="10"/>
  <c r="D12" i="10"/>
  <c r="I8" i="5"/>
  <c r="D33" i="2"/>
  <c r="O42" i="9"/>
  <c r="O43" i="9"/>
  <c r="O40" i="9"/>
  <c r="O41" i="9"/>
  <c r="O45" i="9"/>
  <c r="O44" i="9"/>
  <c r="H43" i="9"/>
  <c r="H42" i="9"/>
  <c r="H40" i="9"/>
  <c r="H41" i="9"/>
  <c r="H45" i="9"/>
  <c r="H44" i="9"/>
  <c r="P43" i="9"/>
  <c r="P40" i="9"/>
  <c r="P42" i="9"/>
  <c r="P44" i="9"/>
  <c r="P41" i="9"/>
  <c r="P45" i="9"/>
  <c r="I44" i="9"/>
  <c r="I43" i="9"/>
  <c r="I40" i="9"/>
  <c r="I42" i="9"/>
  <c r="I41" i="9"/>
  <c r="I45" i="9"/>
  <c r="M44" i="9"/>
  <c r="M41" i="9"/>
  <c r="M45" i="9"/>
  <c r="M43" i="9"/>
  <c r="M40" i="9"/>
  <c r="M42" i="9"/>
  <c r="G42" i="9"/>
  <c r="G40" i="9"/>
  <c r="G41" i="9"/>
  <c r="G45" i="9"/>
  <c r="G44" i="9"/>
  <c r="G43" i="9"/>
  <c r="D12" i="9"/>
  <c r="I7" i="5"/>
  <c r="D32" i="2"/>
  <c r="K42" i="9"/>
  <c r="K41" i="9"/>
  <c r="K45" i="9"/>
  <c r="K43" i="9"/>
  <c r="K44" i="9"/>
  <c r="K40" i="9"/>
  <c r="L43" i="9"/>
  <c r="L40" i="9"/>
  <c r="L44" i="9"/>
  <c r="L42" i="9"/>
  <c r="L41" i="9"/>
  <c r="L45" i="9"/>
  <c r="J41" i="9"/>
  <c r="J45" i="9"/>
  <c r="J44" i="9"/>
  <c r="J42" i="9"/>
  <c r="J43" i="9"/>
  <c r="J40" i="9"/>
  <c r="N41" i="9"/>
  <c r="N45" i="9"/>
  <c r="N42" i="9"/>
  <c r="N44" i="9"/>
  <c r="N43" i="9"/>
  <c r="N40" i="9"/>
  <c r="R14" i="17"/>
  <c r="R41" i="17"/>
  <c r="R14" i="16"/>
  <c r="T14" i="16"/>
  <c r="R38" i="16"/>
  <c r="R40" i="10"/>
  <c r="S36" i="13"/>
  <c r="R40" i="13"/>
  <c r="S36" i="11"/>
  <c r="S36" i="16"/>
  <c r="R40" i="16"/>
  <c r="D9" i="17"/>
  <c r="S36" i="17"/>
  <c r="S39" i="9"/>
  <c r="R14" i="13"/>
  <c r="T14" i="13"/>
  <c r="R38" i="13"/>
  <c r="R42" i="13"/>
  <c r="R37" i="17"/>
  <c r="R42" i="10"/>
  <c r="R45" i="9"/>
  <c r="R40" i="9"/>
  <c r="R43" i="10"/>
  <c r="R28" i="10"/>
  <c r="T28" i="10"/>
  <c r="R39" i="11"/>
  <c r="D46" i="11"/>
  <c r="D9" i="13"/>
  <c r="R39" i="13"/>
  <c r="D46" i="13"/>
  <c r="D9" i="16"/>
  <c r="R39" i="16"/>
  <c r="D46" i="16"/>
  <c r="T14" i="17"/>
  <c r="T16" i="17"/>
  <c r="R39" i="17"/>
  <c r="D46" i="17"/>
  <c r="T18" i="17"/>
  <c r="R38" i="17"/>
  <c r="R42" i="17"/>
  <c r="R40" i="17"/>
  <c r="R25" i="17"/>
  <c r="R36" i="17"/>
  <c r="R42" i="16"/>
  <c r="R37" i="16"/>
  <c r="R41" i="16"/>
  <c r="R25" i="16"/>
  <c r="R37" i="13"/>
  <c r="R41" i="13"/>
  <c r="R25" i="13"/>
  <c r="R40" i="11"/>
  <c r="D9" i="11"/>
  <c r="R38" i="11"/>
  <c r="R42" i="11"/>
  <c r="R14" i="11"/>
  <c r="T14" i="11"/>
  <c r="R37" i="11"/>
  <c r="R41" i="11"/>
  <c r="R25" i="11"/>
  <c r="R44" i="10"/>
  <c r="S39" i="10"/>
  <c r="R41" i="10"/>
  <c r="R45" i="10"/>
  <c r="T17" i="10"/>
  <c r="R42" i="9"/>
  <c r="R43" i="9"/>
  <c r="R41" i="9"/>
  <c r="R28" i="9"/>
  <c r="R36" i="16"/>
  <c r="T36" i="16"/>
  <c r="H14" i="5"/>
  <c r="C39" i="2"/>
  <c r="T36" i="17"/>
  <c r="H15" i="5"/>
  <c r="C40" i="2"/>
  <c r="G46" i="10"/>
  <c r="H46" i="10"/>
  <c r="F46" i="10"/>
  <c r="E46" i="10"/>
  <c r="T17" i="16"/>
  <c r="T20" i="16"/>
  <c r="T15" i="16"/>
  <c r="T16" i="16"/>
  <c r="T15" i="17"/>
  <c r="T17" i="17"/>
  <c r="T20" i="17"/>
  <c r="C37" i="2"/>
  <c r="T19" i="17"/>
  <c r="P46" i="9"/>
  <c r="N46" i="9"/>
  <c r="O46" i="9"/>
  <c r="M46" i="9"/>
  <c r="G46" i="9"/>
  <c r="L46" i="9"/>
  <c r="H46" i="9"/>
  <c r="J46" i="9"/>
  <c r="I46" i="9"/>
  <c r="K46" i="9"/>
  <c r="T17" i="13"/>
  <c r="T19" i="13"/>
  <c r="T20" i="13"/>
  <c r="T15" i="13"/>
  <c r="T18" i="13"/>
  <c r="T16" i="13"/>
  <c r="R36" i="13"/>
  <c r="T36" i="13"/>
  <c r="T23" i="10"/>
  <c r="T21" i="10"/>
  <c r="R17" i="9"/>
  <c r="T17" i="9"/>
  <c r="T33" i="10"/>
  <c r="T31" i="10"/>
  <c r="T30" i="10"/>
  <c r="T29" i="10"/>
  <c r="T32" i="10"/>
  <c r="T34" i="10"/>
  <c r="T25" i="17"/>
  <c r="T31" i="17"/>
  <c r="R39" i="10"/>
  <c r="T39" i="10"/>
  <c r="T19" i="16"/>
  <c r="T18" i="16"/>
  <c r="T41" i="17"/>
  <c r="T30" i="17"/>
  <c r="T39" i="16"/>
  <c r="T40" i="16"/>
  <c r="T38" i="16"/>
  <c r="T41" i="16"/>
  <c r="T37" i="16"/>
  <c r="T42" i="16"/>
  <c r="T25" i="16"/>
  <c r="T25" i="13"/>
  <c r="T20" i="11"/>
  <c r="T15" i="11"/>
  <c r="T17" i="11"/>
  <c r="F23" i="2"/>
  <c r="T18" i="11"/>
  <c r="T16" i="11"/>
  <c r="T19" i="11"/>
  <c r="R36" i="11"/>
  <c r="T36" i="11"/>
  <c r="C34" i="2"/>
  <c r="T25" i="11"/>
  <c r="T19" i="10"/>
  <c r="T22" i="10"/>
  <c r="T18" i="10"/>
  <c r="T20" i="10"/>
  <c r="R44" i="9"/>
  <c r="T28" i="9"/>
  <c r="S44" i="8"/>
  <c r="S41" i="8"/>
  <c r="S42" i="8"/>
  <c r="S43" i="8"/>
  <c r="S45" i="8"/>
  <c r="T40" i="17"/>
  <c r="T42" i="17"/>
  <c r="T39" i="17"/>
  <c r="T38" i="17"/>
  <c r="T27" i="17"/>
  <c r="T29" i="17"/>
  <c r="T37" i="17"/>
  <c r="C41" i="2"/>
  <c r="T39" i="13"/>
  <c r="B16" i="6"/>
  <c r="E16" i="6" s="1"/>
  <c r="T42" i="13"/>
  <c r="T21" i="9"/>
  <c r="T18" i="9"/>
  <c r="T26" i="17"/>
  <c r="T37" i="13"/>
  <c r="T38" i="13"/>
  <c r="T41" i="13"/>
  <c r="T40" i="13"/>
  <c r="T28" i="17"/>
  <c r="T23" i="9"/>
  <c r="R39" i="9"/>
  <c r="T19" i="9"/>
  <c r="T22" i="9"/>
  <c r="T20" i="9"/>
  <c r="T41" i="10"/>
  <c r="E22" i="5"/>
  <c r="E23" i="2"/>
  <c r="T38" i="11"/>
  <c r="T26" i="16"/>
  <c r="T29" i="16"/>
  <c r="T28" i="16"/>
  <c r="T31" i="16"/>
  <c r="T27" i="16"/>
  <c r="T30" i="16"/>
  <c r="T26" i="13"/>
  <c r="T31" i="13"/>
  <c r="T28" i="13"/>
  <c r="T27" i="13"/>
  <c r="T30" i="13"/>
  <c r="T29" i="13"/>
  <c r="T41" i="11"/>
  <c r="T42" i="11"/>
  <c r="T40" i="11"/>
  <c r="T39" i="11"/>
  <c r="T37" i="11"/>
  <c r="T27" i="11"/>
  <c r="T29" i="11"/>
  <c r="T28" i="11"/>
  <c r="T26" i="11"/>
  <c r="T31" i="11"/>
  <c r="T30" i="11"/>
  <c r="T40" i="10"/>
  <c r="E21" i="5"/>
  <c r="E22" i="2"/>
  <c r="T43" i="10"/>
  <c r="E24" i="5"/>
  <c r="E25" i="2"/>
  <c r="T42" i="10"/>
  <c r="E23" i="5"/>
  <c r="E24" i="2"/>
  <c r="T44" i="10"/>
  <c r="E25" i="5"/>
  <c r="E26" i="2"/>
  <c r="T45" i="10"/>
  <c r="E26" i="5"/>
  <c r="T30" i="9"/>
  <c r="T33" i="9"/>
  <c r="T32" i="9"/>
  <c r="T31" i="9"/>
  <c r="T34" i="9"/>
  <c r="T29" i="9"/>
  <c r="F16" i="6"/>
  <c r="E27" i="2"/>
  <c r="T39" i="9"/>
  <c r="H12" i="8"/>
  <c r="I12" i="8"/>
  <c r="J12" i="8"/>
  <c r="K12" i="8"/>
  <c r="M12" i="8"/>
  <c r="N12" i="8"/>
  <c r="O12" i="8"/>
  <c r="P12" i="8"/>
  <c r="G12" i="8"/>
  <c r="D12" i="8"/>
  <c r="I6" i="5"/>
  <c r="D31" i="2"/>
  <c r="O42" i="8"/>
  <c r="O45" i="8"/>
  <c r="O43" i="8"/>
  <c r="O40" i="8"/>
  <c r="O44" i="8"/>
  <c r="O41" i="8"/>
  <c r="I40" i="8"/>
  <c r="I44" i="8"/>
  <c r="I42" i="8"/>
  <c r="I41" i="8"/>
  <c r="I45" i="8"/>
  <c r="I43" i="8"/>
  <c r="M40" i="8"/>
  <c r="M44" i="8"/>
  <c r="M43" i="8"/>
  <c r="M41" i="8"/>
  <c r="M45" i="8"/>
  <c r="M42" i="8"/>
  <c r="H41" i="8"/>
  <c r="H45" i="8"/>
  <c r="H40" i="8"/>
  <c r="H42" i="8"/>
  <c r="H43" i="8"/>
  <c r="H44" i="8"/>
  <c r="J43" i="8"/>
  <c r="J41" i="8"/>
  <c r="J45" i="8"/>
  <c r="J42" i="8"/>
  <c r="J40" i="8"/>
  <c r="J44" i="8"/>
  <c r="N43" i="8"/>
  <c r="N42" i="8"/>
  <c r="N40" i="8"/>
  <c r="N44" i="8"/>
  <c r="N41" i="8"/>
  <c r="N45" i="8"/>
  <c r="P41" i="8"/>
  <c r="P45" i="8"/>
  <c r="P40" i="8"/>
  <c r="P44" i="8"/>
  <c r="P42" i="8"/>
  <c r="P43" i="8"/>
  <c r="K42" i="8"/>
  <c r="K40" i="8"/>
  <c r="K44" i="8"/>
  <c r="K43" i="8"/>
  <c r="K41" i="8"/>
  <c r="K45" i="8"/>
  <c r="G44" i="8"/>
  <c r="G41" i="8"/>
  <c r="G45" i="8"/>
  <c r="G40" i="8"/>
  <c r="G42" i="8"/>
  <c r="G43" i="8"/>
  <c r="T41" i="9"/>
  <c r="D22" i="5"/>
  <c r="D23" i="2"/>
  <c r="T40" i="9"/>
  <c r="D21" i="5"/>
  <c r="D22" i="2"/>
  <c r="T43" i="9"/>
  <c r="D24" i="5"/>
  <c r="D25" i="2"/>
  <c r="T44" i="9"/>
  <c r="D25" i="5"/>
  <c r="D26" i="2"/>
  <c r="T45" i="9"/>
  <c r="D26" i="5"/>
  <c r="T42" i="9"/>
  <c r="D23" i="5"/>
  <c r="D24" i="2"/>
  <c r="K33" i="2"/>
  <c r="D27" i="2"/>
  <c r="E46" i="9"/>
  <c r="F46" i="9"/>
  <c r="N46" i="8"/>
  <c r="K46" i="8"/>
  <c r="G46" i="8"/>
  <c r="O46" i="8"/>
  <c r="P46" i="8"/>
  <c r="M46" i="8"/>
  <c r="L46" i="8"/>
  <c r="I46" i="8"/>
  <c r="H46" i="8"/>
  <c r="J46" i="8"/>
  <c r="R28" i="8"/>
  <c r="U28" i="8"/>
  <c r="V28" i="8"/>
  <c r="U39" i="8"/>
  <c r="V39" i="8"/>
  <c r="O26" i="2"/>
  <c r="O23" i="2"/>
  <c r="G6" i="2"/>
  <c r="G15" i="2"/>
  <c r="G14" i="2"/>
  <c r="G10" i="2"/>
  <c r="G9" i="2"/>
  <c r="G8" i="2"/>
  <c r="G7" i="2"/>
  <c r="E9" i="1"/>
  <c r="V32" i="8"/>
  <c r="V31" i="8"/>
  <c r="V33" i="8"/>
  <c r="V29" i="8"/>
  <c r="V34" i="8"/>
  <c r="V30" i="8"/>
  <c r="B15" i="5"/>
  <c r="B14" i="5"/>
  <c r="C13" i="6"/>
  <c r="L24" i="5"/>
  <c r="L25" i="2"/>
  <c r="D15" i="8"/>
  <c r="L25" i="5"/>
  <c r="L26" i="2"/>
  <c r="K24" i="5"/>
  <c r="K25" i="2"/>
  <c r="L42" i="2"/>
  <c r="I25" i="2"/>
  <c r="I23" i="2"/>
  <c r="G25" i="2"/>
  <c r="I26" i="2"/>
  <c r="L23" i="5"/>
  <c r="L24" i="2"/>
  <c r="L22" i="5"/>
  <c r="L23" i="2"/>
  <c r="L26" i="5"/>
  <c r="L21" i="5"/>
  <c r="L22" i="2"/>
  <c r="K23" i="5"/>
  <c r="K24" i="2"/>
  <c r="K42" i="2"/>
  <c r="K22" i="5"/>
  <c r="K23" i="2"/>
  <c r="J42" i="2"/>
  <c r="K26" i="5"/>
  <c r="K21" i="5"/>
  <c r="K22" i="2"/>
  <c r="I42" i="2"/>
  <c r="N42" i="2"/>
  <c r="K25" i="5"/>
  <c r="K26" i="2"/>
  <c r="M42" i="2"/>
  <c r="I24" i="2"/>
  <c r="G24" i="2"/>
  <c r="G23" i="2"/>
  <c r="G22" i="2"/>
  <c r="G26" i="2"/>
  <c r="F24" i="2"/>
  <c r="F25" i="2"/>
  <c r="F22" i="2"/>
  <c r="F26" i="2"/>
  <c r="F27" i="2"/>
  <c r="D50" i="8"/>
  <c r="B6" i="5"/>
  <c r="L28" i="5"/>
  <c r="K28" i="5"/>
  <c r="G28" i="5"/>
  <c r="F28" i="5"/>
  <c r="D28" i="5"/>
  <c r="E28" i="5"/>
  <c r="C7" i="6"/>
  <c r="C8" i="6"/>
  <c r="D8" i="6"/>
  <c r="D9" i="6"/>
  <c r="C10" i="6"/>
  <c r="D10" i="6"/>
  <c r="C14" i="6"/>
  <c r="D14" i="6"/>
  <c r="C15" i="6"/>
  <c r="D15" i="6"/>
  <c r="C6" i="6"/>
  <c r="D6" i="6"/>
  <c r="B8" i="6"/>
  <c r="B9" i="6"/>
  <c r="B12" i="6"/>
  <c r="B14" i="6"/>
  <c r="B15" i="6"/>
  <c r="D7" i="6"/>
  <c r="F15" i="6"/>
  <c r="E15" i="6"/>
  <c r="F14" i="6"/>
  <c r="G14" i="6" s="1"/>
  <c r="D16" i="7" s="1"/>
  <c r="F9" i="6"/>
  <c r="E9" i="6"/>
  <c r="F8" i="6"/>
  <c r="E8" i="6"/>
  <c r="G15" i="6"/>
  <c r="G8" i="6"/>
  <c r="D10" i="7"/>
  <c r="G9" i="6"/>
  <c r="D11" i="7"/>
  <c r="D12" i="2"/>
  <c r="D6" i="2"/>
  <c r="I6" i="2"/>
  <c r="L15" i="2"/>
  <c r="K40" i="2"/>
  <c r="M40" i="2"/>
  <c r="L40" i="2"/>
  <c r="J40" i="2"/>
  <c r="I40" i="2"/>
  <c r="N40" i="2"/>
  <c r="J41" i="2"/>
  <c r="K41" i="2"/>
  <c r="M41" i="2"/>
  <c r="L41" i="2"/>
  <c r="L35" i="2"/>
  <c r="K35" i="2"/>
  <c r="M35" i="2"/>
  <c r="J35" i="2"/>
  <c r="K34" i="2"/>
  <c r="M34" i="2"/>
  <c r="L34" i="2"/>
  <c r="J33" i="2"/>
  <c r="L33" i="2"/>
  <c r="M33" i="2"/>
  <c r="I14" i="2"/>
  <c r="L13" i="2" s="1"/>
  <c r="C16" i="7" s="1"/>
  <c r="I9" i="2"/>
  <c r="I13" i="2"/>
  <c r="I7" i="2"/>
  <c r="I15" i="2"/>
  <c r="I8" i="2"/>
  <c r="R39" i="8"/>
  <c r="W46" i="8"/>
  <c r="V19" i="8"/>
  <c r="V20" i="8"/>
  <c r="V21" i="8"/>
  <c r="V22" i="8"/>
  <c r="V23" i="8"/>
  <c r="V42" i="8"/>
  <c r="C23" i="5"/>
  <c r="C24" i="2"/>
  <c r="V44" i="8"/>
  <c r="C25" i="5"/>
  <c r="C26" i="2"/>
  <c r="V40" i="8"/>
  <c r="C21" i="5"/>
  <c r="C22" i="2"/>
  <c r="V43" i="8"/>
  <c r="C24" i="5"/>
  <c r="C25" i="2"/>
  <c r="V45" i="8"/>
  <c r="C26" i="5"/>
  <c r="B6" i="6"/>
  <c r="E6" i="6"/>
  <c r="V41" i="8"/>
  <c r="C22" i="5"/>
  <c r="C23" i="2"/>
  <c r="C27" i="2"/>
  <c r="C28" i="5"/>
  <c r="F6" i="6"/>
  <c r="J32" i="2"/>
  <c r="L32" i="2"/>
  <c r="K32" i="2"/>
  <c r="M32" i="2"/>
  <c r="G6" i="6"/>
  <c r="E16" i="7" l="1"/>
  <c r="F12" i="6"/>
  <c r="E12" i="6"/>
  <c r="G12" i="6" s="1"/>
  <c r="R42" i="15"/>
  <c r="R45" i="15"/>
  <c r="R17" i="15"/>
  <c r="R41" i="15"/>
  <c r="R44" i="15"/>
  <c r="R43" i="15"/>
  <c r="D9" i="15"/>
  <c r="H13" i="5" s="1"/>
  <c r="B13" i="6" s="1"/>
  <c r="S39" i="15"/>
  <c r="R28" i="15"/>
  <c r="I27" i="2"/>
  <c r="L38" i="2"/>
  <c r="K38" i="2"/>
  <c r="D17" i="6"/>
  <c r="J38" i="2"/>
  <c r="M38" i="2"/>
  <c r="G16" i="6"/>
  <c r="J9" i="21"/>
  <c r="C17" i="6"/>
  <c r="D8" i="21"/>
  <c r="I9" i="21"/>
  <c r="R44" i="21"/>
  <c r="R42" i="21"/>
  <c r="K9" i="21"/>
  <c r="O9" i="21"/>
  <c r="G9" i="21"/>
  <c r="D36" i="2"/>
  <c r="R43" i="21"/>
  <c r="R45" i="21"/>
  <c r="R28" i="21"/>
  <c r="H46" i="21"/>
  <c r="I32" i="2"/>
  <c r="N32" i="2" s="1"/>
  <c r="L5" i="2" s="1"/>
  <c r="I33" i="2"/>
  <c r="N33" i="2" s="1"/>
  <c r="L6" i="2" s="1"/>
  <c r="I34" i="2"/>
  <c r="N34" i="2" s="1"/>
  <c r="L7" i="2" s="1"/>
  <c r="D9" i="9"/>
  <c r="H7" i="5" s="1"/>
  <c r="I35" i="2"/>
  <c r="N35" i="2" s="1"/>
  <c r="L8" i="2" s="1"/>
  <c r="I41" i="2"/>
  <c r="N41" i="2" s="1"/>
  <c r="L14" i="2" s="1"/>
  <c r="C17" i="7" s="1"/>
  <c r="E17" i="7" s="1"/>
  <c r="H10" i="5"/>
  <c r="D12" i="20"/>
  <c r="I10" i="5" s="1"/>
  <c r="D35" i="2" s="1"/>
  <c r="E40" i="20"/>
  <c r="E46" i="20" s="1"/>
  <c r="C11" i="7" l="1"/>
  <c r="E11" i="7" s="1"/>
  <c r="C10" i="7"/>
  <c r="E10" i="7" s="1"/>
  <c r="C9" i="7"/>
  <c r="R39" i="15"/>
  <c r="T39" i="15" s="1"/>
  <c r="T40" i="15" s="1"/>
  <c r="J21" i="5" s="1"/>
  <c r="T17" i="15"/>
  <c r="T18" i="15" s="1"/>
  <c r="T28" i="15"/>
  <c r="N38" i="2"/>
  <c r="L11" i="2" s="1"/>
  <c r="D14" i="7"/>
  <c r="C9" i="21"/>
  <c r="T21" i="21"/>
  <c r="T23" i="21"/>
  <c r="I46" i="21"/>
  <c r="M46" i="21"/>
  <c r="T28" i="21"/>
  <c r="L46" i="21"/>
  <c r="P46" i="21"/>
  <c r="G46" i="21"/>
  <c r="N46" i="21"/>
  <c r="H11" i="5"/>
  <c r="B11" i="6" s="1"/>
  <c r="O46" i="21"/>
  <c r="J46" i="21"/>
  <c r="K46" i="21"/>
  <c r="F46" i="21"/>
  <c r="I36" i="2"/>
  <c r="K36" i="2"/>
  <c r="L36" i="2"/>
  <c r="M36" i="2"/>
  <c r="J36" i="2"/>
  <c r="C35" i="2"/>
  <c r="B10" i="6"/>
  <c r="C32" i="2"/>
  <c r="B7" i="6"/>
  <c r="C8" i="7"/>
  <c r="E8" i="7" s="1"/>
  <c r="N36" i="2" l="1"/>
  <c r="L9" i="2" s="1"/>
  <c r="C14" i="7"/>
  <c r="E14" i="7" s="1"/>
  <c r="T19" i="15"/>
  <c r="T22" i="15"/>
  <c r="T21" i="15"/>
  <c r="T23" i="15"/>
  <c r="T20" i="15"/>
  <c r="T41" i="15"/>
  <c r="J22" i="5" s="1"/>
  <c r="J23" i="2" s="1"/>
  <c r="J39" i="2" s="1"/>
  <c r="J22" i="2"/>
  <c r="I39" i="2" s="1"/>
  <c r="T45" i="15"/>
  <c r="J26" i="5" s="1"/>
  <c r="T42" i="15"/>
  <c r="J23" i="5" s="1"/>
  <c r="J24" i="2" s="1"/>
  <c r="K39" i="2" s="1"/>
  <c r="T43" i="15"/>
  <c r="J24" i="5" s="1"/>
  <c r="J25" i="2" s="1"/>
  <c r="L39" i="2" s="1"/>
  <c r="T44" i="15"/>
  <c r="J25" i="5" s="1"/>
  <c r="J26" i="2" s="1"/>
  <c r="T33" i="15"/>
  <c r="T31" i="15"/>
  <c r="T34" i="15"/>
  <c r="T32" i="15"/>
  <c r="T29" i="15"/>
  <c r="T30" i="15"/>
  <c r="T34" i="21"/>
  <c r="T29" i="21"/>
  <c r="T31" i="21"/>
  <c r="T42" i="21"/>
  <c r="H23" i="5" s="1"/>
  <c r="H24" i="2" s="1"/>
  <c r="K37" i="2" s="1"/>
  <c r="E11" i="6"/>
  <c r="F11" i="6"/>
  <c r="H21" i="5"/>
  <c r="H22" i="2" s="1"/>
  <c r="I37" i="2" s="1"/>
  <c r="T43" i="21"/>
  <c r="H24" i="5" s="1"/>
  <c r="H25" i="2" s="1"/>
  <c r="L37" i="2" s="1"/>
  <c r="T45" i="21"/>
  <c r="H26" i="5" s="1"/>
  <c r="T44" i="21"/>
  <c r="H25" i="5" s="1"/>
  <c r="H26" i="2" s="1"/>
  <c r="T41" i="21"/>
  <c r="H22" i="5" s="1"/>
  <c r="H23" i="2" s="1"/>
  <c r="J37" i="2" s="1"/>
  <c r="C36" i="2"/>
  <c r="T32" i="21"/>
  <c r="T33" i="21"/>
  <c r="T30" i="21"/>
  <c r="E7" i="6"/>
  <c r="F7" i="6"/>
  <c r="F10" i="6"/>
  <c r="E10" i="6"/>
  <c r="G11" i="6" l="1"/>
  <c r="J28" i="5"/>
  <c r="J27" i="2"/>
  <c r="M39" i="2"/>
  <c r="C38" i="2"/>
  <c r="C42" i="2" s="1"/>
  <c r="M37" i="2"/>
  <c r="N37" i="2" s="1"/>
  <c r="L10" i="2" s="1"/>
  <c r="G10" i="6"/>
  <c r="D12" i="7" s="1"/>
  <c r="H28" i="5"/>
  <c r="C12" i="7"/>
  <c r="E12" i="7" s="1"/>
  <c r="G7" i="6"/>
  <c r="N39" i="2" l="1"/>
  <c r="L12" i="2" s="1"/>
  <c r="C15" i="7" s="1"/>
  <c r="F13" i="6"/>
  <c r="F17" i="6" s="1"/>
  <c r="B17" i="6"/>
  <c r="D13" i="7"/>
  <c r="D9" i="7"/>
  <c r="E9" i="7" s="1"/>
  <c r="L16" i="2" l="1"/>
  <c r="G13" i="6"/>
  <c r="D15" i="7" s="1"/>
  <c r="E15" i="7" s="1"/>
  <c r="E17" i="6"/>
  <c r="C13" i="7"/>
  <c r="E13" i="7" s="1"/>
  <c r="G17" i="6" l="1"/>
</calcChain>
</file>

<file path=xl/sharedStrings.xml><?xml version="1.0" encoding="utf-8"?>
<sst xmlns="http://schemas.openxmlformats.org/spreadsheetml/2006/main" count="1295" uniqueCount="214">
  <si>
    <t>Outil de calcul ex post des émissions de réductions // méthode acceptée par le goldstandard, micro échelle.</t>
  </si>
  <si>
    <t>Cet outil présente un calcul des VERs réorganisés de ùanière à ce que les émissions des déchets soient ramenés à l'année de traitement tel qu'autorisé par le GS.</t>
  </si>
  <si>
    <t>AMS III F v11 associées aux outils "emissions from a solid waste disposal sites" am 04 v6,0,1 et "project and leakage emissions from composting" v1 UNFCCC</t>
  </si>
  <si>
    <t>Vous ne devez remplir les cases que des onglets intitulés YearX", ainsi que de l'onglet "fixé en amont" - celui-ci ne se remplit qu'une seule fois</t>
  </si>
  <si>
    <t>Tous les autres calculs se font automatiquement</t>
  </si>
  <si>
    <t>Dans les onglets "Année X", ne remplir que les cases en vert -les autres sont des calculs automatiques</t>
  </si>
  <si>
    <t>Dans un souci de clarté du fichier, le premier onglet est celui des résultats. Néammoins il résulte de tout les  autres onglets.</t>
  </si>
  <si>
    <t>Electricity usage*</t>
  </si>
  <si>
    <t>Monitoring period</t>
  </si>
  <si>
    <t>MWh</t>
  </si>
  <si>
    <t>Tons of waste composted</t>
  </si>
  <si>
    <t>Total waste collected</t>
  </si>
  <si>
    <t>(01/03/2017) - (31/12/2017)</t>
  </si>
  <si>
    <t>(01/01/2018) - (31/12/2018)</t>
  </si>
  <si>
    <t>(01/01/2019) - (31/12/2019)</t>
  </si>
  <si>
    <t>(01/01/2020) - (31/12/2020)</t>
  </si>
  <si>
    <t>(01/01/2021) - (31/12/2021)</t>
  </si>
  <si>
    <t>(01/01/2022) - (31/12/2022)</t>
  </si>
  <si>
    <t>(01/01/2023) - (31/12/2023)</t>
  </si>
  <si>
    <t>(01/01/2024) - (31/12/2024)</t>
  </si>
  <si>
    <t>(01/01/2025) - (31/12/2025)</t>
  </si>
  <si>
    <t>(01/01/2026) - (31/12/2026)</t>
  </si>
  <si>
    <t>(01/01/2027)-(28/02/2027)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</si>
  <si>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</si>
  <si>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</si>
  <si>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</si>
  <si>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</si>
  <si>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</si>
  <si>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</si>
  <si>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</si>
  <si>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</si>
  <si>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</si>
  <si>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</si>
  <si>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wet weight</t>
  </si>
  <si>
    <t>Wood and wood products</t>
  </si>
  <si>
    <t xml:space="preserve">Pulp, paper and cardboard </t>
  </si>
  <si>
    <t>Textiles</t>
  </si>
  <si>
    <t>Food, food waste, beverages and tobacco</t>
  </si>
  <si>
    <t>Garden, yard and park waste</t>
  </si>
  <si>
    <t>Glass, plastic, metal and other inert waste</t>
  </si>
  <si>
    <t>Total</t>
  </si>
  <si>
    <t>Résults : Emission reductions linked to the project</t>
  </si>
  <si>
    <t>Monitoring year</t>
  </si>
  <si>
    <t>Baseline Emissions (tCO2)</t>
  </si>
  <si>
    <t>Project Emissions (tCO2)</t>
  </si>
  <si>
    <t>Emission reductions (tCO2)</t>
  </si>
  <si>
    <t>Mar'17 - Dec17</t>
  </si>
  <si>
    <t>Jan'18 - Dec'18</t>
  </si>
  <si>
    <t>Jan'19 - Dec'19</t>
  </si>
  <si>
    <t>Jan'20 - Dec'20</t>
  </si>
  <si>
    <t>Jan'21 - Dec'21</t>
  </si>
  <si>
    <t>Jan'22 - Dec'22</t>
  </si>
  <si>
    <t>Jan'23 - Dec'23</t>
  </si>
  <si>
    <t>Jan'24 - Dec'24</t>
  </si>
  <si>
    <t>Jan'25 - Dec'25</t>
  </si>
  <si>
    <t>Jan'26 - Dec'26</t>
  </si>
  <si>
    <t xml:space="preserve">Baseline Emissions </t>
  </si>
  <si>
    <t>Monitored parameters</t>
  </si>
  <si>
    <t>Fixed parameters</t>
  </si>
  <si>
    <t>GWP CH4</t>
  </si>
  <si>
    <t>f</t>
  </si>
  <si>
    <t>K</t>
  </si>
  <si>
    <t>φ=</t>
  </si>
  <si>
    <t>OX =</t>
  </si>
  <si>
    <t>constant</t>
  </si>
  <si>
    <t>F =</t>
  </si>
  <si>
    <t>DOCf =</t>
  </si>
  <si>
    <t>MCF =</t>
  </si>
  <si>
    <t>K=</t>
  </si>
  <si>
    <t>φ*(1-f)*GWP_CH4*(1-Ox)*16/12*F*DOCf*MCF</t>
  </si>
  <si>
    <t>TOTAL</t>
  </si>
  <si>
    <t>% waste types</t>
  </si>
  <si>
    <r>
      <t>DOC</t>
    </r>
    <r>
      <rPr>
        <b/>
        <vertAlign val="subscript"/>
        <sz val="10"/>
        <rFont val="Arial"/>
        <family val="2"/>
      </rPr>
      <t xml:space="preserve">j </t>
    </r>
  </si>
  <si>
    <t>kj</t>
  </si>
  <si>
    <t>Paper and cardboard</t>
  </si>
  <si>
    <t>Food and Food waste</t>
  </si>
  <si>
    <t>Green Waste</t>
  </si>
  <si>
    <t>% composted out of of the total quantity collected</t>
  </si>
  <si>
    <t>tons of waste colected</t>
  </si>
  <si>
    <t>Year y</t>
  </si>
  <si>
    <t>Year x</t>
  </si>
  <si>
    <t>U</t>
  </si>
  <si>
    <t>(Year of ER calculation)</t>
  </si>
  <si>
    <t>(Year of waste treatment)</t>
  </si>
  <si>
    <t>Σ Ux = I</t>
  </si>
  <si>
    <t>Project Emissions</t>
  </si>
  <si>
    <t>Monitoring Period</t>
  </si>
  <si>
    <t xml:space="preserve">Tons of Waste composted on site/
TOTAL WASTE </t>
  </si>
  <si>
    <t>ELECTRICITY USE (MWh)</t>
  </si>
  <si>
    <t>PEy,power (tCO2)</t>
  </si>
  <si>
    <t>PEy compost - CH4 (tCO2)</t>
  </si>
  <si>
    <t>PEy compost - NO2 (tCO2)</t>
  </si>
  <si>
    <t>PEy total  (tCO2)</t>
  </si>
  <si>
    <t>GWP N20</t>
  </si>
  <si>
    <t>Project Scenario parameters</t>
  </si>
  <si>
    <t>TDL</t>
  </si>
  <si>
    <t>EF élec</t>
  </si>
  <si>
    <t>t CO2e/MWh</t>
  </si>
  <si>
    <t>EF CH4</t>
  </si>
  <si>
    <t>T CH4/T déchets</t>
  </si>
  <si>
    <t>EF NO2</t>
  </si>
  <si>
    <t>T NO2/T déchet</t>
  </si>
  <si>
    <t>Parameter</t>
  </si>
  <si>
    <t>Description:</t>
  </si>
  <si>
    <t>Annual value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</si>
  <si>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</si>
  <si>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</si>
  <si>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</si>
  <si>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</si>
  <si>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</si>
  <si>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</si>
  <si>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</si>
  <si>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</si>
  <si>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</si>
  <si>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</si>
  <si>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</si>
  <si>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</si>
  <si>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GWP</t>
    </r>
    <r>
      <rPr>
        <vertAlign val="subscript"/>
        <sz val="11"/>
        <rFont val="Arial"/>
        <family val="2"/>
      </rPr>
      <t xml:space="preserve">CH4 </t>
    </r>
    <r>
      <rPr>
        <sz val="11"/>
        <rFont val="Arial"/>
        <family val="2"/>
      </rPr>
      <t>(</t>
    </r>
    <r>
      <rPr>
        <sz val="9"/>
        <rFont val="Arial"/>
        <family val="2"/>
      </rPr>
      <t>tCO2e / tCH4)</t>
    </r>
  </si>
  <si>
    <t>Global Warming Potential (GWP) of methane, valid for the relevant commitment period</t>
  </si>
  <si>
    <t>Once a year</t>
  </si>
  <si>
    <t>GWPN20 (tCO2e / tN2O)</t>
  </si>
  <si>
    <t>Global Warming Potential (GWP) of nitrous oxide valid for the relevant commitment period</t>
  </si>
  <si>
    <t>fraction of methane captured and flared, combusted or used in another manner at SWDS</t>
  </si>
  <si>
    <t xml:space="preserve">W (Tons) </t>
  </si>
  <si>
    <t>W Ngui (Tons)</t>
  </si>
  <si>
    <t>Total amount of organic waste prevented from disposal per year  in Ngui</t>
  </si>
  <si>
    <t>W Siteu (Tons)</t>
  </si>
  <si>
    <t>Total amount of organic waste prevented from disposal per year  in Siteu</t>
  </si>
  <si>
    <t>Total amount of waste received in Ngui compost unit (tons)</t>
  </si>
  <si>
    <t>Total amount of  waste received in Siteu compost unit (tons)</t>
  </si>
  <si>
    <t>Tons of waste treated</t>
  </si>
  <si>
    <t>Ngui compost unit</t>
  </si>
  <si>
    <t>Other waste</t>
  </si>
  <si>
    <t xml:space="preserve">Weight fraction of the waste type j in the sample n collected during the year x </t>
  </si>
  <si>
    <t>minimum of 3 samples in 3 month</t>
  </si>
  <si>
    <t>Total house hold</t>
  </si>
  <si>
    <t>total other waste</t>
  </si>
  <si>
    <t>Total before monitoring period</t>
  </si>
  <si>
    <t>Total of monitoring period</t>
  </si>
  <si>
    <t>Reference document</t>
  </si>
  <si>
    <t>“Characterization Of Waste_2017_2018”, (Column C30 to C36)</t>
  </si>
  <si>
    <t>Siteu compost unit</t>
  </si>
  <si>
    <t>“Characterization Of Waste_2017_2018”, (Column D30 to D36)</t>
  </si>
  <si>
    <t>P n,j, x  (%)</t>
  </si>
  <si>
    <t>Siteu + Ngui compost unit</t>
  </si>
  <si>
    <t>Calculated</t>
  </si>
  <si>
    <r>
      <t>Q</t>
    </r>
    <r>
      <rPr>
        <vertAlign val="subscript"/>
        <sz val="9"/>
        <rFont val="Arial"/>
        <family val="2"/>
      </rPr>
      <t>y,treatment (Tons)</t>
    </r>
  </si>
  <si>
    <t xml:space="preserve">Quantity of compost produced in year y </t>
  </si>
  <si>
    <t>once a week/ once a month</t>
  </si>
  <si>
    <t xml:space="preserve">Quantity of compost sold in year y </t>
  </si>
  <si>
    <t>Ey (kWh)</t>
  </si>
  <si>
    <t xml:space="preserve">Electric energy consumption for compost manufacturing in year y </t>
  </si>
  <si>
    <t>Once a month</t>
  </si>
  <si>
    <t xml:space="preserve">Total amount of organic waste prevented from disposal per year  </t>
  </si>
  <si>
    <t>daily / once a month</t>
  </si>
  <si>
    <t>Explanation of Wx, the total of organic waste prevented from disposal in year</t>
  </si>
  <si>
    <t xml:space="preserve">Total tons of waste received </t>
  </si>
  <si>
    <t>Electric energy consumption for compost manufacturing in year y                                  Ngui compost unit</t>
  </si>
  <si>
    <t>Electric energy consumption for compost manufacturing in year y                                  Siteu compost unit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</si>
  <si>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</si>
  <si>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</si>
  <si>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</si>
  <si>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</si>
  <si>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</si>
  <si>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</si>
  <si>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</si>
  <si>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</si>
  <si>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</si>
  <si>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</si>
  <si>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</si>
  <si>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</si>
  <si>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 (Tons)</t>
  </si>
  <si>
    <t>tons of waste treated in Ngui compost unit (tons)</t>
  </si>
  <si>
    <t>tons of waste treated in Siteu compost unit (tons)</t>
  </si>
  <si>
    <t>wood</t>
  </si>
  <si>
    <t>paper</t>
  </si>
  <si>
    <t>food waste</t>
  </si>
  <si>
    <t>textiles</t>
  </si>
  <si>
    <t>garden waste</t>
  </si>
  <si>
    <t>inert waste</t>
  </si>
  <si>
    <t>Old index</t>
  </si>
  <si>
    <t>New index</t>
  </si>
  <si>
    <t>Sale date</t>
  </si>
  <si>
    <r>
      <t xml:space="preserve">Customer type </t>
    </r>
    <r>
      <rPr>
        <i/>
        <sz val="11"/>
        <color indexed="8"/>
        <rFont val="Calibri"/>
        <family val="2"/>
      </rPr>
      <t>(reseller/big customer/other)</t>
    </r>
  </si>
  <si>
    <t>Customer name</t>
  </si>
  <si>
    <t>Quantity bought</t>
  </si>
  <si>
    <t>Majority culture</t>
  </si>
  <si>
    <t>Visit after sale date</t>
  </si>
  <si>
    <t>Comment</t>
  </si>
  <si>
    <t>Données présentées dans le PDD</t>
  </si>
  <si>
    <t xml:space="preserve">Renseigner la température et la pluviométrie moyenne annuelle du pays, </t>
  </si>
  <si>
    <t xml:space="preserve">Niveau de gestion de la décharge : </t>
  </si>
  <si>
    <t>Attention ces données doivent être justifiées, preuves à l'appui</t>
  </si>
  <si>
    <t>données officielles obligatoires, contacter les organismes étatiques compétents</t>
  </si>
  <si>
    <t>Mettre dans cette case le n° de l'option qui correspond. (1 - 2 - 3 ou 4)</t>
  </si>
  <si>
    <t>Température (°C) : &gt;20°C</t>
  </si>
  <si>
    <t>1 - Décharge gérée et anaérobique.</t>
  </si>
  <si>
    <t>Pluviométrie (mm) :</t>
  </si>
  <si>
    <t xml:space="preserve">La décharge doit avoir un contrôle des déchets (ie les déchets doivent être orientés à des endroits spécifiques de dépôts, un degré de contrôle des </t>
  </si>
  <si>
    <t>Potentiel d'évapotranspiration*</t>
  </si>
  <si>
    <t>informels et un degré de contrôle des feux.) et incluera au moins l'un des suivants : matériel de couverture / compactage mécanique / nivellement des déchets.</t>
  </si>
  <si>
    <t>Temp/PET</t>
  </si>
  <si>
    <t>2 - Décharge gérée et semi-aérobique</t>
  </si>
  <si>
    <t xml:space="preserve">La décharge doit avoir un contrôle des déchets et comprendra tout les éléments suivants pour introduire de l'air entre les couches : materiau de couverture </t>
  </si>
  <si>
    <t>perméable / système de drainage des lixiviats / "pondage" régulant / système de ventilation des gaz.</t>
  </si>
  <si>
    <t>3 - Décharge non - gérée - profonde.</t>
  </si>
  <si>
    <t>Ceci comprend toutes les décharges qui ne correspondent pas aux critères de décharge gérée et ont une profondeur supérieure ou égale à 5m.</t>
  </si>
  <si>
    <t>4 - Décharge non gérée peu profonde ou "tas" considéré comme décharge.</t>
  </si>
  <si>
    <t xml:space="preserve">Ceci comprend toutes les décharges qui ne correspondent pas aux critères de décharges gérée et qui ont moins de 5 mètres de profondeur. </t>
  </si>
  <si>
    <t>Ceci inclut les entassement assimilés à des décharges qui ne correspondent pas à la définition de décharge.</t>
  </si>
  <si>
    <t>Total tons of waste composted</t>
  </si>
  <si>
    <t>Quantity of compost produced in year y on both compost units</t>
  </si>
  <si>
    <t>Quantity of compost sold in year y on both compost units</t>
  </si>
  <si>
    <t>Textile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</si>
</sst>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0.0"/>
    <numFmt numFmtId="167" formatCode="_-* #,##0.0\ _€_-;\-* #,##0.0\ _€_-;_-* &quot;-&quot;??\ _€_-;_-@_-"/>
    <numFmt numFmtId="168" formatCode="_-* #,##0.0\ _€_-;\-* #,##0.0\ _€_-;_-* &quot;-&quot;?\ _€_-;_-@_-"/>
    <numFmt numFmtId="169" formatCode="#,##0.00&quot;  t&quot;"/>
    <numFmt numFmtId="170" formatCode="_-* #,##0.00\ _F_C_F_A_-;\-* #,##0.00\ _F_C_F_A_-;_-* &quot;-&quot;??\ _F_C_F_A_-;_-@_-"/>
    <numFmt numFmtId="171" formatCode="_-* #,##0.00\ _€_-;\-* #,##0.00\ _€_-;_-* \-??\ _€_-;_-@_-"/>
    <numFmt numFmtId="172" formatCode="_-* #,##0.00&quot; €&quot;_-;\-* #,##0.00&quot; €&quot;_-;_-* \-??&quot; €&quot;_-;_-@_-"/>
    <numFmt numFmtId="173" formatCode="0.000"/>
    <numFmt numFmtId="174" formatCode="#,##0&quot;  t&quot;"/>
    <numFmt numFmtId="175" formatCode="_-* #,##0\ _€_-;\-* #,##0\ _€_-;_-* &quot;-&quot;??\ _€_-;_-@_-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Lucida Grande"/>
      <family val="2"/>
    </font>
    <font>
      <b/>
      <sz val="12"/>
      <color indexed="10"/>
      <name val="Arial"/>
      <family val="2"/>
    </font>
    <font>
      <i/>
      <sz val="11"/>
      <color indexed="8"/>
      <name val="Calibri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9"/>
      <name val="Arial"/>
      <family val="2"/>
    </font>
    <font>
      <vertAlign val="subscript"/>
      <sz val="11"/>
      <name val="Arial"/>
      <family val="2"/>
    </font>
    <font>
      <sz val="11"/>
      <name val="Arial"/>
      <family val="2"/>
    </font>
    <font>
      <vertAlign val="subscript"/>
      <sz val="9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3">
    <xf numFmtId="0" fontId="0" fillId="0" borderId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6" fillId="6" borderId="0" applyNumberFormat="0" applyBorder="0" applyAlignment="0" applyProtection="0"/>
    <xf numFmtId="0" fontId="15" fillId="2" borderId="47" applyNumberFormat="0" applyAlignment="0" applyProtection="0"/>
    <xf numFmtId="164" fontId="14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71" fontId="13" fillId="0" borderId="0" applyFill="0" applyBorder="0" applyAlignment="0" applyProtection="0"/>
    <xf numFmtId="171" fontId="13" fillId="0" borderId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48" applyNumberFormat="0" applyFont="0" applyAlignment="0" applyProtection="0"/>
    <xf numFmtId="9" fontId="14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426">
    <xf numFmtId="0" fontId="0" fillId="0" borderId="0" xfId="0"/>
    <xf numFmtId="2" fontId="0" fillId="0" borderId="0" xfId="0" applyNumberFormat="1"/>
    <xf numFmtId="0" fontId="18" fillId="0" borderId="0" xfId="0" applyFont="1"/>
    <xf numFmtId="0" fontId="19" fillId="0" borderId="0" xfId="0" applyFont="1"/>
    <xf numFmtId="9" fontId="14" fillId="0" borderId="0" xfId="21" applyFont="1"/>
    <xf numFmtId="9" fontId="14" fillId="3" borderId="0" xfId="2" applyNumberFormat="1"/>
    <xf numFmtId="0" fontId="20" fillId="0" borderId="0" xfId="0" applyFont="1"/>
    <xf numFmtId="0" fontId="2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14" fillId="4" borderId="48" xfId="20" applyNumberFormat="1"/>
    <xf numFmtId="0" fontId="15" fillId="2" borderId="47" xfId="4" applyProtection="1">
      <protection locked="0"/>
    </xf>
    <xf numFmtId="0" fontId="2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4" fillId="4" borderId="48" xfId="20" applyAlignment="1">
      <alignment vertical="top" wrapText="1"/>
    </xf>
    <xf numFmtId="0" fontId="14" fillId="4" borderId="48" xfId="20"/>
    <xf numFmtId="0" fontId="14" fillId="4" borderId="48" xfId="20" applyFont="1"/>
    <xf numFmtId="166" fontId="14" fillId="4" borderId="48" xfId="20" applyNumberFormat="1"/>
    <xf numFmtId="9" fontId="14" fillId="4" borderId="48" xfId="20" applyNumberFormat="1"/>
    <xf numFmtId="165" fontId="14" fillId="4" borderId="48" xfId="20" applyNumberFormat="1"/>
    <xf numFmtId="10" fontId="14" fillId="4" borderId="48" xfId="20" applyNumberFormat="1"/>
    <xf numFmtId="0" fontId="11" fillId="0" borderId="0" xfId="0" applyFont="1" applyAlignment="1">
      <alignment vertical="top" wrapText="1"/>
    </xf>
    <xf numFmtId="166" fontId="0" fillId="0" borderId="0" xfId="0" applyNumberFormat="1"/>
    <xf numFmtId="0" fontId="20" fillId="4" borderId="48" xfId="20" applyFont="1"/>
    <xf numFmtId="166" fontId="20" fillId="4" borderId="48" xfId="20" applyNumberFormat="1" applyFont="1"/>
    <xf numFmtId="0" fontId="14" fillId="4" borderId="48" xfId="20" applyFont="1" applyAlignment="1">
      <alignment wrapText="1"/>
    </xf>
    <xf numFmtId="0" fontId="14" fillId="4" borderId="48" xfId="20" applyFont="1" applyAlignment="1">
      <alignment vertical="top" wrapText="1"/>
    </xf>
    <xf numFmtId="0" fontId="14" fillId="4" borderId="48" xfId="2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8" borderId="0" xfId="0" applyNumberFormat="1" applyFill="1"/>
    <xf numFmtId="165" fontId="14" fillId="8" borderId="0" xfId="21" applyNumberFormat="1" applyFont="1" applyFill="1"/>
    <xf numFmtId="165" fontId="14" fillId="0" borderId="0" xfId="21" applyNumberFormat="1" applyFont="1"/>
    <xf numFmtId="0" fontId="15" fillId="2" borderId="47" xfId="4"/>
    <xf numFmtId="0" fontId="9" fillId="0" borderId="0" xfId="0" applyFont="1" applyAlignment="1">
      <alignment horizontal="center" vertical="center" wrapText="1"/>
    </xf>
    <xf numFmtId="0" fontId="17" fillId="7" borderId="0" xfId="22"/>
    <xf numFmtId="0" fontId="17" fillId="7" borderId="48" xfId="22" applyBorder="1"/>
    <xf numFmtId="165" fontId="17" fillId="7" borderId="48" xfId="22" applyNumberFormat="1" applyBorder="1"/>
    <xf numFmtId="165" fontId="17" fillId="7" borderId="48" xfId="22" applyNumberFormat="1" applyBorder="1" applyAlignment="1">
      <alignment horizontal="right"/>
    </xf>
    <xf numFmtId="2" fontId="14" fillId="4" borderId="48" xfId="20" applyNumberFormat="1" applyFont="1"/>
    <xf numFmtId="0" fontId="14" fillId="4" borderId="48" xfId="20" applyFont="1" applyAlignment="1">
      <alignment horizontal="left" vertical="top" wrapText="1"/>
    </xf>
    <xf numFmtId="0" fontId="14" fillId="8" borderId="48" xfId="2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48" xfId="20" applyFill="1" applyAlignment="1">
      <alignment vertical="top" wrapText="1"/>
    </xf>
    <xf numFmtId="0" fontId="14" fillId="0" borderId="48" xfId="20" applyFill="1"/>
    <xf numFmtId="165" fontId="14" fillId="0" borderId="48" xfId="20" applyNumberFormat="1" applyFill="1"/>
    <xf numFmtId="10" fontId="14" fillId="0" borderId="48" xfId="20" applyNumberFormat="1" applyFill="1"/>
    <xf numFmtId="2" fontId="14" fillId="0" borderId="48" xfId="20" applyNumberFormat="1" applyFill="1"/>
    <xf numFmtId="165" fontId="17" fillId="0" borderId="48" xfId="22" applyNumberFormat="1" applyFill="1" applyBorder="1"/>
    <xf numFmtId="165" fontId="17" fillId="0" borderId="48" xfId="22" applyNumberFormat="1" applyFill="1" applyBorder="1" applyAlignment="1">
      <alignment horizontal="right"/>
    </xf>
    <xf numFmtId="166" fontId="14" fillId="0" borderId="48" xfId="20" applyNumberFormat="1" applyFill="1"/>
    <xf numFmtId="0" fontId="17" fillId="0" borderId="0" xfId="22" applyFill="1"/>
    <xf numFmtId="0" fontId="24" fillId="4" borderId="48" xfId="20" applyFont="1"/>
    <xf numFmtId="1" fontId="0" fillId="0" borderId="0" xfId="0" applyNumberFormat="1" applyAlignment="1">
      <alignment horizontal="center"/>
    </xf>
    <xf numFmtId="0" fontId="17" fillId="7" borderId="49" xfId="22" applyBorder="1"/>
    <xf numFmtId="0" fontId="14" fillId="4" borderId="48" xfId="20" applyAlignment="1">
      <alignment horizontal="center" vertical="center" wrapText="1"/>
    </xf>
    <xf numFmtId="165" fontId="14" fillId="0" borderId="49" xfId="20" applyNumberFormat="1" applyFill="1" applyBorder="1"/>
    <xf numFmtId="10" fontId="14" fillId="0" borderId="50" xfId="20" applyNumberFormat="1" applyFill="1" applyBorder="1"/>
    <xf numFmtId="165" fontId="17" fillId="7" borderId="51" xfId="22" applyNumberFormat="1" applyBorder="1"/>
    <xf numFmtId="10" fontId="14" fillId="4" borderId="52" xfId="20" applyNumberFormat="1" applyBorder="1"/>
    <xf numFmtId="10" fontId="0" fillId="0" borderId="0" xfId="0" applyNumberFormat="1" applyAlignment="1">
      <alignment horizontal="center"/>
    </xf>
    <xf numFmtId="167" fontId="17" fillId="7" borderId="48" xfId="5" applyNumberFormat="1" applyFont="1" applyFill="1" applyBorder="1"/>
    <xf numFmtId="164" fontId="14" fillId="4" borderId="48" xfId="5" applyFill="1" applyBorder="1"/>
    <xf numFmtId="2" fontId="14" fillId="0" borderId="0" xfId="21" applyNumberFormat="1" applyFont="1"/>
    <xf numFmtId="166" fontId="17" fillId="7" borderId="48" xfId="22" applyNumberFormat="1" applyBorder="1"/>
    <xf numFmtId="1" fontId="14" fillId="4" borderId="48" xfId="20" applyNumberFormat="1"/>
    <xf numFmtId="0" fontId="14" fillId="8" borderId="53" xfId="20" applyFont="1" applyFill="1" applyBorder="1" applyAlignment="1">
      <alignment horizontal="center" vertical="center" wrapText="1"/>
    </xf>
    <xf numFmtId="166" fontId="14" fillId="4" borderId="49" xfId="20" applyNumberFormat="1" applyBorder="1"/>
    <xf numFmtId="0" fontId="14" fillId="8" borderId="1" xfId="20" applyFont="1" applyFill="1" applyBorder="1" applyAlignment="1">
      <alignment horizontal="center" vertical="center" wrapText="1"/>
    </xf>
    <xf numFmtId="1" fontId="20" fillId="8" borderId="48" xfId="20" applyNumberFormat="1" applyFont="1" applyFill="1"/>
    <xf numFmtId="0" fontId="20" fillId="9" borderId="2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2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17" fillId="10" borderId="0" xfId="22" applyFill="1"/>
    <xf numFmtId="166" fontId="14" fillId="10" borderId="0" xfId="20" applyNumberFormat="1" applyFill="1" applyBorder="1"/>
    <xf numFmtId="168" fontId="17" fillId="10" borderId="0" xfId="22" applyNumberFormat="1" applyFill="1"/>
    <xf numFmtId="2" fontId="14" fillId="10" borderId="49" xfId="20" applyNumberFormat="1" applyFill="1" applyBorder="1"/>
    <xf numFmtId="2" fontId="0" fillId="8" borderId="3" xfId="0" applyNumberFormat="1" applyFill="1" applyBorder="1"/>
    <xf numFmtId="2" fontId="0" fillId="9" borderId="2" xfId="0" applyNumberFormat="1" applyFill="1" applyBorder="1" applyAlignment="1">
      <alignment horizontal="center" vertical="center" wrapText="1"/>
    </xf>
    <xf numFmtId="0" fontId="14" fillId="8" borderId="54" xfId="2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64" fontId="17" fillId="7" borderId="48" xfId="5" applyFont="1" applyFill="1" applyBorder="1"/>
    <xf numFmtId="2" fontId="20" fillId="4" borderId="48" xfId="20" applyNumberFormat="1" applyFont="1"/>
    <xf numFmtId="166" fontId="20" fillId="8" borderId="48" xfId="20" applyNumberFormat="1" applyFont="1" applyFill="1"/>
    <xf numFmtId="169" fontId="1" fillId="0" borderId="2" xfId="0" applyNumberFormat="1" applyFont="1" applyBorder="1" applyAlignment="1">
      <alignment horizontal="center" vertical="center" wrapText="1"/>
    </xf>
    <xf numFmtId="169" fontId="12" fillId="0" borderId="2" xfId="0" applyNumberFormat="1" applyFont="1" applyBorder="1" applyAlignment="1">
      <alignment horizontal="center" vertical="center" wrapText="1"/>
    </xf>
    <xf numFmtId="0" fontId="17" fillId="7" borderId="0" xfId="22" applyBorder="1"/>
    <xf numFmtId="169" fontId="0" fillId="0" borderId="0" xfId="0" applyNumberFormat="1"/>
    <xf numFmtId="169" fontId="12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14" fillId="9" borderId="0" xfId="20" applyNumberFormat="1" applyFill="1" applyBorder="1" applyAlignment="1">
      <alignment vertical="center"/>
    </xf>
    <xf numFmtId="2" fontId="0" fillId="8" borderId="4" xfId="0" applyNumberFormat="1" applyFill="1" applyBorder="1" applyAlignment="1">
      <alignment vertical="center"/>
    </xf>
    <xf numFmtId="9" fontId="14" fillId="8" borderId="4" xfId="21" applyFont="1" applyFill="1" applyBorder="1" applyAlignment="1">
      <alignment horizontal="center" vertical="center"/>
    </xf>
    <xf numFmtId="9" fontId="14" fillId="8" borderId="5" xfId="21" applyFont="1" applyFill="1" applyBorder="1" applyAlignment="1">
      <alignment horizontal="center" vertical="center"/>
    </xf>
    <xf numFmtId="2" fontId="14" fillId="9" borderId="2" xfId="20" applyNumberFormat="1" applyFill="1" applyBorder="1" applyAlignment="1">
      <alignment vertical="center"/>
    </xf>
    <xf numFmtId="2" fontId="0" fillId="8" borderId="3" xfId="0" applyNumberFormat="1" applyFill="1" applyBorder="1" applyAlignment="1">
      <alignment vertical="center"/>
    </xf>
    <xf numFmtId="9" fontId="14" fillId="8" borderId="3" xfId="21" applyFont="1" applyFill="1" applyBorder="1" applyAlignment="1">
      <alignment horizontal="center" vertical="center"/>
    </xf>
    <xf numFmtId="9" fontId="14" fillId="8" borderId="6" xfId="21" applyFon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165" fontId="14" fillId="0" borderId="0" xfId="21" applyNumberFormat="1" applyFont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165" fontId="14" fillId="8" borderId="0" xfId="21" applyNumberFormat="1" applyFont="1" applyFill="1" applyAlignment="1">
      <alignment horizontal="center" vertical="center"/>
    </xf>
    <xf numFmtId="9" fontId="14" fillId="8" borderId="0" xfId="21" applyFont="1" applyFill="1" applyAlignment="1">
      <alignment horizontal="center" vertical="center"/>
    </xf>
    <xf numFmtId="2" fontId="17" fillId="7" borderId="48" xfId="22" applyNumberForma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2" fontId="20" fillId="0" borderId="9" xfId="0" applyNumberFormat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4" fontId="0" fillId="0" borderId="1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25" fillId="0" borderId="9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4" fontId="0" fillId="0" borderId="19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2" fontId="20" fillId="0" borderId="21" xfId="0" applyNumberFormat="1" applyFont="1" applyBorder="1" applyAlignment="1">
      <alignment vertical="center"/>
    </xf>
    <xf numFmtId="14" fontId="0" fillId="9" borderId="18" xfId="0" applyNumberFormat="1" applyFill="1" applyBorder="1" applyAlignment="1">
      <alignment horizontal="center" vertical="center"/>
    </xf>
    <xf numFmtId="14" fontId="0" fillId="9" borderId="19" xfId="0" applyNumberForma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3" xfId="0" applyBorder="1"/>
    <xf numFmtId="0" fontId="0" fillId="0" borderId="2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28" fillId="11" borderId="22" xfId="2" applyFont="1" applyFill="1" applyBorder="1" applyAlignment="1">
      <alignment vertical="center" wrapText="1"/>
    </xf>
    <xf numFmtId="0" fontId="28" fillId="11" borderId="22" xfId="1" applyFont="1" applyFill="1" applyBorder="1" applyAlignment="1">
      <alignment vertical="center" wrapText="1"/>
    </xf>
    <xf numFmtId="0" fontId="28" fillId="11" borderId="21" xfId="3" applyFont="1" applyFill="1" applyBorder="1" applyAlignment="1">
      <alignment vertical="center" wrapText="1"/>
    </xf>
    <xf numFmtId="0" fontId="28" fillId="11" borderId="24" xfId="2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2" fontId="5" fillId="9" borderId="17" xfId="0" applyNumberFormat="1" applyFont="1" applyFill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9" fillId="3" borderId="13" xfId="2" applyFont="1" applyBorder="1" applyAlignment="1">
      <alignment vertical="center"/>
    </xf>
    <xf numFmtId="2" fontId="14" fillId="3" borderId="23" xfId="2" applyNumberFormat="1" applyBorder="1" applyAlignment="1">
      <alignment horizontal="right" vertical="center"/>
    </xf>
    <xf numFmtId="0" fontId="14" fillId="3" borderId="7" xfId="2" applyBorder="1" applyAlignment="1">
      <alignment vertical="center"/>
    </xf>
    <xf numFmtId="0" fontId="14" fillId="3" borderId="8" xfId="2" applyBorder="1" applyAlignment="1">
      <alignment horizontal="right" vertical="center"/>
    </xf>
    <xf numFmtId="0" fontId="0" fillId="12" borderId="9" xfId="0" applyFill="1" applyBorder="1" applyAlignment="1">
      <alignment vertical="center"/>
    </xf>
    <xf numFmtId="0" fontId="0" fillId="12" borderId="12" xfId="0" applyFill="1" applyBorder="1" applyAlignment="1">
      <alignment vertical="center"/>
    </xf>
    <xf numFmtId="0" fontId="14" fillId="13" borderId="21" xfId="2" applyFill="1" applyBorder="1" applyAlignment="1">
      <alignment horizontal="center" vertical="center"/>
    </xf>
    <xf numFmtId="0" fontId="20" fillId="14" borderId="10" xfId="0" applyFont="1" applyFill="1" applyBorder="1" applyAlignment="1">
      <alignment horizontal="center" vertical="center"/>
    </xf>
    <xf numFmtId="0" fontId="20" fillId="14" borderId="21" xfId="2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vertical="center"/>
    </xf>
    <xf numFmtId="0" fontId="20" fillId="15" borderId="21" xfId="0" applyFont="1" applyFill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2" fontId="27" fillId="9" borderId="55" xfId="4" applyNumberFormat="1" applyFont="1" applyFill="1" applyBorder="1" applyProtection="1">
      <protection locked="0"/>
    </xf>
    <xf numFmtId="0" fontId="0" fillId="13" borderId="28" xfId="0" applyFill="1" applyBorder="1"/>
    <xf numFmtId="0" fontId="20" fillId="16" borderId="10" xfId="0" applyFont="1" applyFill="1" applyBorder="1"/>
    <xf numFmtId="0" fontId="20" fillId="16" borderId="21" xfId="0" applyFont="1" applyFill="1" applyBorder="1"/>
    <xf numFmtId="0" fontId="20" fillId="17" borderId="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13" borderId="21" xfId="2" applyFill="1" applyBorder="1" applyAlignment="1">
      <alignment horizontal="center" vertical="center" wrapText="1"/>
    </xf>
    <xf numFmtId="1" fontId="27" fillId="9" borderId="55" xfId="4" applyNumberFormat="1" applyFont="1" applyFill="1" applyBorder="1" applyAlignment="1" applyProtection="1">
      <alignment horizontal="center"/>
      <protection locked="0"/>
    </xf>
    <xf numFmtId="0" fontId="0" fillId="0" borderId="57" xfId="0" applyBorder="1"/>
    <xf numFmtId="0" fontId="0" fillId="0" borderId="58" xfId="0" applyBorder="1"/>
    <xf numFmtId="10" fontId="0" fillId="0" borderId="59" xfId="0" applyNumberFormat="1" applyBorder="1" applyAlignment="1">
      <alignment horizontal="center"/>
    </xf>
    <xf numFmtId="2" fontId="5" fillId="9" borderId="17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7" fillId="18" borderId="47" xfId="21" applyNumberFormat="1" applyFont="1" applyFill="1" applyBorder="1"/>
    <xf numFmtId="0" fontId="27" fillId="9" borderId="55" xfId="4" applyFont="1" applyFill="1" applyBorder="1" applyProtection="1">
      <protection locked="0"/>
    </xf>
    <xf numFmtId="164" fontId="20" fillId="4" borderId="48" xfId="20" applyNumberFormat="1" applyFont="1"/>
    <xf numFmtId="0" fontId="17" fillId="17" borderId="0" xfId="22" applyFill="1" applyBorder="1"/>
    <xf numFmtId="169" fontId="12" fillId="17" borderId="29" xfId="0" applyNumberFormat="1" applyFont="1" applyFill="1" applyBorder="1" applyAlignment="1">
      <alignment horizontal="center" vertical="center" wrapText="1"/>
    </xf>
    <xf numFmtId="169" fontId="12" fillId="17" borderId="2" xfId="0" applyNumberFormat="1" applyFont="1" applyFill="1" applyBorder="1" applyAlignment="1">
      <alignment horizontal="center" vertical="center" wrapText="1"/>
    </xf>
    <xf numFmtId="4" fontId="12" fillId="17" borderId="2" xfId="0" applyNumberFormat="1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169" fontId="12" fillId="17" borderId="15" xfId="0" applyNumberFormat="1" applyFont="1" applyFill="1" applyBorder="1" applyAlignment="1">
      <alignment horizontal="center" vertical="center" wrapText="1"/>
    </xf>
    <xf numFmtId="169" fontId="1" fillId="17" borderId="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74" fontId="0" fillId="0" borderId="0" xfId="0" applyNumberFormat="1"/>
    <xf numFmtId="175" fontId="20" fillId="8" borderId="48" xfId="20" applyNumberFormat="1" applyFont="1" applyFill="1"/>
    <xf numFmtId="164" fontId="14" fillId="4" borderId="48" xfId="20" applyNumberFormat="1" applyAlignment="1">
      <alignment vertical="top" wrapText="1"/>
    </xf>
    <xf numFmtId="0" fontId="14" fillId="8" borderId="0" xfId="20" applyFont="1" applyFill="1" applyBorder="1" applyAlignment="1">
      <alignment horizontal="center" vertical="center" wrapText="1"/>
    </xf>
    <xf numFmtId="9" fontId="14" fillId="8" borderId="0" xfId="2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wrapText="1"/>
    </xf>
    <xf numFmtId="0" fontId="23" fillId="0" borderId="0" xfId="0" applyFont="1"/>
    <xf numFmtId="0" fontId="0" fillId="11" borderId="0" xfId="0" applyFill="1"/>
    <xf numFmtId="0" fontId="0" fillId="19" borderId="0" xfId="0" applyFill="1"/>
    <xf numFmtId="0" fontId="14" fillId="19" borderId="48" xfId="20" applyFont="1" applyFill="1"/>
    <xf numFmtId="0" fontId="14" fillId="19" borderId="48" xfId="20" applyFill="1"/>
    <xf numFmtId="175" fontId="14" fillId="4" borderId="48" xfId="5" applyNumberFormat="1" applyFill="1" applyBorder="1"/>
    <xf numFmtId="175" fontId="17" fillId="20" borderId="48" xfId="5" applyNumberFormat="1" applyFont="1" applyFill="1" applyBorder="1"/>
    <xf numFmtId="175" fontId="17" fillId="20" borderId="48" xfId="22" applyNumberFormat="1" applyFill="1" applyBorder="1"/>
    <xf numFmtId="175" fontId="20" fillId="4" borderId="48" xfId="20" applyNumberFormat="1" applyFont="1"/>
    <xf numFmtId="1" fontId="0" fillId="0" borderId="7" xfId="0" applyNumberFormat="1" applyBorder="1"/>
    <xf numFmtId="1" fontId="0" fillId="0" borderId="8" xfId="0" applyNumberFormat="1" applyBorder="1"/>
    <xf numFmtId="0" fontId="14" fillId="21" borderId="51" xfId="20" applyFont="1" applyFill="1" applyBorder="1" applyAlignment="1">
      <alignment horizontal="center" vertical="center" wrapText="1"/>
    </xf>
    <xf numFmtId="0" fontId="14" fillId="21" borderId="0" xfId="20" applyFont="1" applyFill="1" applyBorder="1" applyAlignment="1">
      <alignment horizontal="center" vertical="center" wrapText="1"/>
    </xf>
    <xf numFmtId="2" fontId="0" fillId="21" borderId="60" xfId="0" applyNumberFormat="1" applyFill="1" applyBorder="1" applyAlignment="1">
      <alignment horizontal="center" vertical="center"/>
    </xf>
    <xf numFmtId="2" fontId="0" fillId="21" borderId="0" xfId="0" applyNumberFormat="1" applyFill="1" applyAlignment="1">
      <alignment horizontal="center" vertical="center"/>
    </xf>
    <xf numFmtId="165" fontId="14" fillId="21" borderId="60" xfId="21" applyNumberFormat="1" applyFont="1" applyFill="1" applyBorder="1" applyAlignment="1">
      <alignment horizontal="center" vertical="center"/>
    </xf>
    <xf numFmtId="165" fontId="14" fillId="21" borderId="0" xfId="21" applyNumberFormat="1" applyFont="1" applyFill="1" applyBorder="1" applyAlignment="1">
      <alignment horizontal="center" vertical="center"/>
    </xf>
    <xf numFmtId="0" fontId="14" fillId="4" borderId="51" xfId="20" applyBorder="1" applyAlignment="1">
      <alignment vertical="top" wrapText="1"/>
    </xf>
    <xf numFmtId="0" fontId="14" fillId="4" borderId="51" xfId="20" applyFont="1" applyBorder="1"/>
    <xf numFmtId="0" fontId="14" fillId="4" borderId="51" xfId="20" applyBorder="1"/>
    <xf numFmtId="10" fontId="14" fillId="4" borderId="51" xfId="20" applyNumberFormat="1" applyBorder="1"/>
    <xf numFmtId="166" fontId="14" fillId="4" borderId="51" xfId="20" applyNumberFormat="1" applyBorder="1"/>
    <xf numFmtId="2" fontId="14" fillId="4" borderId="51" xfId="20" applyNumberFormat="1" applyBorder="1"/>
    <xf numFmtId="0" fontId="14" fillId="0" borderId="52" xfId="20" applyFill="1" applyBorder="1" applyAlignment="1">
      <alignment vertical="top" wrapText="1"/>
    </xf>
    <xf numFmtId="0" fontId="14" fillId="0" borderId="52" xfId="20" applyFill="1" applyBorder="1"/>
    <xf numFmtId="165" fontId="14" fillId="0" borderId="52" xfId="20" applyNumberFormat="1" applyFill="1" applyBorder="1"/>
    <xf numFmtId="165" fontId="17" fillId="0" borderId="52" xfId="22" applyNumberFormat="1" applyFill="1" applyBorder="1"/>
    <xf numFmtId="166" fontId="14" fillId="0" borderId="61" xfId="20" applyNumberFormat="1" applyFill="1" applyBorder="1"/>
    <xf numFmtId="2" fontId="14" fillId="0" borderId="61" xfId="20" applyNumberFormat="1" applyFill="1" applyBorder="1"/>
    <xf numFmtId="0" fontId="14" fillId="4" borderId="2" xfId="20" applyBorder="1" applyAlignment="1">
      <alignment vertical="top" wrapText="1"/>
    </xf>
    <xf numFmtId="0" fontId="14" fillId="4" borderId="2" xfId="20" applyFont="1" applyBorder="1" applyAlignment="1">
      <alignment horizontal="left" vertical="top" wrapText="1"/>
    </xf>
    <xf numFmtId="0" fontId="14" fillId="4" borderId="2" xfId="20" applyBorder="1"/>
    <xf numFmtId="10" fontId="14" fillId="4" borderId="2" xfId="20" applyNumberFormat="1" applyBorder="1"/>
    <xf numFmtId="166" fontId="14" fillId="4" borderId="2" xfId="20" applyNumberFormat="1" applyBorder="1"/>
    <xf numFmtId="0" fontId="14" fillId="4" borderId="2" xfId="2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8" borderId="2" xfId="20" applyFont="1" applyFill="1" applyBorder="1" applyAlignment="1">
      <alignment horizontal="center" vertical="center" wrapText="1"/>
    </xf>
    <xf numFmtId="2" fontId="14" fillId="4" borderId="2" xfId="20" applyNumberFormat="1" applyBorder="1"/>
    <xf numFmtId="2" fontId="20" fillId="8" borderId="2" xfId="0" applyNumberFormat="1" applyFont="1" applyFill="1" applyBorder="1" applyAlignment="1">
      <alignment horizontal="center" vertical="center"/>
    </xf>
    <xf numFmtId="165" fontId="17" fillId="7" borderId="2" xfId="22" applyNumberFormat="1" applyBorder="1"/>
    <xf numFmtId="165" fontId="14" fillId="4" borderId="2" xfId="20" applyNumberFormat="1" applyBorder="1"/>
    <xf numFmtId="9" fontId="20" fillId="8" borderId="2" xfId="21" applyFont="1" applyFill="1" applyBorder="1" applyAlignment="1">
      <alignment horizontal="center" vertical="center"/>
    </xf>
    <xf numFmtId="175" fontId="14" fillId="4" borderId="48" xfId="20" applyNumberFormat="1"/>
    <xf numFmtId="173" fontId="0" fillId="0" borderId="2" xfId="0" applyNumberFormat="1" applyBorder="1" applyAlignment="1">
      <alignment horizontal="center" vertical="center"/>
    </xf>
    <xf numFmtId="10" fontId="17" fillId="7" borderId="48" xfId="22" applyNumberFormat="1" applyBorder="1"/>
    <xf numFmtId="169" fontId="30" fillId="0" borderId="2" xfId="0" applyNumberFormat="1" applyFont="1" applyBorder="1" applyAlignment="1">
      <alignment horizontal="center" vertical="center" wrapText="1"/>
    </xf>
    <xf numFmtId="14" fontId="28" fillId="9" borderId="19" xfId="0" applyNumberFormat="1" applyFont="1" applyFill="1" applyBorder="1" applyAlignment="1">
      <alignment horizontal="center" vertical="center"/>
    </xf>
    <xf numFmtId="174" fontId="20" fillId="0" borderId="0" xfId="0" applyNumberFormat="1" applyFont="1"/>
    <xf numFmtId="0" fontId="20" fillId="4" borderId="48" xfId="20" applyFont="1" applyAlignment="1">
      <alignment wrapText="1"/>
    </xf>
    <xf numFmtId="164" fontId="20" fillId="8" borderId="48" xfId="20" applyNumberFormat="1" applyFont="1" applyFill="1"/>
    <xf numFmtId="0" fontId="28" fillId="19" borderId="48" xfId="20" applyFont="1" applyFill="1"/>
    <xf numFmtId="0" fontId="28" fillId="4" borderId="48" xfId="20" applyFont="1"/>
    <xf numFmtId="14" fontId="0" fillId="21" borderId="19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21" borderId="2" xfId="0" applyNumberFormat="1" applyFill="1" applyBorder="1" applyAlignment="1">
      <alignment horizontal="center" vertical="center"/>
    </xf>
    <xf numFmtId="165" fontId="0" fillId="21" borderId="32" xfId="0" applyNumberFormat="1" applyFill="1" applyBorder="1" applyAlignment="1">
      <alignment horizontal="center" vertical="center"/>
    </xf>
    <xf numFmtId="165" fontId="0" fillId="21" borderId="2" xfId="0" applyNumberFormat="1" applyFill="1" applyBorder="1" applyAlignment="1">
      <alignment horizontal="center" vertical="center"/>
    </xf>
    <xf numFmtId="165" fontId="0" fillId="21" borderId="33" xfId="0" applyNumberFormat="1" applyFill="1" applyBorder="1" applyAlignment="1">
      <alignment horizontal="center" vertical="center"/>
    </xf>
    <xf numFmtId="165" fontId="0" fillId="21" borderId="14" xfId="0" applyNumberFormat="1" applyFill="1" applyBorder="1" applyAlignment="1">
      <alignment horizontal="center" vertical="center"/>
    </xf>
    <xf numFmtId="14" fontId="0" fillId="21" borderId="16" xfId="0" applyNumberFormat="1" applyFill="1" applyBorder="1" applyAlignment="1">
      <alignment horizontal="center" vertical="center"/>
    </xf>
    <xf numFmtId="14" fontId="0" fillId="21" borderId="7" xfId="0" applyNumberFormat="1" applyFill="1" applyBorder="1" applyAlignment="1">
      <alignment horizontal="center" vertical="center"/>
    </xf>
    <xf numFmtId="2" fontId="5" fillId="21" borderId="17" xfId="0" applyNumberFormat="1" applyFont="1" applyFill="1" applyBorder="1" applyAlignment="1">
      <alignment horizontal="center" vertical="center"/>
    </xf>
    <xf numFmtId="173" fontId="5" fillId="21" borderId="17" xfId="0" applyNumberFormat="1" applyFont="1" applyFill="1" applyBorder="1" applyAlignment="1">
      <alignment vertical="center"/>
    </xf>
    <xf numFmtId="2" fontId="5" fillId="21" borderId="17" xfId="0" applyNumberFormat="1" applyFont="1" applyFill="1" applyBorder="1" applyAlignment="1">
      <alignment vertical="center"/>
    </xf>
    <xf numFmtId="0" fontId="3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2" fontId="0" fillId="21" borderId="2" xfId="0" applyNumberFormat="1" applyFill="1" applyBorder="1" applyAlignment="1">
      <alignment horizontal="center" vertical="center"/>
    </xf>
    <xf numFmtId="2" fontId="0" fillId="21" borderId="8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4" fontId="0" fillId="21" borderId="3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21" borderId="36" xfId="0" applyNumberFormat="1" applyFill="1" applyBorder="1" applyAlignment="1">
      <alignment horizontal="center"/>
    </xf>
    <xf numFmtId="1" fontId="0" fillId="21" borderId="34" xfId="0" applyNumberFormat="1" applyFill="1" applyBorder="1" applyAlignment="1">
      <alignment horizontal="center"/>
    </xf>
    <xf numFmtId="1" fontId="14" fillId="21" borderId="34" xfId="1" applyNumberFormat="1" applyFill="1" applyBorder="1" applyAlignment="1">
      <alignment horizontal="center"/>
    </xf>
    <xf numFmtId="1" fontId="0" fillId="21" borderId="32" xfId="0" applyNumberFormat="1" applyFill="1" applyBorder="1" applyAlignment="1">
      <alignment horizontal="center"/>
    </xf>
    <xf numFmtId="1" fontId="0" fillId="21" borderId="2" xfId="0" applyNumberFormat="1" applyFill="1" applyBorder="1" applyAlignment="1">
      <alignment horizontal="center"/>
    </xf>
    <xf numFmtId="1" fontId="14" fillId="21" borderId="2" xfId="1" applyNumberFormat="1" applyFill="1" applyBorder="1" applyAlignment="1">
      <alignment horizontal="center"/>
    </xf>
    <xf numFmtId="1" fontId="14" fillId="21" borderId="17" xfId="3" applyNumberFormat="1" applyFont="1" applyFill="1" applyBorder="1" applyAlignment="1">
      <alignment horizontal="center" vertical="center"/>
    </xf>
    <xf numFmtId="1" fontId="14" fillId="21" borderId="8" xfId="3" applyNumberFormat="1" applyFont="1" applyFill="1" applyBorder="1" applyAlignment="1">
      <alignment horizontal="center" vertical="center"/>
    </xf>
    <xf numFmtId="1" fontId="28" fillId="21" borderId="17" xfId="3" applyNumberFormat="1" applyFont="1" applyFill="1" applyBorder="1" applyAlignment="1">
      <alignment horizontal="center"/>
    </xf>
    <xf numFmtId="1" fontId="28" fillId="21" borderId="8" xfId="3" applyNumberFormat="1" applyFont="1" applyFill="1" applyBorder="1" applyAlignment="1">
      <alignment horizontal="center"/>
    </xf>
    <xf numFmtId="10" fontId="20" fillId="4" borderId="48" xfId="20" applyNumberFormat="1" applyFont="1"/>
    <xf numFmtId="0" fontId="0" fillId="17" borderId="0" xfId="0" applyFill="1" applyAlignment="1">
      <alignment vertical="center"/>
    </xf>
    <xf numFmtId="0" fontId="0" fillId="17" borderId="0" xfId="0" applyFill="1"/>
    <xf numFmtId="165" fontId="27" fillId="22" borderId="47" xfId="21" applyNumberFormat="1" applyFont="1" applyFill="1" applyBorder="1"/>
    <xf numFmtId="2" fontId="27" fillId="22" borderId="55" xfId="4" applyNumberFormat="1" applyFont="1" applyFill="1" applyBorder="1" applyAlignment="1" applyProtection="1">
      <alignment horizontal="center"/>
      <protection locked="0"/>
    </xf>
    <xf numFmtId="0" fontId="0" fillId="4" borderId="48" xfId="20" applyFont="1" applyAlignment="1">
      <alignment vertical="top" wrapText="1"/>
    </xf>
    <xf numFmtId="14" fontId="27" fillId="21" borderId="2" xfId="0" applyNumberFormat="1" applyFont="1" applyFill="1" applyBorder="1" applyAlignment="1">
      <alignment horizontal="center" vertical="center"/>
    </xf>
    <xf numFmtId="165" fontId="28" fillId="21" borderId="2" xfId="0" applyNumberFormat="1" applyFon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165" fontId="28" fillId="9" borderId="2" xfId="0" applyNumberFormat="1" applyFont="1" applyFill="1" applyBorder="1" applyAlignment="1">
      <alignment vertical="center"/>
    </xf>
    <xf numFmtId="165" fontId="28" fillId="9" borderId="14" xfId="0" applyNumberFormat="1" applyFont="1" applyFill="1" applyBorder="1" applyAlignment="1">
      <alignment horizontal="center" vertical="center"/>
    </xf>
    <xf numFmtId="14" fontId="28" fillId="21" borderId="7" xfId="0" applyNumberFormat="1" applyFont="1" applyFill="1" applyBorder="1" applyAlignment="1">
      <alignment horizontal="center" vertical="center"/>
    </xf>
    <xf numFmtId="14" fontId="0" fillId="9" borderId="7" xfId="0" applyNumberFormat="1" applyFill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2" fontId="28" fillId="21" borderId="2" xfId="0" applyNumberFormat="1" applyFont="1" applyFill="1" applyBorder="1" applyAlignment="1">
      <alignment horizontal="center" vertical="center"/>
    </xf>
    <xf numFmtId="2" fontId="28" fillId="21" borderId="8" xfId="0" applyNumberFormat="1" applyFont="1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1" fontId="0" fillId="21" borderId="19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173" fontId="27" fillId="9" borderId="55" xfId="4" applyNumberFormat="1" applyFont="1" applyFill="1" applyBorder="1" applyProtection="1">
      <protection locked="0"/>
    </xf>
    <xf numFmtId="14" fontId="0" fillId="22" borderId="19" xfId="0" applyNumberFormat="1" applyFill="1" applyBorder="1" applyAlignment="1">
      <alignment horizontal="center" vertical="center"/>
    </xf>
    <xf numFmtId="2" fontId="27" fillId="9" borderId="55" xfId="4" applyNumberFormat="1" applyFont="1" applyFill="1" applyBorder="1" applyAlignment="1" applyProtection="1">
      <alignment horizontal="center"/>
      <protection locked="0"/>
    </xf>
    <xf numFmtId="9" fontId="27" fillId="18" borderId="47" xfId="4" applyNumberFormat="1" applyFont="1" applyFill="1" applyProtection="1">
      <protection locked="0"/>
    </xf>
    <xf numFmtId="0" fontId="20" fillId="18" borderId="2" xfId="0" applyFont="1" applyFill="1" applyBorder="1" applyAlignment="1">
      <alignment horizontal="center"/>
    </xf>
    <xf numFmtId="1" fontId="20" fillId="18" borderId="2" xfId="0" applyNumberFormat="1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14" fontId="0" fillId="24" borderId="19" xfId="0" applyNumberFormat="1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2" xfId="0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14" fontId="0" fillId="24" borderId="18" xfId="0" applyNumberFormat="1" applyFill="1" applyBorder="1" applyAlignment="1">
      <alignment horizontal="center" vertical="center"/>
    </xf>
    <xf numFmtId="14" fontId="0" fillId="24" borderId="2" xfId="0" applyNumberFormat="1" applyFill="1" applyBorder="1" applyAlignment="1">
      <alignment horizontal="center" vertical="center"/>
    </xf>
    <xf numFmtId="165" fontId="28" fillId="24" borderId="2" xfId="0" applyNumberFormat="1" applyFont="1" applyFill="1" applyBorder="1" applyAlignment="1">
      <alignment vertical="center"/>
    </xf>
    <xf numFmtId="165" fontId="28" fillId="24" borderId="14" xfId="0" applyNumberFormat="1" applyFont="1" applyFill="1" applyBorder="1" applyAlignment="1">
      <alignment horizontal="center" vertical="center"/>
    </xf>
    <xf numFmtId="14" fontId="27" fillId="21" borderId="7" xfId="0" applyNumberFormat="1" applyFont="1" applyFill="1" applyBorder="1" applyAlignment="1">
      <alignment horizontal="center" vertical="center"/>
    </xf>
    <xf numFmtId="2" fontId="27" fillId="21" borderId="8" xfId="3" applyNumberFormat="1" applyFont="1" applyFill="1" applyBorder="1" applyAlignment="1">
      <alignment horizontal="center" vertical="center"/>
    </xf>
    <xf numFmtId="2" fontId="28" fillId="21" borderId="8" xfId="3" applyNumberFormat="1" applyFont="1" applyFill="1" applyBorder="1" applyAlignment="1">
      <alignment vertical="center"/>
    </xf>
    <xf numFmtId="2" fontId="28" fillId="21" borderId="12" xfId="3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2" fontId="28" fillId="9" borderId="8" xfId="3" applyNumberFormat="1" applyFont="1" applyFill="1" applyBorder="1" applyAlignment="1">
      <alignment vertical="center"/>
    </xf>
    <xf numFmtId="165" fontId="28" fillId="0" borderId="2" xfId="0" applyNumberFormat="1" applyFont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165" fontId="28" fillId="0" borderId="14" xfId="0" applyNumberFormat="1" applyFont="1" applyBorder="1" applyAlignment="1">
      <alignment horizontal="center" vertical="center"/>
    </xf>
    <xf numFmtId="14" fontId="27" fillId="21" borderId="19" xfId="0" applyNumberFormat="1" applyFont="1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1" fontId="28" fillId="9" borderId="32" xfId="0" applyNumberFormat="1" applyFont="1" applyFill="1" applyBorder="1" applyAlignment="1">
      <alignment horizontal="center"/>
    </xf>
    <xf numFmtId="1" fontId="28" fillId="9" borderId="8" xfId="3" applyNumberFormat="1" applyFont="1" applyFill="1" applyBorder="1" applyAlignment="1">
      <alignment horizontal="center"/>
    </xf>
    <xf numFmtId="1" fontId="28" fillId="0" borderId="32" xfId="0" applyNumberFormat="1" applyFont="1" applyBorder="1" applyAlignment="1">
      <alignment horizontal="center"/>
    </xf>
    <xf numFmtId="1" fontId="28" fillId="0" borderId="2" xfId="0" applyNumberFormat="1" applyFont="1" applyBorder="1" applyAlignment="1">
      <alignment horizontal="center"/>
    </xf>
    <xf numFmtId="1" fontId="28" fillId="0" borderId="2" xfId="1" applyNumberFormat="1" applyFont="1" applyFill="1" applyBorder="1" applyAlignment="1">
      <alignment horizontal="center"/>
    </xf>
    <xf numFmtId="1" fontId="28" fillId="0" borderId="8" xfId="3" applyNumberFormat="1" applyFont="1" applyFill="1" applyBorder="1" applyAlignment="1">
      <alignment horizontal="center"/>
    </xf>
    <xf numFmtId="1" fontId="28" fillId="0" borderId="37" xfId="0" applyNumberFormat="1" applyFont="1" applyBorder="1" applyAlignment="1">
      <alignment horizontal="center"/>
    </xf>
    <xf numFmtId="1" fontId="28" fillId="0" borderId="38" xfId="0" applyNumberFormat="1" applyFont="1" applyBorder="1" applyAlignment="1">
      <alignment horizontal="center"/>
    </xf>
    <xf numFmtId="1" fontId="28" fillId="0" borderId="38" xfId="1" applyNumberFormat="1" applyFont="1" applyFill="1" applyBorder="1" applyAlignment="1">
      <alignment horizontal="center"/>
    </xf>
    <xf numFmtId="1" fontId="28" fillId="0" borderId="39" xfId="3" applyNumberFormat="1" applyFont="1" applyFill="1" applyBorder="1" applyAlignment="1">
      <alignment horizontal="center"/>
    </xf>
    <xf numFmtId="166" fontId="28" fillId="0" borderId="30" xfId="0" applyNumberFormat="1" applyFont="1" applyBorder="1"/>
    <xf numFmtId="166" fontId="28" fillId="0" borderId="31" xfId="0" applyNumberFormat="1" applyFont="1" applyBorder="1"/>
    <xf numFmtId="2" fontId="27" fillId="0" borderId="55" xfId="4" applyNumberFormat="1" applyFont="1" applyFill="1" applyBorder="1" applyAlignment="1" applyProtection="1">
      <alignment horizontal="center"/>
      <protection locked="0"/>
    </xf>
    <xf numFmtId="2" fontId="27" fillId="0" borderId="56" xfId="4" applyNumberFormat="1" applyFont="1" applyFill="1" applyBorder="1" applyAlignment="1" applyProtection="1">
      <alignment horizontal="center"/>
      <protection locked="0"/>
    </xf>
    <xf numFmtId="0" fontId="20" fillId="4" borderId="48" xfId="20" applyFont="1" applyAlignment="1">
      <alignment vertical="top" wrapText="1"/>
    </xf>
    <xf numFmtId="10" fontId="0" fillId="0" borderId="0" xfId="0" applyNumberFormat="1"/>
    <xf numFmtId="165" fontId="27" fillId="0" borderId="47" xfId="21" applyNumberFormat="1" applyFont="1" applyFill="1" applyBorder="1"/>
    <xf numFmtId="0" fontId="27" fillId="22" borderId="55" xfId="4" applyFont="1" applyFill="1" applyBorder="1" applyProtection="1">
      <protection locked="0"/>
    </xf>
    <xf numFmtId="0" fontId="27" fillId="2" borderId="55" xfId="4" applyFont="1" applyBorder="1" applyProtection="1">
      <protection locked="0"/>
    </xf>
    <xf numFmtId="0" fontId="27" fillId="2" borderId="56" xfId="4" applyFont="1" applyBorder="1" applyProtection="1">
      <protection locked="0"/>
    </xf>
    <xf numFmtId="1" fontId="14" fillId="4" borderId="48" xfId="20" applyNumberFormat="1" applyAlignment="1">
      <alignment horizontal="center"/>
    </xf>
    <xf numFmtId="175" fontId="17" fillId="20" borderId="48" xfId="5" applyNumberFormat="1" applyFont="1" applyFill="1" applyBorder="1" applyAlignment="1">
      <alignment horizontal="center"/>
    </xf>
    <xf numFmtId="175" fontId="17" fillId="20" borderId="48" xfId="22" applyNumberFormat="1" applyFill="1" applyBorder="1" applyAlignment="1">
      <alignment horizontal="center"/>
    </xf>
    <xf numFmtId="175" fontId="20" fillId="4" borderId="48" xfId="20" applyNumberFormat="1" applyFont="1" applyAlignment="1">
      <alignment horizontal="center"/>
    </xf>
    <xf numFmtId="164" fontId="20" fillId="4" borderId="48" xfId="20" applyNumberFormat="1" applyFont="1" applyAlignment="1">
      <alignment horizontal="center"/>
    </xf>
    <xf numFmtId="10" fontId="14" fillId="4" borderId="48" xfId="20" applyNumberFormat="1" applyAlignment="1">
      <alignment horizontal="center"/>
    </xf>
    <xf numFmtId="10" fontId="17" fillId="7" borderId="48" xfId="22" applyNumberFormat="1" applyBorder="1" applyAlignment="1">
      <alignment horizontal="center"/>
    </xf>
    <xf numFmtId="164" fontId="14" fillId="4" borderId="48" xfId="20" applyNumberFormat="1"/>
    <xf numFmtId="165" fontId="20" fillId="8" borderId="2" xfId="21" applyNumberFormat="1" applyFont="1" applyFill="1" applyBorder="1" applyAlignment="1">
      <alignment horizontal="center" vertical="center"/>
    </xf>
    <xf numFmtId="169" fontId="20" fillId="0" borderId="0" xfId="0" applyNumberFormat="1" applyFont="1"/>
    <xf numFmtId="167" fontId="14" fillId="4" borderId="48" xfId="20" applyNumberFormat="1"/>
    <xf numFmtId="9" fontId="17" fillId="7" borderId="2" xfId="21" applyFont="1" applyFill="1" applyBorder="1"/>
    <xf numFmtId="0" fontId="20" fillId="25" borderId="2" xfId="0" applyFont="1" applyFill="1" applyBorder="1" applyAlignment="1">
      <alignment horizontal="center"/>
    </xf>
    <xf numFmtId="1" fontId="20" fillId="25" borderId="2" xfId="0" applyNumberFormat="1" applyFont="1" applyFill="1" applyBorder="1" applyAlignment="1">
      <alignment horizontal="center"/>
    </xf>
    <xf numFmtId="10" fontId="0" fillId="0" borderId="0" xfId="21" applyNumberFormat="1" applyFont="1"/>
    <xf numFmtId="0" fontId="14" fillId="4" borderId="61" xfId="20" applyBorder="1"/>
    <xf numFmtId="1" fontId="28" fillId="9" borderId="2" xfId="0" applyNumberFormat="1" applyFont="1" applyFill="1" applyBorder="1" applyAlignment="1">
      <alignment horizontal="center"/>
    </xf>
    <xf numFmtId="1" fontId="28" fillId="9" borderId="2" xfId="1" applyNumberFormat="1" applyFont="1" applyFill="1" applyBorder="1" applyAlignment="1">
      <alignment horizontal="center"/>
    </xf>
    <xf numFmtId="0" fontId="20" fillId="13" borderId="40" xfId="0" applyFont="1" applyFill="1" applyBorder="1" applyAlignment="1">
      <alignment horizontal="center" vertical="center"/>
    </xf>
    <xf numFmtId="0" fontId="20" fillId="13" borderId="41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20" fillId="23" borderId="26" xfId="2" applyFont="1" applyFill="1" applyBorder="1" applyAlignment="1">
      <alignment horizontal="center" vertical="center" wrapText="1"/>
    </xf>
    <xf numFmtId="0" fontId="20" fillId="23" borderId="42" xfId="2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0" fillId="16" borderId="10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10" borderId="0" xfId="0" applyFont="1" applyFill="1" applyAlignment="1">
      <alignment horizontal="center" vertical="top" wrapText="1"/>
    </xf>
    <xf numFmtId="0" fontId="34" fillId="10" borderId="44" xfId="0" applyFont="1" applyFill="1" applyBorder="1" applyAlignment="1">
      <alignment horizontal="center" vertical="top" wrapText="1"/>
    </xf>
    <xf numFmtId="165" fontId="20" fillId="0" borderId="45" xfId="0" applyNumberFormat="1" applyFont="1" applyBorder="1" applyAlignment="1">
      <alignment horizontal="center" vertical="center"/>
    </xf>
    <xf numFmtId="165" fontId="20" fillId="0" borderId="4" xfId="0" applyNumberFormat="1" applyFont="1" applyBorder="1" applyAlignment="1">
      <alignment horizontal="center" vertical="center"/>
    </xf>
    <xf numFmtId="165" fontId="20" fillId="0" borderId="5" xfId="0" applyNumberFormat="1" applyFont="1" applyBorder="1" applyAlignment="1">
      <alignment horizontal="center" vertical="center"/>
    </xf>
    <xf numFmtId="165" fontId="20" fillId="0" borderId="4" xfId="21" applyNumberFormat="1" applyFont="1" applyBorder="1" applyAlignment="1">
      <alignment horizontal="center" vertical="center" wrapText="1"/>
    </xf>
    <xf numFmtId="165" fontId="20" fillId="0" borderId="5" xfId="21" applyNumberFormat="1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0" fillId="9" borderId="4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top"/>
    </xf>
    <xf numFmtId="0" fontId="11" fillId="9" borderId="46" xfId="0" applyFont="1" applyFill="1" applyBorder="1" applyAlignment="1">
      <alignment horizontal="center" vertical="top"/>
    </xf>
    <xf numFmtId="0" fontId="11" fillId="9" borderId="32" xfId="0" applyFont="1" applyFill="1" applyBorder="1" applyAlignment="1">
      <alignment horizontal="center" vertical="top"/>
    </xf>
    <xf numFmtId="0" fontId="20" fillId="9" borderId="29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0" fillId="0" borderId="0" xfId="0" applyAlignment="1">
      <alignment vertical="center" wrapText="1"/>
    </xf>
    <xf numFmtId="2" fontId="20" fillId="18" borderId="2" xfId="0" applyNumberFormat="1" applyFont="1" applyFill="1" applyBorder="1" applyAlignment="1">
      <alignment horizontal="center"/>
    </xf>
  </cellXfs>
  <cellStyles count="23">
    <cellStyle name="20 % - Accent3" xfId="1" builtinId="38"/>
    <cellStyle name="40 % - Accent2" xfId="2" builtinId="35"/>
    <cellStyle name="Accent3" xfId="3" builtinId="37"/>
    <cellStyle name="Calcul" xfId="4" builtinId="22"/>
    <cellStyle name="Milliers" xfId="5" builtinId="3"/>
    <cellStyle name="Milliers 2" xfId="6" xr:uid="{00000000-0005-0000-0000-000006000000}"/>
    <cellStyle name="Milliers 2 2" xfId="7" xr:uid="{00000000-0005-0000-0000-000007000000}"/>
    <cellStyle name="Milliers 3" xfId="8" xr:uid="{00000000-0005-0000-0000-000008000000}"/>
    <cellStyle name="Milliers 3 2" xfId="9" xr:uid="{00000000-0005-0000-0000-000009000000}"/>
    <cellStyle name="Milliers 4" xfId="10" xr:uid="{00000000-0005-0000-0000-00000A000000}"/>
    <cellStyle name="Milliers 5" xfId="11" xr:uid="{00000000-0005-0000-0000-00000B000000}"/>
    <cellStyle name="Milliers 6" xfId="12" xr:uid="{00000000-0005-0000-0000-00000C000000}"/>
    <cellStyle name="Milliers 7" xfId="13" xr:uid="{00000000-0005-0000-0000-00000D000000}"/>
    <cellStyle name="Monétaire 2" xfId="14" xr:uid="{00000000-0005-0000-0000-00000E000000}"/>
    <cellStyle name="Monétaire 2 2" xfId="15" xr:uid="{00000000-0005-0000-0000-00000F000000}"/>
    <cellStyle name="Normal" xfId="0" builtinId="0"/>
    <cellStyle name="Normal 2" xfId="16" xr:uid="{00000000-0005-0000-0000-000011000000}"/>
    <cellStyle name="Normal 2 2" xfId="17" xr:uid="{00000000-0005-0000-0000-000012000000}"/>
    <cellStyle name="Normal 3" xfId="18" xr:uid="{00000000-0005-0000-0000-000013000000}"/>
    <cellStyle name="Normal 3 14" xfId="19" xr:uid="{00000000-0005-0000-0000-000014000000}"/>
    <cellStyle name="Note" xfId="20" builtinId="10"/>
    <cellStyle name="Pourcentage" xfId="21" builtinId="5"/>
    <cellStyle name="Satisfaisant" xfId="22" builtinId="26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5</xdr:row>
      <xdr:rowOff>28575</xdr:rowOff>
    </xdr:to>
    <xdr:pic>
      <xdr:nvPicPr>
        <xdr:cNvPr id="1025" name="Image 1">
          <a:extLst>
            <a:ext uri="{FF2B5EF4-FFF2-40B4-BE49-F238E27FC236}">
              <a16:creationId xmlns:a16="http://schemas.microsoft.com/office/drawing/2014/main" id="{BC74FF1B-E0A6-8EB3-AE7B-0ADC3040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219075</xdr:rowOff>
    </xdr:from>
    <xdr:to>
      <xdr:col>7</xdr:col>
      <xdr:colOff>2095500</xdr:colOff>
      <xdr:row>0</xdr:row>
      <xdr:rowOff>1390650</xdr:rowOff>
    </xdr:to>
    <xdr:pic>
      <xdr:nvPicPr>
        <xdr:cNvPr id="2049" name="Image 3">
          <a:extLst>
            <a:ext uri="{FF2B5EF4-FFF2-40B4-BE49-F238E27FC236}">
              <a16:creationId xmlns:a16="http://schemas.microsoft.com/office/drawing/2014/main" id="{A44F2826-F06D-32D9-222D-19F3D2AC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19075"/>
          <a:ext cx="7239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4"/>
  <sheetViews>
    <sheetView workbookViewId="0">
      <selection activeCell="C27" sqref="C27"/>
    </sheetView>
  </sheetViews>
  <sheetFormatPr baseColWidth="10" defaultColWidth="8.7265625" defaultRowHeight="14.5"/>
  <cols>
    <col min="1" max="256" width="11.453125" customWidth="1"/>
  </cols>
  <sheetData>
    <row r="6" spans="1:1" ht="18.5">
      <c r="A6" s="2" t="s">
        <v>0</v>
      </c>
    </row>
    <row r="7" spans="1:1">
      <c r="A7" s="3" t="s">
        <v>1</v>
      </c>
    </row>
    <row r="8" spans="1:1">
      <c r="A8" s="3" t="s">
        <v>2</v>
      </c>
    </row>
    <row r="11" spans="1:1">
      <c r="A11" t="s">
        <v>3</v>
      </c>
    </row>
    <row r="12" spans="1:1">
      <c r="A12" t="s">
        <v>4</v>
      </c>
    </row>
    <row r="13" spans="1:1">
      <c r="A13" t="s">
        <v>5</v>
      </c>
    </row>
    <row r="14" spans="1:1">
      <c r="A14" t="s">
        <v>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0"/>
  <sheetViews>
    <sheetView topLeftCell="B1" zoomScale="70" zoomScaleNormal="70" workbookViewId="0">
      <selection activeCell="M38" sqref="M38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2">
        <v>2020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3570.8553795709563</v>
      </c>
      <c r="E7" s="221">
        <f>E10*(1-E23)</f>
        <v>240.19013736614693</v>
      </c>
      <c r="F7" s="221">
        <f>F10*(1-F23)</f>
        <v>235.07655983474044</v>
      </c>
      <c r="G7" s="221">
        <f>G10*(1-G23)</f>
        <v>287.06886236842104</v>
      </c>
      <c r="H7" s="221">
        <f t="shared" ref="H7:P7" si="0">H10*(1-H23)</f>
        <v>273.41645937215304</v>
      </c>
      <c r="I7" s="221">
        <f t="shared" si="0"/>
        <v>324.79814612538718</v>
      </c>
      <c r="J7" s="221">
        <f t="shared" si="0"/>
        <v>421.27074787677577</v>
      </c>
      <c r="K7" s="221">
        <f t="shared" si="0"/>
        <v>268.78608423809885</v>
      </c>
      <c r="L7" s="221">
        <f t="shared" si="0"/>
        <v>419.81503009199417</v>
      </c>
      <c r="M7" s="221">
        <f t="shared" si="0"/>
        <v>195.20336512067973</v>
      </c>
      <c r="N7" s="221">
        <f t="shared" si="0"/>
        <v>260.6692103424179</v>
      </c>
      <c r="O7" s="221">
        <f t="shared" si="0"/>
        <v>295.4382632577254</v>
      </c>
      <c r="P7" s="221">
        <f t="shared" si="0"/>
        <v>349.12251357641583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1072</v>
      </c>
      <c r="E8" s="222">
        <f>E11*(1-E34)</f>
        <v>59.163757367520155</v>
      </c>
      <c r="F8" s="222">
        <f>F11*(1-F34)</f>
        <v>89.311347490526643</v>
      </c>
      <c r="G8" s="222">
        <f>G11*(1-G34)</f>
        <v>87.362095787876612</v>
      </c>
      <c r="H8" s="222">
        <f t="shared" ref="H8:P8" si="1">H11*(1-H34)</f>
        <v>92.012385161095153</v>
      </c>
      <c r="I8" s="222">
        <f t="shared" si="1"/>
        <v>58.449147219365564</v>
      </c>
      <c r="J8" s="222">
        <f t="shared" si="1"/>
        <v>51.907657499422236</v>
      </c>
      <c r="K8" s="222">
        <f t="shared" si="1"/>
        <v>53.506156221055875</v>
      </c>
      <c r="L8" s="222">
        <f t="shared" si="1"/>
        <v>98.669706604142263</v>
      </c>
      <c r="M8" s="222">
        <f>M11*(1-M34)</f>
        <v>151.08818672189727</v>
      </c>
      <c r="N8" s="222">
        <f>N11*(1-N34)</f>
        <v>111.73576991014514</v>
      </c>
      <c r="O8" s="222">
        <f>O11*(1-O34)</f>
        <v>135.42534722728266</v>
      </c>
      <c r="P8" s="222">
        <f t="shared" si="1"/>
        <v>84.324990046449898</v>
      </c>
      <c r="Q8" s="32"/>
      <c r="R8" s="32"/>
      <c r="T8" s="10"/>
      <c r="U8" s="58"/>
    </row>
    <row r="9" spans="1:21">
      <c r="A9" s="43" t="s">
        <v>123</v>
      </c>
      <c r="B9" s="43"/>
      <c r="C9" s="211">
        <f>D7+D8</f>
        <v>4642.8553795709558</v>
      </c>
      <c r="D9" s="210">
        <f>SUM(E9:P9)</f>
        <v>4643.8119268277369</v>
      </c>
      <c r="E9" s="223">
        <f>SUM(E7:E8)</f>
        <v>299.35389473366706</v>
      </c>
      <c r="F9" s="223">
        <f t="shared" ref="F9:P9" si="2">SUM(F7:F8)</f>
        <v>324.38790732526707</v>
      </c>
      <c r="G9" s="223">
        <f t="shared" si="2"/>
        <v>374.43095815629766</v>
      </c>
      <c r="H9" s="223">
        <f t="shared" si="2"/>
        <v>365.4288445332482</v>
      </c>
      <c r="I9" s="223">
        <f t="shared" si="2"/>
        <v>383.24729334475273</v>
      </c>
      <c r="J9" s="223">
        <f t="shared" si="2"/>
        <v>473.17840537619799</v>
      </c>
      <c r="K9" s="223">
        <f t="shared" si="2"/>
        <v>322.29224045915475</v>
      </c>
      <c r="L9" s="223">
        <f t="shared" si="2"/>
        <v>518.48473669613645</v>
      </c>
      <c r="M9" s="223">
        <f t="shared" si="2"/>
        <v>346.29155184257701</v>
      </c>
      <c r="N9" s="223">
        <f t="shared" si="2"/>
        <v>372.40498025256306</v>
      </c>
      <c r="O9" s="223">
        <f t="shared" si="2"/>
        <v>430.86361048500805</v>
      </c>
      <c r="P9" s="223">
        <f t="shared" si="2"/>
        <v>433.44750362286572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220">
        <f>ROUNDDOWN(SUM(E10:P10),0)</f>
        <v>3601</v>
      </c>
      <c r="E10" s="81">
        <v>245.02340000000001</v>
      </c>
      <c r="F10" s="81">
        <v>237.92580000000001</v>
      </c>
      <c r="G10" s="81">
        <v>287.8263</v>
      </c>
      <c r="H10" s="81">
        <v>273.8843</v>
      </c>
      <c r="I10" s="81">
        <v>326.43700000000001</v>
      </c>
      <c r="J10" s="81">
        <v>422.73950000000002</v>
      </c>
      <c r="K10" s="81">
        <v>272.93049999999999</v>
      </c>
      <c r="L10" s="81">
        <v>423.35559999999998</v>
      </c>
      <c r="M10" s="81">
        <v>197.12</v>
      </c>
      <c r="N10" s="81">
        <v>266.04000000000002</v>
      </c>
      <c r="O10" s="81">
        <v>297.07</v>
      </c>
      <c r="P10" s="81">
        <v>351.44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257">
        <f>ROUNDDOWN(SUM(E11:P11),0)</f>
        <v>1094</v>
      </c>
      <c r="E11" s="81">
        <v>59.803550000000001</v>
      </c>
      <c r="F11" s="81">
        <v>92.754400000000004</v>
      </c>
      <c r="G11" s="81">
        <v>88.383800000000008</v>
      </c>
      <c r="H11" s="81">
        <v>93.282300000000006</v>
      </c>
      <c r="I11" s="81">
        <v>59.870000000000005</v>
      </c>
      <c r="J11" s="81">
        <v>52.617000000000004</v>
      </c>
      <c r="K11" s="81">
        <v>54.26</v>
      </c>
      <c r="L11" s="81">
        <v>99.596000000000018</v>
      </c>
      <c r="M11" s="81">
        <v>153.18</v>
      </c>
      <c r="N11" s="81">
        <v>115.46</v>
      </c>
      <c r="O11" s="81">
        <v>139.22999999999999</v>
      </c>
      <c r="P11" s="81">
        <v>86.33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4696.5594500000007</v>
      </c>
      <c r="E12" s="200">
        <f>SUM(E10:E11)</f>
        <v>304.82695000000001</v>
      </c>
      <c r="F12" s="200">
        <f>SUM(F10:F11)</f>
        <v>330.68020000000001</v>
      </c>
      <c r="G12" s="200">
        <f>SUM(G10:G11)</f>
        <v>376.21010000000001</v>
      </c>
      <c r="H12" s="200">
        <f t="shared" ref="H12:P12" si="3">SUM(H10:H11)</f>
        <v>367.16660000000002</v>
      </c>
      <c r="I12" s="200">
        <f t="shared" si="3"/>
        <v>386.30700000000002</v>
      </c>
      <c r="J12" s="200">
        <f t="shared" si="3"/>
        <v>475.35650000000004</v>
      </c>
      <c r="K12" s="200">
        <f t="shared" si="3"/>
        <v>327.19049999999999</v>
      </c>
      <c r="L12" s="200">
        <f t="shared" si="3"/>
        <v>522.95159999999998</v>
      </c>
      <c r="M12" s="200">
        <f t="shared" si="3"/>
        <v>350.3</v>
      </c>
      <c r="N12" s="200">
        <f>SUM(N10:N11)</f>
        <v>381.5</v>
      </c>
      <c r="O12" s="200">
        <f>SUM(O10:O11)</f>
        <v>436.29999999999995</v>
      </c>
      <c r="P12" s="200">
        <f t="shared" si="3"/>
        <v>437.77</v>
      </c>
      <c r="Q12" s="32"/>
      <c r="R12" s="32"/>
      <c r="T12" s="112"/>
      <c r="U12" s="112"/>
    </row>
    <row r="13" spans="1:21">
      <c r="T13" s="112"/>
      <c r="U13" s="112"/>
    </row>
    <row r="14" spans="1:2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>
        <f>SUM(G15:P15)</f>
        <v>0.26568196139478067</v>
      </c>
      <c r="E15" s="259">
        <v>5.6359195942137889E-2</v>
      </c>
      <c r="F15" s="259">
        <v>7.1851984911083175E-2</v>
      </c>
      <c r="G15" s="259">
        <v>2.8571428571428571E-2</v>
      </c>
      <c r="H15" s="259">
        <v>4.6310355299119345E-2</v>
      </c>
      <c r="I15" s="259">
        <v>3.2439696920545914E-2</v>
      </c>
      <c r="J15" s="259">
        <v>1.78E-2</v>
      </c>
      <c r="K15" s="259">
        <v>2.5055045175005695E-2</v>
      </c>
      <c r="L15" s="259">
        <v>7.6E-3</v>
      </c>
      <c r="M15" s="259">
        <v>9.7231883082400297E-3</v>
      </c>
      <c r="N15" s="259">
        <v>2.9505396381706656E-2</v>
      </c>
      <c r="O15" s="259">
        <v>2.2129139334545161E-2</v>
      </c>
      <c r="P15" s="259">
        <v>4.6547711404189292E-2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3601.7924000000003</v>
      </c>
      <c r="S17">
        <f>SUM(S18:S23)</f>
        <v>0</v>
      </c>
      <c r="T17" s="228">
        <f>S17+R17</f>
        <v>3601.7924000000003</v>
      </c>
      <c r="U17" s="229"/>
    </row>
    <row r="18" spans="1:21">
      <c r="A18" s="31"/>
      <c r="B18" s="56" t="s">
        <v>34</v>
      </c>
      <c r="C18" s="32"/>
      <c r="D18" s="36"/>
      <c r="E18" s="54">
        <v>2.1604358444486188E-2</v>
      </c>
      <c r="F18" s="53">
        <v>1.4969163523142327E-2</v>
      </c>
      <c r="G18" s="53">
        <v>9.7744360902255623E-3</v>
      </c>
      <c r="H18" s="53">
        <v>9.1102338293349537E-3</v>
      </c>
      <c r="I18" s="53">
        <v>1.3902727251662535E-2</v>
      </c>
      <c r="J18" s="53">
        <v>5.7906114885731943E-3</v>
      </c>
      <c r="K18" s="53">
        <v>9.1109255181838905E-3</v>
      </c>
      <c r="L18" s="53">
        <v>1.520565650421957E-2</v>
      </c>
      <c r="M18" s="53">
        <v>1.8698439054307747E-2</v>
      </c>
      <c r="N18" s="54">
        <v>1.7237363149312835E-2</v>
      </c>
      <c r="O18" s="54">
        <v>5.3742195526752544E-2</v>
      </c>
      <c r="P18" s="53">
        <v>4.5771916214119475E-2</v>
      </c>
      <c r="Q18" s="34"/>
      <c r="R18" s="23">
        <f t="shared" ref="R18:R23" si="4">G18*$G$10+H18*$H$10+I18*$I$10+J18*$J$10+K18*$K$10+L18*$L$10+M18*$M$10+N18*$N$10+O18*$O$10+P18*$P$10+$E$10*E18+$F$10*F18</f>
        <v>70.396888086234952</v>
      </c>
      <c r="S18" s="51"/>
      <c r="T18" s="230">
        <f t="shared" ref="T18:T23" si="5">(R18+S18)/$T$17</f>
        <v>1.9544959916688965E-2</v>
      </c>
      <c r="U18" s="231"/>
    </row>
    <row r="19" spans="1:21">
      <c r="A19" s="31"/>
      <c r="B19" s="56" t="s">
        <v>35</v>
      </c>
      <c r="C19" s="32"/>
      <c r="D19" s="36"/>
      <c r="E19" s="54">
        <v>5.2601916212662025E-2</v>
      </c>
      <c r="F19" s="53">
        <v>3.7722292078318662E-2</v>
      </c>
      <c r="G19" s="53">
        <v>6.9473684210526312E-2</v>
      </c>
      <c r="H19" s="53">
        <v>5.3143030671120556E-2</v>
      </c>
      <c r="I19" s="53">
        <v>5.7310131226297772E-2</v>
      </c>
      <c r="J19" s="53">
        <v>3.9453366275478699E-2</v>
      </c>
      <c r="K19" s="53">
        <v>2.2321767519550534E-2</v>
      </c>
      <c r="L19" s="53">
        <v>6.7056945183608302E-2</v>
      </c>
      <c r="M19" s="53">
        <v>2.0418695447304059E-2</v>
      </c>
      <c r="N19" s="54">
        <v>2.8806584362139918E-2</v>
      </c>
      <c r="O19" s="54">
        <v>2.8767881134908711E-2</v>
      </c>
      <c r="P19" s="53">
        <v>4.9961210240496504E-2</v>
      </c>
      <c r="Q19" s="34"/>
      <c r="R19" s="23">
        <f t="shared" si="4"/>
        <v>164.07614930447548</v>
      </c>
      <c r="S19" s="51"/>
      <c r="T19" s="230">
        <f t="shared" si="5"/>
        <v>4.5554027296097206E-2</v>
      </c>
      <c r="U19" s="231"/>
    </row>
    <row r="20" spans="1:21">
      <c r="A20" s="31"/>
      <c r="B20" s="56" t="s">
        <v>36</v>
      </c>
      <c r="C20" s="32"/>
      <c r="D20" s="36"/>
      <c r="E20" s="54">
        <v>2.8649257937253425E-2</v>
      </c>
      <c r="F20" s="53">
        <v>6.2870486797197769E-2</v>
      </c>
      <c r="G20" s="53">
        <v>4.8120300751879702E-2</v>
      </c>
      <c r="H20" s="53">
        <v>4.7069541451563925E-2</v>
      </c>
      <c r="I20" s="53">
        <v>4.0549621150682391E-2</v>
      </c>
      <c r="J20" s="53">
        <v>0.10114268066707846</v>
      </c>
      <c r="K20" s="53">
        <v>1.5184875863639816E-2</v>
      </c>
      <c r="L20" s="53">
        <v>9.655591880179426E-2</v>
      </c>
      <c r="M20" s="53">
        <v>8.3769006963298698E-2</v>
      </c>
      <c r="N20" s="54">
        <v>5.2799130367264538E-2</v>
      </c>
      <c r="O20" s="54">
        <v>7.1129376432466598E-2</v>
      </c>
      <c r="P20" s="53">
        <v>7.7579519006982151E-2</v>
      </c>
      <c r="Q20" s="34"/>
      <c r="R20" s="23">
        <f t="shared" si="4"/>
        <v>228.6901309322898</v>
      </c>
      <c r="S20" s="51"/>
      <c r="T20" s="230">
        <f t="shared" si="5"/>
        <v>6.3493423699902796E-2</v>
      </c>
      <c r="U20" s="231"/>
    </row>
    <row r="21" spans="1:21">
      <c r="A21" s="31"/>
      <c r="B21" s="56" t="s">
        <v>37</v>
      </c>
      <c r="C21" s="32"/>
      <c r="D21" s="36"/>
      <c r="E21" s="54">
        <v>0.6979147097501408</v>
      </c>
      <c r="F21" s="53">
        <v>0.6807975570325131</v>
      </c>
      <c r="G21" s="53">
        <v>0.73466165413533835</v>
      </c>
      <c r="H21" s="53">
        <v>0.7514044943820225</v>
      </c>
      <c r="I21" s="53">
        <v>0.76488171096230051</v>
      </c>
      <c r="J21" s="53">
        <v>0.75887893761581238</v>
      </c>
      <c r="K21" s="53">
        <v>0.82954976843064321</v>
      </c>
      <c r="L21" s="53">
        <v>0.69702729415342501</v>
      </c>
      <c r="M21" s="53">
        <v>0.80680024831527064</v>
      </c>
      <c r="N21" s="54">
        <v>0.76085099774827247</v>
      </c>
      <c r="O21" s="54">
        <v>0.7410495534655811</v>
      </c>
      <c r="P21" s="53">
        <v>0.6587276958882855</v>
      </c>
      <c r="Q21" s="34"/>
      <c r="R21" s="23">
        <f t="shared" si="4"/>
        <v>2655.3313299251827</v>
      </c>
      <c r="S21" s="51"/>
      <c r="T21" s="230">
        <f t="shared" si="5"/>
        <v>0.73722497996419301</v>
      </c>
      <c r="U21" s="231"/>
    </row>
    <row r="22" spans="1:21">
      <c r="A22" s="31"/>
      <c r="B22" s="56" t="s">
        <v>38</v>
      </c>
      <c r="C22" s="32"/>
      <c r="D22" s="36"/>
      <c r="E22" s="54">
        <v>0.17950403907570917</v>
      </c>
      <c r="F22" s="53">
        <v>0.19166516975031439</v>
      </c>
      <c r="G22" s="53">
        <v>0.13533834586466165</v>
      </c>
      <c r="H22" s="53">
        <v>0.13756453082295778</v>
      </c>
      <c r="I22" s="53">
        <v>0.11833538012373426</v>
      </c>
      <c r="J22" s="53">
        <v>9.1260037059913535E-2</v>
      </c>
      <c r="K22" s="53">
        <v>0.10864778680434289</v>
      </c>
      <c r="L22" s="53">
        <v>0.11579107427963201</v>
      </c>
      <c r="M22" s="53">
        <v>6.0590421911578832E-2</v>
      </c>
      <c r="N22" s="54">
        <v>0.12011802158552684</v>
      </c>
      <c r="O22" s="54">
        <v>9.9818224926894794E-2</v>
      </c>
      <c r="P22" s="53">
        <v>0.16136539953452286</v>
      </c>
      <c r="Q22" s="34"/>
      <c r="R22" s="23">
        <f t="shared" si="4"/>
        <v>452.36088132277359</v>
      </c>
      <c r="S22" s="51"/>
      <c r="T22" s="230">
        <f t="shared" si="5"/>
        <v>0.12559326887434533</v>
      </c>
      <c r="U22" s="231"/>
    </row>
    <row r="23" spans="1:21">
      <c r="A23" s="31"/>
      <c r="B23" s="56" t="s">
        <v>39</v>
      </c>
      <c r="C23" s="32"/>
      <c r="D23" s="36"/>
      <c r="E23" s="54">
        <v>1.9725718579748256E-2</v>
      </c>
      <c r="F23" s="53">
        <v>1.1975330818513858E-2</v>
      </c>
      <c r="G23" s="74">
        <v>2.6315789473684232E-3</v>
      </c>
      <c r="H23" s="53">
        <v>1.7081688430003053E-3</v>
      </c>
      <c r="I23" s="53">
        <v>5.0204292853225866E-3</v>
      </c>
      <c r="J23" s="53">
        <v>3.4743668931439199E-3</v>
      </c>
      <c r="K23" s="53">
        <v>1.5184875863639815E-2</v>
      </c>
      <c r="L23" s="53">
        <v>8.3631110773207621E-3</v>
      </c>
      <c r="M23" s="53">
        <v>9.7231883082400262E-3</v>
      </c>
      <c r="N23" s="54">
        <v>2.0187902787483499E-2</v>
      </c>
      <c r="O23" s="54">
        <v>5.4927685133960369E-3</v>
      </c>
      <c r="P23" s="53">
        <v>6.5942591155934887E-3</v>
      </c>
      <c r="Q23" s="34"/>
      <c r="R23" s="23">
        <f t="shared" si="4"/>
        <v>30.93702042904366</v>
      </c>
      <c r="S23" s="51"/>
      <c r="T23" s="230">
        <f t="shared" si="5"/>
        <v>8.5893402487727099E-3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0.99999999999999989</v>
      </c>
      <c r="F24" s="76">
        <f>F23+F22+F21+F20+F19+F18</f>
        <v>1</v>
      </c>
      <c r="G24" s="194">
        <f>G23+G22+G20+G21+G19+G18</f>
        <v>1</v>
      </c>
      <c r="H24" s="76">
        <f t="shared" ref="H24:O24" si="6">H23+H22+H20+H21+H19+H18</f>
        <v>1</v>
      </c>
      <c r="I24" s="76">
        <f t="shared" si="6"/>
        <v>1.0000000000000002</v>
      </c>
      <c r="J24" s="76">
        <f t="shared" si="6"/>
        <v>1.0000000000000002</v>
      </c>
      <c r="K24" s="76">
        <f t="shared" si="6"/>
        <v>1.0000000000000002</v>
      </c>
      <c r="L24" s="76">
        <f t="shared" si="6"/>
        <v>0.99999999999999989</v>
      </c>
      <c r="M24" s="76">
        <f t="shared" si="6"/>
        <v>1</v>
      </c>
      <c r="N24" s="76">
        <f t="shared" si="6"/>
        <v>1</v>
      </c>
      <c r="O24" s="76">
        <f t="shared" si="6"/>
        <v>0.99999999999999978</v>
      </c>
      <c r="P24" s="76">
        <f>P23+P22+P20+P21+P19+P18</f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2.2100000000000002E-2</v>
      </c>
      <c r="F26" s="259">
        <v>4.2500000000000003E-2</v>
      </c>
      <c r="G26" s="259">
        <v>3.2500000000000001E-2</v>
      </c>
      <c r="H26" s="259">
        <v>2.87E-2</v>
      </c>
      <c r="I26" s="259">
        <v>1.9800000000000002E-2</v>
      </c>
      <c r="J26" s="259">
        <v>1.6199999999999999E-2</v>
      </c>
      <c r="K26" s="259">
        <v>2.7786353812905219E-2</v>
      </c>
      <c r="L26" s="259">
        <v>7.8937084798749516E-3</v>
      </c>
      <c r="M26" s="259">
        <v>2.5035846780617699E-2</v>
      </c>
      <c r="N26" s="259">
        <v>3.9705091774825285E-2</v>
      </c>
      <c r="O26" s="259">
        <v>3.5706478175326101E-2</v>
      </c>
      <c r="P26" s="259">
        <v>4.3500700435007006E-2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1094.7670499999999</v>
      </c>
      <c r="S28">
        <f>SUM(S29:S34)</f>
        <v>0</v>
      </c>
      <c r="T28" s="228">
        <f>S28+R28</f>
        <v>1094.7670499999999</v>
      </c>
      <c r="U28" s="229"/>
    </row>
    <row r="29" spans="1:21">
      <c r="A29" s="31"/>
      <c r="B29" s="56" t="s">
        <v>34</v>
      </c>
      <c r="C29" s="32"/>
      <c r="D29" s="37"/>
      <c r="E29" s="53">
        <v>2.4249340275301332E-2</v>
      </c>
      <c r="F29" s="53">
        <v>4.3306782151419067E-2</v>
      </c>
      <c r="G29" s="53">
        <v>4.3349468969005128E-2</v>
      </c>
      <c r="H29" s="53">
        <v>1.9664196036908183E-2</v>
      </c>
      <c r="I29" s="53">
        <v>1.7403686417213831E-2</v>
      </c>
      <c r="J29" s="53">
        <v>1.6947846853092984E-2</v>
      </c>
      <c r="K29" s="53">
        <v>8.258721827724606E-3</v>
      </c>
      <c r="L29" s="53">
        <v>7.0339976553341153E-3</v>
      </c>
      <c r="M29" s="53">
        <v>9.1039442838609826E-3</v>
      </c>
      <c r="N29" s="53">
        <v>2.3807695261500658E-2</v>
      </c>
      <c r="O29" s="53">
        <v>5.975369817095387E-2</v>
      </c>
      <c r="P29" s="53">
        <v>1.1796800117968003E-2</v>
      </c>
      <c r="Q29" s="34"/>
      <c r="R29" s="23">
        <f t="shared" ref="R29:R34" si="7">G29*$G$11+H29*$H$11+I29*$I$11+J29*$J$11+K29*$K$11+L29*$L$11+M29*$M$11+N29*$N$11+O29*$O$11+P29*$P$11+$E$11*E29+$F$11*F29</f>
        <v>27.696487128784575</v>
      </c>
      <c r="S29" s="51"/>
      <c r="T29" s="230">
        <f t="shared" ref="T29:T34" si="8">(R29+S29)/$T$28</f>
        <v>2.5298977648975256E-2</v>
      </c>
      <c r="U29" s="231"/>
    </row>
    <row r="30" spans="1:21">
      <c r="A30" s="31"/>
      <c r="B30" s="56" t="s">
        <v>35</v>
      </c>
      <c r="C30" s="32"/>
      <c r="D30" s="37"/>
      <c r="E30" s="53">
        <v>6.7398901647528708E-2</v>
      </c>
      <c r="F30" s="53">
        <v>8.1200216533910768E-2</v>
      </c>
      <c r="G30" s="53">
        <v>6.0689256556607181E-2</v>
      </c>
      <c r="H30" s="53">
        <v>5.2942066253214341E-2</v>
      </c>
      <c r="I30" s="53">
        <v>4.9837829285657789E-2</v>
      </c>
      <c r="J30" s="53">
        <v>4.0443725444880979E-2</v>
      </c>
      <c r="K30" s="53">
        <v>4.8626119172584137E-2</v>
      </c>
      <c r="L30" s="53">
        <v>7.1121531848378272E-2</v>
      </c>
      <c r="M30" s="53">
        <v>9.5591414980540301E-2</v>
      </c>
      <c r="N30" s="53">
        <v>6.5048767375777597E-2</v>
      </c>
      <c r="O30" s="53">
        <v>6.2741383079501584E-2</v>
      </c>
      <c r="P30" s="53">
        <v>6.8642630686426301E-2</v>
      </c>
      <c r="Q30" s="34"/>
      <c r="R30" s="23">
        <f t="shared" si="7"/>
        <v>73.51319212418187</v>
      </c>
      <c r="S30" s="51"/>
      <c r="T30" s="230">
        <f t="shared" si="8"/>
        <v>6.7149620665128598E-2</v>
      </c>
      <c r="U30" s="231"/>
    </row>
    <row r="31" spans="1:21">
      <c r="A31" s="31"/>
      <c r="B31" s="56" t="s">
        <v>36</v>
      </c>
      <c r="C31" s="32"/>
      <c r="D31" s="37"/>
      <c r="E31" s="53">
        <v>6.7755509592753727E-2</v>
      </c>
      <c r="F31" s="53">
        <v>0.10826695537854768</v>
      </c>
      <c r="G31" s="53">
        <v>9.2478867133877624E-2</v>
      </c>
      <c r="H31" s="53">
        <v>0.10588413250642868</v>
      </c>
      <c r="I31" s="53">
        <v>8.3063048809429635E-2</v>
      </c>
      <c r="J31" s="53">
        <v>0.10476850781912025</v>
      </c>
      <c r="K31" s="53">
        <v>7.9499845631367708E-2</v>
      </c>
      <c r="L31" s="53">
        <v>6.2524423602969906E-2</v>
      </c>
      <c r="M31" s="53">
        <v>9.1039442838609819E-2</v>
      </c>
      <c r="N31" s="53">
        <v>5.0610552184932038E-2</v>
      </c>
      <c r="O31" s="53">
        <v>6.0482401807185025E-2</v>
      </c>
      <c r="P31" s="53">
        <v>0.10174740101747402</v>
      </c>
      <c r="Q31" s="34"/>
      <c r="R31" s="23">
        <f t="shared" si="7"/>
        <v>90.16517317036336</v>
      </c>
      <c r="S31" s="51"/>
      <c r="T31" s="230">
        <f t="shared" si="8"/>
        <v>8.2360145174595237E-2</v>
      </c>
      <c r="U31" s="231"/>
    </row>
    <row r="32" spans="1:21">
      <c r="A32" s="31"/>
      <c r="B32" s="56" t="s">
        <v>37</v>
      </c>
      <c r="C32" s="32"/>
      <c r="D32" s="37"/>
      <c r="E32" s="53">
        <v>0.64581698880251059</v>
      </c>
      <c r="F32" s="53">
        <v>0.58928157141752369</v>
      </c>
      <c r="G32" s="53">
        <v>0.60689256556607174</v>
      </c>
      <c r="H32" s="53">
        <v>0.63681742550294962</v>
      </c>
      <c r="I32" s="53">
        <v>0.64630962740289544</v>
      </c>
      <c r="J32" s="53">
        <v>0.65095139049379858</v>
      </c>
      <c r="K32" s="53">
        <v>0.72476072861994445</v>
      </c>
      <c r="L32" s="53">
        <v>0.6964439234075811</v>
      </c>
      <c r="M32" s="53">
        <v>0.65775997450895596</v>
      </c>
      <c r="N32" s="53">
        <v>0.69833346133169505</v>
      </c>
      <c r="O32" s="53">
        <v>0.63353494133935728</v>
      </c>
      <c r="P32" s="53">
        <v>0.60414362604143623</v>
      </c>
      <c r="Q32" s="34"/>
      <c r="R32" s="23">
        <f t="shared" si="7"/>
        <v>709.70612873238076</v>
      </c>
      <c r="S32" s="51"/>
      <c r="T32" s="230">
        <f t="shared" si="8"/>
        <v>0.64827136396951368</v>
      </c>
      <c r="U32" s="231"/>
    </row>
    <row r="33" spans="1:21">
      <c r="A33" s="31"/>
      <c r="B33" s="56" t="s">
        <v>38</v>
      </c>
      <c r="C33" s="32"/>
      <c r="D33" s="37"/>
      <c r="E33" s="53">
        <v>0.18408102132515511</v>
      </c>
      <c r="F33" s="53">
        <v>0.1408243755316681</v>
      </c>
      <c r="G33" s="53">
        <v>0.18502998338270357</v>
      </c>
      <c r="H33" s="53">
        <v>0.17107850552110118</v>
      </c>
      <c r="I33" s="53">
        <v>0.17965350842496638</v>
      </c>
      <c r="J33" s="53">
        <v>0.17340728757414681</v>
      </c>
      <c r="K33" s="53">
        <v>0.12496140784192653</v>
      </c>
      <c r="L33" s="53">
        <v>0.1535756154747949</v>
      </c>
      <c r="M33" s="53">
        <v>0.13284930696224137</v>
      </c>
      <c r="N33" s="53">
        <v>0.12994393671761004</v>
      </c>
      <c r="O33" s="53">
        <v>0.15616118924433434</v>
      </c>
      <c r="P33" s="53">
        <v>0.1904445919044459</v>
      </c>
      <c r="Q33" s="34"/>
      <c r="R33" s="23">
        <f t="shared" si="7"/>
        <v>171.87556610106884</v>
      </c>
      <c r="S33" s="51"/>
      <c r="T33" s="230">
        <f t="shared" si="8"/>
        <v>0.15699738688798576</v>
      </c>
      <c r="U33" s="231"/>
    </row>
    <row r="34" spans="1:21">
      <c r="A34" s="31"/>
      <c r="B34" s="56" t="s">
        <v>39</v>
      </c>
      <c r="C34" s="32"/>
      <c r="D34" s="36"/>
      <c r="E34" s="53">
        <v>1.069823835675059E-2</v>
      </c>
      <c r="F34" s="53">
        <v>3.7120098986930625E-2</v>
      </c>
      <c r="G34" s="53">
        <v>1.1559858391734698E-2</v>
      </c>
      <c r="H34" s="53">
        <v>1.361367417939797E-2</v>
      </c>
      <c r="I34" s="53">
        <v>2.3732299659837038E-2</v>
      </c>
      <c r="J34" s="53">
        <v>1.3481241814960326E-2</v>
      </c>
      <c r="K34" s="53">
        <v>1.3893176906452606E-2</v>
      </c>
      <c r="L34" s="53">
        <v>9.300508010941776E-3</v>
      </c>
      <c r="M34" s="53">
        <v>1.3655916425791476E-2</v>
      </c>
      <c r="N34" s="53">
        <v>3.225558712848476E-2</v>
      </c>
      <c r="O34" s="53">
        <v>2.7326386358667937E-2</v>
      </c>
      <c r="P34" s="53">
        <v>2.3224950232249505E-2</v>
      </c>
      <c r="Q34" s="34"/>
      <c r="R34" s="23">
        <f t="shared" si="7"/>
        <v>21.810502743220578</v>
      </c>
      <c r="S34" s="51"/>
      <c r="T34" s="230">
        <f t="shared" si="8"/>
        <v>1.9922505653801492E-2</v>
      </c>
      <c r="U34" s="231"/>
    </row>
    <row r="35" spans="1:21">
      <c r="A35" s="59"/>
      <c r="B35" s="60"/>
      <c r="C35" s="60"/>
      <c r="D35" s="61"/>
      <c r="E35" s="64">
        <f>E29+E30+E31+E32+E33+E34</f>
        <v>1.0000000000000002</v>
      </c>
      <c r="F35" s="64">
        <f>F29+F30+F31+F32+F33+F34</f>
        <v>0.99999999999999989</v>
      </c>
      <c r="G35" s="64">
        <f t="shared" ref="G35:P35" si="9">G29+G30+G32+G31+G33+G34</f>
        <v>1</v>
      </c>
      <c r="H35" s="64">
        <f t="shared" si="9"/>
        <v>1</v>
      </c>
      <c r="I35" s="64">
        <f t="shared" si="9"/>
        <v>1.0000000000000002</v>
      </c>
      <c r="J35" s="64">
        <f t="shared" si="9"/>
        <v>1</v>
      </c>
      <c r="K35" s="64">
        <f t="shared" si="9"/>
        <v>1</v>
      </c>
      <c r="L35" s="64">
        <f t="shared" si="9"/>
        <v>1.0000000000000002</v>
      </c>
      <c r="M35" s="64">
        <f t="shared" si="9"/>
        <v>1</v>
      </c>
      <c r="N35" s="64">
        <f t="shared" si="9"/>
        <v>1.0000000000000002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4696.5594500000007</v>
      </c>
      <c r="S39" s="248">
        <f>S28+S17</f>
        <v>0</v>
      </c>
      <c r="T39" s="253">
        <f>S39+R39</f>
        <v>4696.5594500000007</v>
      </c>
      <c r="U39" s="123"/>
    </row>
    <row r="40" spans="1:21">
      <c r="A40" s="244"/>
      <c r="B40" s="245" t="s">
        <v>34</v>
      </c>
      <c r="C40" s="246"/>
      <c r="D40" s="247"/>
      <c r="E40" s="254">
        <f t="shared" ref="E40:L40" si="10">((E$10*E18)+(E$11*E29))/E$12</f>
        <v>2.2123273531122211E-2</v>
      </c>
      <c r="F40" s="254">
        <f t="shared" si="10"/>
        <v>2.2917745909673579E-2</v>
      </c>
      <c r="G40" s="254">
        <f t="shared" si="10"/>
        <v>1.7662286498684766E-2</v>
      </c>
      <c r="H40" s="254">
        <f t="shared" si="10"/>
        <v>1.1791572134168531E-2</v>
      </c>
      <c r="I40" s="254">
        <f t="shared" si="10"/>
        <v>1.4445307182239915E-2</v>
      </c>
      <c r="J40" s="254">
        <f t="shared" si="10"/>
        <v>7.0256009189795061E-3</v>
      </c>
      <c r="K40" s="254">
        <f t="shared" si="10"/>
        <v>8.969599372576605E-3</v>
      </c>
      <c r="L40" s="254">
        <f t="shared" si="10"/>
        <v>1.3649366142523392E-2</v>
      </c>
      <c r="M40" s="254">
        <f t="shared" ref="M40:N45" si="11">((M$10*M18)+(M$11*M29))/M$12</f>
        <v>1.4502936031364454E-2</v>
      </c>
      <c r="N40" s="254">
        <f t="shared" si="11"/>
        <v>1.9225857371260948E-2</v>
      </c>
      <c r="O40" s="254">
        <f>((O$10*O18)+(O$11*O29))/O$12</f>
        <v>5.5660557922242233E-2</v>
      </c>
      <c r="P40" s="254">
        <f>((P$10*P18)+(P$11*P29))/P$12</f>
        <v>3.9071887037655226E-2</v>
      </c>
      <c r="Q40" s="248"/>
      <c r="R40" s="252">
        <f>R29+R18</f>
        <v>98.093375215019535</v>
      </c>
      <c r="S40" s="248">
        <f>S29+S18</f>
        <v>0</v>
      </c>
      <c r="T40" s="256">
        <f t="shared" ref="T40:T45" si="12">(R40+S40)/$T$39</f>
        <v>2.0886220276636662E-2</v>
      </c>
      <c r="U40" s="213"/>
    </row>
    <row r="41" spans="1:21">
      <c r="A41" s="244"/>
      <c r="B41" s="245" t="s">
        <v>35</v>
      </c>
      <c r="C41" s="246"/>
      <c r="D41" s="247"/>
      <c r="E41" s="254">
        <f t="shared" ref="E41:P45" si="13">((E$10*E19)+(E$11*E30))/E$12</f>
        <v>5.5504914974101337E-2</v>
      </c>
      <c r="F41" s="254">
        <f t="shared" si="13"/>
        <v>4.9917666328496847E-2</v>
      </c>
      <c r="G41" s="254">
        <f t="shared" si="13"/>
        <v>6.7409940847765817E-2</v>
      </c>
      <c r="H41" s="254">
        <f t="shared" si="13"/>
        <v>5.3091973676501619E-2</v>
      </c>
      <c r="I41" s="254">
        <f t="shared" si="13"/>
        <v>5.6152071141478924E-2</v>
      </c>
      <c r="J41" s="254">
        <f t="shared" si="13"/>
        <v>3.9562988692373048E-2</v>
      </c>
      <c r="K41" s="254">
        <f t="shared" si="13"/>
        <v>2.668397889394436E-2</v>
      </c>
      <c r="L41" s="254">
        <f t="shared" si="13"/>
        <v>6.7831044686247607E-2</v>
      </c>
      <c r="M41" s="254">
        <f t="shared" si="11"/>
        <v>5.3290397354529652E-2</v>
      </c>
      <c r="N41" s="254">
        <f t="shared" si="11"/>
        <v>3.9775188427027486E-2</v>
      </c>
      <c r="O41" s="254">
        <f>((O$10*O19)+(O$11*O30))/O$12</f>
        <v>3.9609344980303315E-2</v>
      </c>
      <c r="P41" s="254">
        <f t="shared" si="13"/>
        <v>5.3645261288071996E-2</v>
      </c>
      <c r="Q41" s="248"/>
      <c r="R41" s="252">
        <f>R30+R19</f>
        <v>237.58934142865735</v>
      </c>
      <c r="S41" s="248">
        <f t="shared" ref="R41:S45" si="14">S30+S19</f>
        <v>0</v>
      </c>
      <c r="T41" s="256">
        <f t="shared" si="12"/>
        <v>5.0587955706311208E-2</v>
      </c>
      <c r="U41" s="213"/>
    </row>
    <row r="42" spans="1:21">
      <c r="A42" s="244"/>
      <c r="B42" s="245" t="s">
        <v>36</v>
      </c>
      <c r="C42" s="246"/>
      <c r="D42" s="247"/>
      <c r="E42" s="254">
        <f t="shared" si="13"/>
        <v>3.6321455806215784E-2</v>
      </c>
      <c r="F42" s="254">
        <f t="shared" si="13"/>
        <v>7.5604004574742242E-2</v>
      </c>
      <c r="G42" s="254">
        <f t="shared" si="13"/>
        <v>5.8541548505178266E-2</v>
      </c>
      <c r="H42" s="254">
        <f t="shared" si="13"/>
        <v>6.2011969023018434E-2</v>
      </c>
      <c r="I42" s="254">
        <f t="shared" si="13"/>
        <v>4.7138367701817105E-2</v>
      </c>
      <c r="J42" s="254">
        <f t="shared" si="13"/>
        <v>0.10154402186522971</v>
      </c>
      <c r="K42" s="254">
        <f t="shared" si="13"/>
        <v>2.5850620314034668E-2</v>
      </c>
      <c r="L42" s="254">
        <f t="shared" si="13"/>
        <v>9.0074629145500823E-2</v>
      </c>
      <c r="M42" s="254">
        <f t="shared" si="11"/>
        <v>8.6948240098840113E-2</v>
      </c>
      <c r="N42" s="254">
        <f t="shared" si="11"/>
        <v>5.2136762773733449E-2</v>
      </c>
      <c r="O42" s="254">
        <f>((O$10*O20)+(O$11*O31))/O$12</f>
        <v>6.7731764062358993E-2</v>
      </c>
      <c r="P42" s="254">
        <f t="shared" si="13"/>
        <v>8.2345522282596659E-2</v>
      </c>
      <c r="Q42" s="248"/>
      <c r="R42" s="252">
        <f>R31+R20</f>
        <v>318.85530410265318</v>
      </c>
      <c r="S42" s="248">
        <f t="shared" si="14"/>
        <v>0</v>
      </c>
      <c r="T42" s="256">
        <f t="shared" si="12"/>
        <v>6.7891252628060131E-2</v>
      </c>
      <c r="U42" s="213"/>
    </row>
    <row r="43" spans="1:21">
      <c r="A43" s="244"/>
      <c r="B43" s="245" t="s">
        <v>37</v>
      </c>
      <c r="C43" s="246"/>
      <c r="D43" s="247"/>
      <c r="E43" s="254">
        <f t="shared" si="13"/>
        <v>0.68769373467041883</v>
      </c>
      <c r="F43" s="254">
        <f t="shared" si="13"/>
        <v>0.65512770943919796</v>
      </c>
      <c r="G43" s="254">
        <f t="shared" si="13"/>
        <v>0.70464460363539605</v>
      </c>
      <c r="H43" s="254">
        <f t="shared" si="13"/>
        <v>0.72229251814208573</v>
      </c>
      <c r="I43" s="254">
        <f t="shared" si="13"/>
        <v>0.74650536613111296</v>
      </c>
      <c r="J43" s="254">
        <f t="shared" si="13"/>
        <v>0.74693248532806833</v>
      </c>
      <c r="K43" s="254">
        <f t="shared" si="13"/>
        <v>0.81217196161739991</v>
      </c>
      <c r="L43" s="254">
        <f t="shared" si="13"/>
        <v>0.69691619134237504</v>
      </c>
      <c r="M43" s="254">
        <f t="shared" si="11"/>
        <v>0.74162757020607484</v>
      </c>
      <c r="N43" s="254">
        <f t="shared" si="11"/>
        <v>0.74193022512793694</v>
      </c>
      <c r="O43" s="254">
        <f>((O$10*O21)+(O$11*O32))/O$12</f>
        <v>0.70673999709076085</v>
      </c>
      <c r="P43" s="254">
        <f t="shared" si="13"/>
        <v>0.64796349836474931</v>
      </c>
      <c r="Q43" s="248"/>
      <c r="R43" s="252">
        <f>R32+R21</f>
        <v>3365.0374586575635</v>
      </c>
      <c r="S43" s="248">
        <f t="shared" si="14"/>
        <v>0</v>
      </c>
      <c r="T43" s="256">
        <f t="shared" si="12"/>
        <v>0.71648991021662956</v>
      </c>
      <c r="U43" s="213"/>
    </row>
    <row r="44" spans="1:21">
      <c r="A44" s="244"/>
      <c r="B44" s="245" t="s">
        <v>38</v>
      </c>
      <c r="C44" s="246"/>
      <c r="D44" s="247"/>
      <c r="E44" s="254">
        <f t="shared" si="13"/>
        <v>0.18040199047667241</v>
      </c>
      <c r="F44" s="254">
        <f t="shared" si="13"/>
        <v>0.17740454161692748</v>
      </c>
      <c r="G44" s="254">
        <f t="shared" si="13"/>
        <v>0.14701250281065303</v>
      </c>
      <c r="H44" s="254">
        <f t="shared" si="13"/>
        <v>0.14607908699986663</v>
      </c>
      <c r="I44" s="254">
        <f t="shared" si="13"/>
        <v>0.12783848605087192</v>
      </c>
      <c r="J44" s="254">
        <f t="shared" si="13"/>
        <v>0.10035287975861948</v>
      </c>
      <c r="K44" s="254">
        <f t="shared" si="13"/>
        <v>0.11135317426974696</v>
      </c>
      <c r="L44" s="254">
        <f t="shared" si="13"/>
        <v>0.12298713059703011</v>
      </c>
      <c r="M44" s="254">
        <f t="shared" si="11"/>
        <v>9.2187955488685552E-2</v>
      </c>
      <c r="N44" s="254">
        <f t="shared" si="11"/>
        <v>0.12309180968814892</v>
      </c>
      <c r="O44" s="254">
        <f>((O$10*O22)+(O$11*O33))/O$12</f>
        <v>0.11779812619188931</v>
      </c>
      <c r="P44" s="254">
        <f t="shared" si="13"/>
        <v>0.16709993291345576</v>
      </c>
      <c r="Q44" s="248"/>
      <c r="R44" s="252">
        <f t="shared" si="14"/>
        <v>624.23644742384249</v>
      </c>
      <c r="S44" s="248">
        <f>S33+S22</f>
        <v>0</v>
      </c>
      <c r="T44" s="256">
        <f t="shared" si="12"/>
        <v>0.13291356237891175</v>
      </c>
      <c r="U44" s="213"/>
    </row>
    <row r="45" spans="1:21">
      <c r="A45" s="244"/>
      <c r="B45" s="245" t="s">
        <v>39</v>
      </c>
      <c r="C45" s="246"/>
      <c r="D45" s="255"/>
      <c r="E45" s="254">
        <f t="shared" si="13"/>
        <v>1.7954630541469317E-2</v>
      </c>
      <c r="F45" s="254">
        <f t="shared" si="13"/>
        <v>1.9028332130961945E-2</v>
      </c>
      <c r="G45" s="254">
        <f t="shared" si="13"/>
        <v>4.7291177023220509E-3</v>
      </c>
      <c r="H45" s="254">
        <f t="shared" si="13"/>
        <v>4.7328800243589793E-3</v>
      </c>
      <c r="I45" s="254">
        <f t="shared" si="13"/>
        <v>7.9204017924792789E-3</v>
      </c>
      <c r="J45" s="254">
        <f t="shared" si="13"/>
        <v>4.5820234367300785E-3</v>
      </c>
      <c r="K45" s="254">
        <f t="shared" si="13"/>
        <v>1.4970665532297745E-2</v>
      </c>
      <c r="L45" s="254">
        <f t="shared" si="13"/>
        <v>8.5416380863229686E-3</v>
      </c>
      <c r="M45" s="254">
        <f t="shared" si="11"/>
        <v>1.1442900820505317E-2</v>
      </c>
      <c r="N45" s="254">
        <f t="shared" si="11"/>
        <v>2.3840156611892427E-2</v>
      </c>
      <c r="O45" s="254">
        <f>((O$10*O23)+(O$11*O34))/O$12</f>
        <v>1.2460209752445332E-2</v>
      </c>
      <c r="P45" s="254">
        <f t="shared" si="13"/>
        <v>9.8738981134711724E-3</v>
      </c>
      <c r="Q45" s="248"/>
      <c r="R45" s="252">
        <f t="shared" si="14"/>
        <v>52.747523172264238</v>
      </c>
      <c r="S45" s="248">
        <f t="shared" si="14"/>
        <v>0</v>
      </c>
      <c r="T45" s="256">
        <f t="shared" si="12"/>
        <v>1.1231098793450646E-2</v>
      </c>
      <c r="U45" s="213"/>
    </row>
    <row r="46" spans="1:21">
      <c r="A46" s="238"/>
      <c r="B46" s="239"/>
      <c r="C46" s="239"/>
      <c r="D46" s="240"/>
      <c r="E46" s="241">
        <f t="shared" ref="E46:O46" si="15">SUM(E40:E45)</f>
        <v>0.99999999999999989</v>
      </c>
      <c r="F46" s="241">
        <f t="shared" si="15"/>
        <v>1</v>
      </c>
      <c r="G46" s="241">
        <f t="shared" si="15"/>
        <v>1</v>
      </c>
      <c r="H46" s="241">
        <f t="shared" si="15"/>
        <v>1</v>
      </c>
      <c r="I46" s="241">
        <f t="shared" si="15"/>
        <v>1</v>
      </c>
      <c r="J46" s="241">
        <f t="shared" si="15"/>
        <v>1</v>
      </c>
      <c r="K46" s="241">
        <f t="shared" si="15"/>
        <v>1.0000000000000002</v>
      </c>
      <c r="L46" s="241">
        <f t="shared" si="15"/>
        <v>1</v>
      </c>
      <c r="M46" s="241">
        <f t="shared" si="15"/>
        <v>0.99999999999999989</v>
      </c>
      <c r="N46" s="241">
        <f t="shared" si="15"/>
        <v>1</v>
      </c>
      <c r="O46" s="241">
        <f t="shared" si="15"/>
        <v>1.0000000000000002</v>
      </c>
      <c r="P46" s="241">
        <f>SUM(P40:P45)</f>
        <v>1</v>
      </c>
      <c r="Q46" s="242"/>
      <c r="R46" s="243"/>
      <c r="T46" s="122"/>
      <c r="U46" s="122"/>
    </row>
    <row r="47" spans="1:21" ht="23">
      <c r="A47" s="30" t="s">
        <v>146</v>
      </c>
      <c r="B47" s="38" t="s">
        <v>147</v>
      </c>
      <c r="C47" s="30" t="s">
        <v>148</v>
      </c>
      <c r="D47" s="262">
        <f>SUM(E47:P47)</f>
        <v>270.66000000000003</v>
      </c>
      <c r="E47" s="260">
        <v>15.7</v>
      </c>
      <c r="F47" s="260">
        <v>5</v>
      </c>
      <c r="G47" s="260">
        <v>99.5</v>
      </c>
      <c r="H47" s="260">
        <v>23.769999999999996</v>
      </c>
      <c r="I47" s="260">
        <v>19.550000000000004</v>
      </c>
      <c r="J47" s="260">
        <v>22.55</v>
      </c>
      <c r="K47" s="260">
        <v>9.6000000000000014</v>
      </c>
      <c r="L47" s="260">
        <v>6</v>
      </c>
      <c r="M47" s="260">
        <v>5.5</v>
      </c>
      <c r="N47" s="203">
        <v>36.04</v>
      </c>
      <c r="O47" s="203">
        <v>8.5500000000000007</v>
      </c>
      <c r="P47" s="206">
        <v>18.899999999999999</v>
      </c>
      <c r="Q47" s="202"/>
      <c r="R47" s="201"/>
      <c r="T47" s="112"/>
      <c r="U47" s="112"/>
    </row>
    <row r="48" spans="1:21">
      <c r="A48" s="30"/>
      <c r="B48" s="38" t="s">
        <v>149</v>
      </c>
      <c r="C48" s="30"/>
      <c r="D48" s="262">
        <f>SUM(E48:P48)</f>
        <v>183.15</v>
      </c>
      <c r="E48" s="106">
        <v>6.65</v>
      </c>
      <c r="F48" s="106">
        <v>28.4</v>
      </c>
      <c r="G48" s="106">
        <v>49.7</v>
      </c>
      <c r="H48" s="106">
        <v>24.450000000000003</v>
      </c>
      <c r="I48" s="106">
        <v>20.8</v>
      </c>
      <c r="J48" s="106">
        <v>1.45</v>
      </c>
      <c r="K48" s="106">
        <v>26.65</v>
      </c>
      <c r="L48" s="106">
        <v>7.5</v>
      </c>
      <c r="M48" s="106">
        <v>9.65</v>
      </c>
      <c r="N48" s="203">
        <v>1.65</v>
      </c>
      <c r="O48" s="203">
        <v>1.55</v>
      </c>
      <c r="P48" s="206">
        <v>4.7</v>
      </c>
      <c r="Q48" s="202"/>
      <c r="R48" s="201"/>
      <c r="T48" s="112"/>
      <c r="U48" s="112"/>
    </row>
    <row r="49" spans="1:21">
      <c r="A49" s="30"/>
      <c r="B49" s="30"/>
      <c r="C49" s="30"/>
      <c r="D49" s="39">
        <f>SUM(D47:D48)</f>
        <v>453.81000000000006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909</v>
      </c>
      <c r="E50" s="32">
        <v>92</v>
      </c>
      <c r="F50" s="32">
        <v>38</v>
      </c>
      <c r="G50" s="218">
        <v>33</v>
      </c>
      <c r="H50" s="218">
        <v>31</v>
      </c>
      <c r="I50" s="219">
        <v>194</v>
      </c>
      <c r="J50" s="265">
        <v>42</v>
      </c>
      <c r="K50" s="266">
        <v>112</v>
      </c>
      <c r="L50" s="265">
        <v>115</v>
      </c>
      <c r="M50" s="218">
        <v>10</v>
      </c>
      <c r="N50" s="218">
        <v>10</v>
      </c>
      <c r="O50" s="32">
        <f>111+10</f>
        <v>121</v>
      </c>
      <c r="P50" s="218">
        <v>111</v>
      </c>
      <c r="T50" s="112"/>
      <c r="U50" s="112"/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2A76-3271-4418-B648-F89BAB84C49C}">
  <dimension ref="A1:U52"/>
  <sheetViews>
    <sheetView topLeftCell="A45" zoomScale="106" zoomScaleNormal="106" workbookViewId="0">
      <selection activeCell="F40" sqref="F40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2">
        <v>2022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H4" s="374"/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2717.611205285637</v>
      </c>
      <c r="E7" s="221">
        <f>E10*(1-E23)</f>
        <v>271.60982661654134</v>
      </c>
      <c r="F7" s="221">
        <f>F10*(1-F23)</f>
        <v>181.97357121518243</v>
      </c>
      <c r="G7" s="221">
        <f>G10*(1-G23)</f>
        <v>122.89532003292649</v>
      </c>
      <c r="H7" s="221">
        <f t="shared" ref="H7:P7" si="0">H10*(1-H23)</f>
        <v>89.54190628247521</v>
      </c>
      <c r="I7" s="221">
        <f t="shared" si="0"/>
        <v>127.97061655753041</v>
      </c>
      <c r="J7" s="221">
        <f t="shared" si="0"/>
        <v>117.38999041964817</v>
      </c>
      <c r="K7" s="221">
        <f t="shared" si="0"/>
        <v>165.08471528976574</v>
      </c>
      <c r="L7" s="221">
        <f t="shared" si="0"/>
        <v>175.13314534658079</v>
      </c>
      <c r="M7" s="221">
        <f t="shared" si="0"/>
        <v>387.40914934508436</v>
      </c>
      <c r="N7" s="221">
        <f t="shared" si="0"/>
        <v>373.92381392718119</v>
      </c>
      <c r="O7" s="221">
        <f t="shared" si="0"/>
        <v>358.77227896946567</v>
      </c>
      <c r="P7" s="221">
        <f t="shared" si="0"/>
        <v>345.90687128325504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1202</v>
      </c>
      <c r="E8" s="222">
        <f>E11*(1-E34)</f>
        <v>75.739824678777126</v>
      </c>
      <c r="F8" s="222">
        <f>F11*(1-F34)</f>
        <v>60.775356476768998</v>
      </c>
      <c r="G8" s="222">
        <f>G11*(1-G34)</f>
        <v>95.005563353801847</v>
      </c>
      <c r="H8" s="222">
        <f t="shared" ref="H8:P8" si="1">H11*(1-H34)</f>
        <v>59.420557522529407</v>
      </c>
      <c r="I8" s="222">
        <f t="shared" si="1"/>
        <v>65.097585698365535</v>
      </c>
      <c r="J8" s="222">
        <f t="shared" si="1"/>
        <v>147.01050255747572</v>
      </c>
      <c r="K8" s="222">
        <f t="shared" si="1"/>
        <v>130.2447009151922</v>
      </c>
      <c r="L8" s="222">
        <f t="shared" si="1"/>
        <v>82.277351927608777</v>
      </c>
      <c r="M8" s="222">
        <f>M11*(1-M34)</f>
        <v>140.48426494169649</v>
      </c>
      <c r="N8" s="222">
        <f>N11*(1-N34)</f>
        <v>124.76430582553577</v>
      </c>
      <c r="O8" s="222">
        <f>O11*(1-O34)</f>
        <v>114.64997999465096</v>
      </c>
      <c r="P8" s="222">
        <f t="shared" si="1"/>
        <v>106.84766963703544</v>
      </c>
      <c r="Q8" s="32"/>
      <c r="R8" s="32"/>
      <c r="T8" s="10"/>
      <c r="U8" s="58"/>
    </row>
    <row r="9" spans="1:21">
      <c r="A9" s="43" t="s">
        <v>123</v>
      </c>
      <c r="B9" s="43"/>
      <c r="C9" s="379">
        <f>D7+D8</f>
        <v>3919.611205285637</v>
      </c>
      <c r="D9" s="210">
        <f>SUM(E9:P9)</f>
        <v>3919.928868815075</v>
      </c>
      <c r="E9" s="223">
        <f>SUM(E7:E8)</f>
        <v>347.34965129531849</v>
      </c>
      <c r="F9" s="223">
        <f t="shared" ref="F9:P9" si="2">SUM(F7:F8)</f>
        <v>242.74892769195142</v>
      </c>
      <c r="G9" s="223">
        <f t="shared" si="2"/>
        <v>217.90088338672834</v>
      </c>
      <c r="H9" s="223">
        <f t="shared" si="2"/>
        <v>148.96246380500463</v>
      </c>
      <c r="I9" s="223">
        <f t="shared" si="2"/>
        <v>193.06820225589593</v>
      </c>
      <c r="J9" s="223">
        <f t="shared" si="2"/>
        <v>264.40049297712392</v>
      </c>
      <c r="K9" s="223">
        <f t="shared" si="2"/>
        <v>295.32941620495797</v>
      </c>
      <c r="L9" s="223">
        <f t="shared" si="2"/>
        <v>257.41049727418954</v>
      </c>
      <c r="M9" s="223">
        <f t="shared" si="2"/>
        <v>527.89341428678085</v>
      </c>
      <c r="N9" s="223">
        <f t="shared" si="2"/>
        <v>498.68811975271694</v>
      </c>
      <c r="O9" s="223">
        <f t="shared" si="2"/>
        <v>473.42225896411662</v>
      </c>
      <c r="P9" s="223">
        <f t="shared" si="2"/>
        <v>452.75454092029048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220">
        <f>ROUNDDOWN(SUM(E10:P10),0)</f>
        <v>2737</v>
      </c>
      <c r="E10" s="81">
        <v>274.9171</v>
      </c>
      <c r="F10" s="81">
        <v>185.62560000000002</v>
      </c>
      <c r="G10" s="81">
        <v>123.8758</v>
      </c>
      <c r="H10" s="81">
        <v>89.700800000000015</v>
      </c>
      <c r="I10" s="81">
        <v>128.37090000000001</v>
      </c>
      <c r="J10" s="81">
        <v>117.8503</v>
      </c>
      <c r="K10" s="81">
        <v>165.85160000000002</v>
      </c>
      <c r="L10" s="81">
        <v>175.81550000000001</v>
      </c>
      <c r="M10" s="81">
        <v>390.07643999999999</v>
      </c>
      <c r="N10" s="81">
        <v>375.93246000000005</v>
      </c>
      <c r="O10" s="81">
        <v>361.94970000000001</v>
      </c>
      <c r="P10" s="81">
        <v>347.26549999999997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257">
        <f>ROUNDDOWN(SUM(E11:P11),0)</f>
        <v>1219</v>
      </c>
      <c r="E11" s="81">
        <v>77.193399999999997</v>
      </c>
      <c r="F11" s="81">
        <v>62.520299999999992</v>
      </c>
      <c r="G11" s="81">
        <v>96.46820000000001</v>
      </c>
      <c r="H11" s="81">
        <v>59.749099999999999</v>
      </c>
      <c r="I11" s="81">
        <v>65.955100000000002</v>
      </c>
      <c r="J11" s="81">
        <v>148.58670000000001</v>
      </c>
      <c r="K11" s="81">
        <v>131.4477</v>
      </c>
      <c r="L11" s="81">
        <v>83.060299999999998</v>
      </c>
      <c r="M11" s="81">
        <v>142.4383</v>
      </c>
      <c r="N11" s="81">
        <v>125.9044</v>
      </c>
      <c r="O11" s="81">
        <v>116.99679999999998</v>
      </c>
      <c r="P11" s="81">
        <v>109.343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3956.895</v>
      </c>
      <c r="E12" s="200">
        <f>SUM(E10:E11)</f>
        <v>352.1105</v>
      </c>
      <c r="F12" s="200">
        <f>SUM(F10:F11)</f>
        <v>248.14590000000001</v>
      </c>
      <c r="G12" s="200">
        <f>SUM(G10:G11)</f>
        <v>220.34399999999999</v>
      </c>
      <c r="H12" s="200">
        <f t="shared" ref="H12:P12" si="3">SUM(H10:H11)</f>
        <v>149.44990000000001</v>
      </c>
      <c r="I12" s="200">
        <f t="shared" si="3"/>
        <v>194.32600000000002</v>
      </c>
      <c r="J12" s="200">
        <f t="shared" si="3"/>
        <v>266.43700000000001</v>
      </c>
      <c r="K12" s="200">
        <f t="shared" si="3"/>
        <v>297.29930000000002</v>
      </c>
      <c r="L12" s="200">
        <f t="shared" si="3"/>
        <v>258.87580000000003</v>
      </c>
      <c r="M12" s="200">
        <f t="shared" si="3"/>
        <v>532.51473999999996</v>
      </c>
      <c r="N12" s="200">
        <f>SUM(N10:N11)</f>
        <v>501.83686000000006</v>
      </c>
      <c r="O12" s="200">
        <f>SUM(O10:O11)</f>
        <v>478.94650000000001</v>
      </c>
      <c r="P12" s="200">
        <f t="shared" si="3"/>
        <v>456.60849999999999</v>
      </c>
      <c r="Q12" s="32"/>
      <c r="R12" s="32"/>
      <c r="T12" s="112"/>
      <c r="U12" s="112"/>
    </row>
    <row r="13" spans="1:21">
      <c r="T13" s="112"/>
      <c r="U13" s="112"/>
    </row>
    <row r="14" spans="1:2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>
        <f>SUM(G15:P15)</f>
        <v>0.28664148641666848</v>
      </c>
      <c r="E15" s="259">
        <v>2.5563909774436101E-2</v>
      </c>
      <c r="F15" s="259">
        <v>2.4971056275680501E-2</v>
      </c>
      <c r="G15" s="259">
        <v>3.0077092336673474E-2</v>
      </c>
      <c r="H15" s="259">
        <v>1.5745551881593451E-2</v>
      </c>
      <c r="I15" s="259">
        <v>3.0402245088868102E-2</v>
      </c>
      <c r="J15" s="259">
        <v>5.0776489704090239E-2</v>
      </c>
      <c r="K15" s="259">
        <v>1.155980271270037E-2</v>
      </c>
      <c r="L15" s="259">
        <v>2.7167585189784984E-2</v>
      </c>
      <c r="M15" s="259">
        <v>1.6714784987084029E-2</v>
      </c>
      <c r="N15" s="259">
        <v>3.0532020456453708E-2</v>
      </c>
      <c r="O15" s="259">
        <v>2.6717557251908396E-2</v>
      </c>
      <c r="P15" s="259">
        <v>4.6948356807511735E-2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2737.2316999999998</v>
      </c>
      <c r="S17">
        <f>SUM(S18:S23)</f>
        <v>0</v>
      </c>
      <c r="T17" s="228">
        <f>S17+R17</f>
        <v>2737.2316999999998</v>
      </c>
      <c r="U17" s="229"/>
    </row>
    <row r="18" spans="1:21">
      <c r="A18" s="31"/>
      <c r="B18" s="56" t="s">
        <v>34</v>
      </c>
      <c r="C18" s="32"/>
      <c r="D18" s="36"/>
      <c r="E18" s="54">
        <v>2.6315789473684199E-2</v>
      </c>
      <c r="F18" s="53">
        <v>8.3236854252268216E-3</v>
      </c>
      <c r="G18" s="53">
        <v>4.4324136075097748E-2</v>
      </c>
      <c r="H18" s="53">
        <v>6.2982207526373806E-3</v>
      </c>
      <c r="I18" s="53">
        <v>6.2363579669473031E-3</v>
      </c>
      <c r="J18" s="53">
        <v>9.3741211761397391E-3</v>
      </c>
      <c r="K18" s="53">
        <v>4.7780517879161535E-3</v>
      </c>
      <c r="L18" s="53">
        <v>3.8810835985407122E-3</v>
      </c>
      <c r="M18" s="53">
        <v>1.1396444309375475E-2</v>
      </c>
      <c r="N18" s="54">
        <v>1.3739409205404167E-2</v>
      </c>
      <c r="O18" s="54">
        <v>3.8167938931297708E-3</v>
      </c>
      <c r="P18" s="53">
        <v>1.4866979655711999E-2</v>
      </c>
      <c r="Q18" s="34"/>
      <c r="R18" s="23">
        <f t="shared" ref="R18:R23" si="4">G18*$G$10+H18*$H$10+I18*$I$10+J18*$J$10+K18*$K$10+L18*$L$10+M18*$M$10+N18*$N$10+O18*$O$10+P18*$P$10+$E$10*E18+$F$10*F18</f>
        <v>34.370355803000635</v>
      </c>
      <c r="S18" s="51"/>
      <c r="T18" s="230">
        <f>(R18+S18)/$T$17</f>
        <v>1.255661177787786E-2</v>
      </c>
      <c r="U18" s="231"/>
    </row>
    <row r="19" spans="1:21">
      <c r="A19" s="31"/>
      <c r="B19" s="56" t="s">
        <v>35</v>
      </c>
      <c r="C19" s="32"/>
      <c r="D19" s="36"/>
      <c r="E19" s="54">
        <v>3.7894736842105259E-2</v>
      </c>
      <c r="F19" s="53">
        <v>6.3562688701732081E-2</v>
      </c>
      <c r="G19" s="53">
        <v>4.4324136075097748E-2</v>
      </c>
      <c r="H19" s="53">
        <v>2.2043772634230831E-2</v>
      </c>
      <c r="I19" s="53">
        <v>7.0938571874025566E-2</v>
      </c>
      <c r="J19" s="53">
        <v>4.1011780145611354E-2</v>
      </c>
      <c r="K19" s="53">
        <v>1.4025893958076449E-2</v>
      </c>
      <c r="L19" s="53">
        <v>3.6404564154311883E-2</v>
      </c>
      <c r="M19" s="53">
        <v>4.9460568302689564E-2</v>
      </c>
      <c r="N19" s="54">
        <v>6.7857415464468357E-2</v>
      </c>
      <c r="O19" s="54">
        <v>5.7709923664122142E-2</v>
      </c>
      <c r="P19" s="53">
        <v>6.5179968701095464E-2</v>
      </c>
      <c r="Q19" s="34"/>
      <c r="R19" s="23">
        <f t="shared" si="4"/>
        <v>140.67725926192639</v>
      </c>
      <c r="S19" s="51"/>
      <c r="T19" s="230">
        <f>(R19+S19)/$T$17</f>
        <v>5.1393990235436192E-2</v>
      </c>
      <c r="U19" s="231"/>
    </row>
    <row r="20" spans="1:21">
      <c r="A20" s="31"/>
      <c r="B20" s="56" t="s">
        <v>36</v>
      </c>
      <c r="C20" s="32"/>
      <c r="D20" s="36"/>
      <c r="E20" s="54">
        <v>4.9624060150375897E-2</v>
      </c>
      <c r="F20" s="53">
        <v>3.0494956603330993E-2</v>
      </c>
      <c r="G20" s="53">
        <v>5.1447657944309888E-2</v>
      </c>
      <c r="H20" s="53">
        <v>3.306565895134625E-2</v>
      </c>
      <c r="I20" s="53">
        <v>4.7006548175865297E-2</v>
      </c>
      <c r="J20" s="53">
        <v>3.1254882354779245E-2</v>
      </c>
      <c r="K20" s="53">
        <v>9.4790382244143045E-2</v>
      </c>
      <c r="L20" s="53">
        <v>1.2419467515330278E-2</v>
      </c>
      <c r="M20" s="53">
        <v>4.710530314541863E-2</v>
      </c>
      <c r="N20" s="54">
        <v>8.0146553698190987E-2</v>
      </c>
      <c r="O20" s="54">
        <v>5.3435114503816793E-2</v>
      </c>
      <c r="P20" s="53">
        <v>2.7386541471048513E-2</v>
      </c>
      <c r="Q20" s="34"/>
      <c r="R20" s="23">
        <f t="shared" si="4"/>
        <v>133.62020950732901</v>
      </c>
      <c r="S20" s="51"/>
      <c r="T20" s="230">
        <f>(R20+S20)/$T$17</f>
        <v>4.8815819832617388E-2</v>
      </c>
      <c r="U20" s="231"/>
    </row>
    <row r="21" spans="1:21">
      <c r="A21" s="31"/>
      <c r="B21" s="56" t="s">
        <v>37</v>
      </c>
      <c r="C21" s="32"/>
      <c r="D21" s="36"/>
      <c r="E21" s="54">
        <v>0.77864661654135336</v>
      </c>
      <c r="F21" s="53">
        <v>0.77939963527123868</v>
      </c>
      <c r="G21" s="53">
        <v>0.75509331813648661</v>
      </c>
      <c r="H21" s="53">
        <v>0.83825381829633128</v>
      </c>
      <c r="I21" s="53">
        <v>0.74446523230433426</v>
      </c>
      <c r="J21" s="53">
        <v>0.81437677717713963</v>
      </c>
      <c r="K21" s="53">
        <v>0.78768495684340323</v>
      </c>
      <c r="L21" s="53">
        <v>0.85779709694946826</v>
      </c>
      <c r="M21" s="53">
        <v>0.80458896824190851</v>
      </c>
      <c r="N21" s="54">
        <v>0.71757881077780328</v>
      </c>
      <c r="O21" s="54">
        <v>0.83809160305343511</v>
      </c>
      <c r="P21" s="53">
        <v>0.75172143974960881</v>
      </c>
      <c r="Q21" s="34"/>
      <c r="R21" s="23">
        <f t="shared" si="4"/>
        <v>2148.4709708322457</v>
      </c>
      <c r="S21" s="51"/>
      <c r="T21" s="230">
        <f t="shared" ref="T21:T23" si="5">(R21+S21)/$T$17</f>
        <v>0.78490650639193094</v>
      </c>
      <c r="U21" s="231"/>
    </row>
    <row r="22" spans="1:21">
      <c r="A22" s="31"/>
      <c r="B22" s="56" t="s">
        <v>38</v>
      </c>
      <c r="C22" s="32"/>
      <c r="D22" s="36"/>
      <c r="E22" s="54">
        <v>9.5488721804511276E-2</v>
      </c>
      <c r="F22" s="53">
        <v>9.8544868447935349E-2</v>
      </c>
      <c r="G22" s="53">
        <v>9.6895727469883328E-2</v>
      </c>
      <c r="H22" s="53">
        <v>9.8567154778774993E-2</v>
      </c>
      <c r="I22" s="53">
        <v>0.1282351106953539</v>
      </c>
      <c r="J22" s="53">
        <v>0.10007655532293848</v>
      </c>
      <c r="K22" s="53">
        <v>9.4096794081381024E-2</v>
      </c>
      <c r="L22" s="53">
        <v>8.5616704183808109E-2</v>
      </c>
      <c r="M22" s="53">
        <v>8.0610849414982519E-2</v>
      </c>
      <c r="N22" s="54">
        <v>0.11533470727425388</v>
      </c>
      <c r="O22" s="54">
        <v>3.8167938931297711E-2</v>
      </c>
      <c r="P22" s="53">
        <v>0.13693270735524257</v>
      </c>
      <c r="Q22" s="34"/>
      <c r="R22" s="23">
        <f t="shared" si="4"/>
        <v>260.47240988113492</v>
      </c>
      <c r="S22" s="51"/>
      <c r="T22" s="230">
        <f>(R22+S22)/$T$17</f>
        <v>9.5159065226789144E-2</v>
      </c>
      <c r="U22" s="231"/>
    </row>
    <row r="23" spans="1:21">
      <c r="A23" s="31"/>
      <c r="B23" s="56" t="s">
        <v>39</v>
      </c>
      <c r="C23" s="32"/>
      <c r="D23" s="36"/>
      <c r="E23" s="54">
        <v>1.2030075187969922E-2</v>
      </c>
      <c r="F23" s="53">
        <v>1.9674165550536117E-2</v>
      </c>
      <c r="G23" s="74">
        <v>7.915024299124605E-3</v>
      </c>
      <c r="H23" s="53">
        <v>1.7713745866792647E-3</v>
      </c>
      <c r="I23" s="53">
        <v>3.1181789834736542E-3</v>
      </c>
      <c r="J23" s="53">
        <v>3.9058838233915608E-3</v>
      </c>
      <c r="K23" s="53">
        <v>4.6239210850801474E-3</v>
      </c>
      <c r="L23" s="53">
        <v>3.8810835985407109E-3</v>
      </c>
      <c r="M23" s="53">
        <v>6.8378665856252832E-3</v>
      </c>
      <c r="N23" s="54">
        <v>5.3431035798793981E-3</v>
      </c>
      <c r="O23" s="54">
        <v>8.7786259541984806E-3</v>
      </c>
      <c r="P23" s="53">
        <v>3.9123630672926483E-3</v>
      </c>
      <c r="Q23" s="34"/>
      <c r="R23" s="23">
        <f t="shared" si="4"/>
        <v>19.6204947143633</v>
      </c>
      <c r="S23" s="51"/>
      <c r="T23" s="230">
        <f t="shared" si="5"/>
        <v>7.168006535348579E-3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0.99999999999999989</v>
      </c>
      <c r="F24" s="76">
        <f>F23+F22+F21+F20+F19+F18</f>
        <v>1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1</v>
      </c>
      <c r="J24" s="76">
        <f t="shared" si="6"/>
        <v>1</v>
      </c>
      <c r="K24" s="76">
        <f t="shared" si="6"/>
        <v>1</v>
      </c>
      <c r="L24" s="76">
        <f t="shared" si="6"/>
        <v>1</v>
      </c>
      <c r="M24" s="76">
        <f t="shared" si="6"/>
        <v>0.99999999999999989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2.289174420321961E-2</v>
      </c>
      <c r="F26" s="259">
        <v>3.1193564275160068E-2</v>
      </c>
      <c r="G26" s="259">
        <v>9.8552043059661892E-3</v>
      </c>
      <c r="H26" s="259">
        <v>1.5350542233083854E-2</v>
      </c>
      <c r="I26" s="259">
        <v>2.2288261515601784E-2</v>
      </c>
      <c r="J26" s="259">
        <v>1.1572288227125443E-2</v>
      </c>
      <c r="K26" s="259">
        <v>4.5759609517998781E-3</v>
      </c>
      <c r="L26" s="259">
        <v>7.7782056218713902E-3</v>
      </c>
      <c r="M26" s="259">
        <v>1.9053425805959916E-2</v>
      </c>
      <c r="N26" s="259">
        <v>3.0938726230003013E-2</v>
      </c>
      <c r="O26" s="259">
        <v>3.6774538646696976E-2</v>
      </c>
      <c r="P26" s="259">
        <v>3.6224009273346375E-2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1219.6632999999999</v>
      </c>
      <c r="S28">
        <f>SUM(S29:S34)</f>
        <v>0</v>
      </c>
      <c r="T28" s="228">
        <f>S28+R28</f>
        <v>1219.6632999999999</v>
      </c>
      <c r="U28" s="229"/>
    </row>
    <row r="29" spans="1:21">
      <c r="A29" s="31"/>
      <c r="B29" s="56" t="s">
        <v>34</v>
      </c>
      <c r="C29" s="32"/>
      <c r="D29" s="37"/>
      <c r="E29" s="53">
        <v>4.4306601683650861E-3</v>
      </c>
      <c r="F29" s="53">
        <v>4.9252996223936949E-3</v>
      </c>
      <c r="G29" s="53">
        <v>3.9420817223864757E-2</v>
      </c>
      <c r="H29" s="53">
        <v>3.0548342752405682E-2</v>
      </c>
      <c r="I29" s="53">
        <v>1.485884101040119E-2</v>
      </c>
      <c r="J29" s="53">
        <v>1.1572288227125443E-2</v>
      </c>
      <c r="K29" s="53">
        <v>1.9066503965832825E-2</v>
      </c>
      <c r="L29" s="53">
        <v>2.6954177897574125E-2</v>
      </c>
      <c r="M29" s="53">
        <v>3.200975535401266E-2</v>
      </c>
      <c r="N29" s="53">
        <v>3.8484757017808624E-2</v>
      </c>
      <c r="O29" s="53">
        <v>2.3401979138807167E-2</v>
      </c>
      <c r="P29" s="53">
        <v>1.2316163152937766E-2</v>
      </c>
      <c r="Q29" s="34"/>
      <c r="R29" s="23">
        <f t="shared" ref="R29:R34" si="7">G29*$G$11+H29*$H$11+I29*$I$11+J29*$J$11+K29*$K$11+L29*$L$11+M29*$M$11+N29*$N$11+O29*$O$11+P29*$P$11+$E$11*E29+$F$11*F29</f>
        <v>27.212073136356935</v>
      </c>
      <c r="S29" s="51"/>
      <c r="T29" s="230">
        <f>(R29+S29)/$T$28</f>
        <v>2.2311135488258881E-2</v>
      </c>
      <c r="U29" s="231"/>
    </row>
    <row r="30" spans="1:21">
      <c r="A30" s="31"/>
      <c r="B30" s="56" t="s">
        <v>35</v>
      </c>
      <c r="C30" s="32"/>
      <c r="D30" s="37"/>
      <c r="E30" s="53">
        <v>4.6521931767833404E-2</v>
      </c>
      <c r="F30" s="53">
        <v>6.3208011820719084E-2</v>
      </c>
      <c r="G30" s="53">
        <v>4.5106512015768332E-2</v>
      </c>
      <c r="H30" s="53">
        <v>4.2767679853367956E-2</v>
      </c>
      <c r="I30" s="53">
        <v>4.6805349182763745E-2</v>
      </c>
      <c r="J30" s="53">
        <v>2.4301805276963434E-2</v>
      </c>
      <c r="K30" s="53">
        <v>4.8047589993898715E-2</v>
      </c>
      <c r="L30" s="53">
        <v>5.3908355795148258E-2</v>
      </c>
      <c r="M30" s="53">
        <v>5.601707186952215E-2</v>
      </c>
      <c r="N30" s="53">
        <v>8.1874434047690903E-2</v>
      </c>
      <c r="O30" s="53">
        <v>4.6803958277614341E-2</v>
      </c>
      <c r="P30" s="53">
        <v>6.7449105266970941E-2</v>
      </c>
      <c r="Q30" s="34"/>
      <c r="R30" s="23">
        <f t="shared" si="7"/>
        <v>63.079339133259268</v>
      </c>
      <c r="S30" s="51"/>
      <c r="T30" s="230">
        <f t="shared" ref="T30:T34" si="8">(R30+S30)/$T$28</f>
        <v>5.1718649838245742E-2</v>
      </c>
      <c r="U30" s="231"/>
    </row>
    <row r="31" spans="1:21">
      <c r="A31" s="31"/>
      <c r="B31" s="56" t="s">
        <v>36</v>
      </c>
      <c r="C31" s="32"/>
      <c r="D31" s="37"/>
      <c r="E31" s="53">
        <v>4.4306601683650901E-2</v>
      </c>
      <c r="F31" s="53">
        <v>8.2088327039894923E-2</v>
      </c>
      <c r="G31" s="53">
        <v>0.14782806458949285</v>
      </c>
      <c r="H31" s="53">
        <v>5.3459599816709946E-2</v>
      </c>
      <c r="I31" s="53">
        <v>0.11515601783060922</v>
      </c>
      <c r="J31" s="53">
        <v>0.10029316463508717</v>
      </c>
      <c r="K31" s="53">
        <v>0.11439902379499695</v>
      </c>
      <c r="L31" s="53">
        <v>6.9310743165190605E-2</v>
      </c>
      <c r="M31" s="53">
        <v>8.7645758707415602E-2</v>
      </c>
      <c r="N31" s="53">
        <v>0.18110473890733472</v>
      </c>
      <c r="O31" s="53">
        <v>0.13372559507889811</v>
      </c>
      <c r="P31" s="53">
        <v>9.9978265594435997E-2</v>
      </c>
      <c r="Q31" s="34"/>
      <c r="R31" s="23">
        <f t="shared" si="7"/>
        <v>131.16243761220335</v>
      </c>
      <c r="S31" s="51"/>
      <c r="T31" s="230">
        <f t="shared" si="8"/>
        <v>0.10753987400637811</v>
      </c>
      <c r="U31" s="231"/>
    </row>
    <row r="32" spans="1:21">
      <c r="A32" s="31"/>
      <c r="B32" s="56" t="s">
        <v>37</v>
      </c>
      <c r="C32" s="32"/>
      <c r="D32" s="37"/>
      <c r="E32" s="53">
        <v>0.69531826908876082</v>
      </c>
      <c r="F32" s="53">
        <v>0.66409456575274983</v>
      </c>
      <c r="G32" s="53">
        <v>0.63338639981805778</v>
      </c>
      <c r="H32" s="53">
        <v>0.7513364899954178</v>
      </c>
      <c r="I32" s="53">
        <v>0.61627043090638933</v>
      </c>
      <c r="J32" s="53">
        <v>0.71728899861132533</v>
      </c>
      <c r="K32" s="53">
        <v>0.69402074435631478</v>
      </c>
      <c r="L32" s="53">
        <v>0.69292260300346553</v>
      </c>
      <c r="M32" s="53">
        <v>0.68096943830500734</v>
      </c>
      <c r="N32" s="53">
        <v>0.56180199215212789</v>
      </c>
      <c r="O32" s="53">
        <v>0.5950788981010966</v>
      </c>
      <c r="P32" s="53">
        <v>0.62189379120481059</v>
      </c>
      <c r="Q32" s="34"/>
      <c r="R32" s="23">
        <f t="shared" si="7"/>
        <v>802.54580227113183</v>
      </c>
      <c r="S32" s="51"/>
      <c r="T32" s="230">
        <f t="shared" si="8"/>
        <v>0.65800602696755073</v>
      </c>
      <c r="U32" s="231"/>
    </row>
    <row r="33" spans="1:21">
      <c r="A33" s="31"/>
      <c r="B33" s="56" t="s">
        <v>38</v>
      </c>
      <c r="C33" s="32"/>
      <c r="D33" s="37"/>
      <c r="E33" s="53">
        <v>0.1905922315758381</v>
      </c>
      <c r="F33" s="53">
        <v>0.15777376457067804</v>
      </c>
      <c r="G33" s="53">
        <v>0.1190963535744068</v>
      </c>
      <c r="H33" s="53">
        <v>0.11638918588666564</v>
      </c>
      <c r="I33" s="53">
        <v>0.19390787518573552</v>
      </c>
      <c r="J33" s="53">
        <v>0.13593581237463354</v>
      </c>
      <c r="K33" s="53">
        <v>0.11531421598535692</v>
      </c>
      <c r="L33" s="53">
        <v>0.14747785906815555</v>
      </c>
      <c r="M33" s="53">
        <v>0.12963950918375125</v>
      </c>
      <c r="N33" s="53">
        <v>0.12767884092967099</v>
      </c>
      <c r="O33" s="53">
        <v>0.18093073014174912</v>
      </c>
      <c r="P33" s="53">
        <v>0.17554154893863649</v>
      </c>
      <c r="Q33" s="34"/>
      <c r="R33" s="23">
        <f t="shared" si="7"/>
        <v>178.31801137648694</v>
      </c>
      <c r="S33" s="51"/>
      <c r="T33" s="230">
        <f t="shared" si="8"/>
        <v>0.14620265394267987</v>
      </c>
      <c r="U33" s="231"/>
    </row>
    <row r="34" spans="1:21">
      <c r="A34" s="31"/>
      <c r="B34" s="56" t="s">
        <v>39</v>
      </c>
      <c r="C34" s="32"/>
      <c r="D34" s="36"/>
      <c r="E34" s="53">
        <v>1.8830305715551617E-2</v>
      </c>
      <c r="F34" s="53">
        <v>2.7910031193564267E-2</v>
      </c>
      <c r="G34" s="53">
        <v>1.5161852778409517E-2</v>
      </c>
      <c r="H34" s="53">
        <v>5.4987016954330219E-3</v>
      </c>
      <c r="I34" s="53">
        <v>1.3001485884101041E-2</v>
      </c>
      <c r="J34" s="53">
        <v>1.0607930874864989E-2</v>
      </c>
      <c r="K34" s="53">
        <v>9.1519219035997527E-3</v>
      </c>
      <c r="L34" s="53">
        <v>9.4262610704659248E-3</v>
      </c>
      <c r="M34" s="53">
        <v>1.371846658029114E-2</v>
      </c>
      <c r="N34" s="53">
        <v>9.0552369453667375E-3</v>
      </c>
      <c r="O34" s="53">
        <v>2.0058839261834719E-2</v>
      </c>
      <c r="P34" s="53">
        <v>2.2821125842208221E-2</v>
      </c>
      <c r="Q34" s="34"/>
      <c r="R34" s="23">
        <f t="shared" si="7"/>
        <v>17.345636470561736</v>
      </c>
      <c r="S34" s="51"/>
      <c r="T34" s="230">
        <f t="shared" si="8"/>
        <v>1.4221659756886787E-2</v>
      </c>
      <c r="U34" s="231"/>
    </row>
    <row r="35" spans="1:21">
      <c r="A35" s="59"/>
      <c r="B35" s="60"/>
      <c r="C35" s="60"/>
      <c r="D35" s="61"/>
      <c r="E35" s="64">
        <f>E29+E30+E31+E32+E33+E34</f>
        <v>1</v>
      </c>
      <c r="F35" s="64">
        <f>F29+F30+F31+F32+F33+F34</f>
        <v>0.99999999999999989</v>
      </c>
      <c r="G35" s="64">
        <f t="shared" ref="G35:P35" si="9">G29+G30+G32+G31+G33+G34</f>
        <v>1</v>
      </c>
      <c r="H35" s="64">
        <f t="shared" si="9"/>
        <v>1.0000000000000002</v>
      </c>
      <c r="I35" s="64">
        <f t="shared" si="9"/>
        <v>1</v>
      </c>
      <c r="J35" s="64">
        <f t="shared" si="9"/>
        <v>1</v>
      </c>
      <c r="K35" s="64">
        <f t="shared" si="9"/>
        <v>1</v>
      </c>
      <c r="L35" s="64">
        <f t="shared" si="9"/>
        <v>1</v>
      </c>
      <c r="M35" s="64">
        <f t="shared" si="9"/>
        <v>1.0000000000000002</v>
      </c>
      <c r="N35" s="64">
        <f t="shared" si="9"/>
        <v>0.99999999999999978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3956.8949999999995</v>
      </c>
      <c r="S39" s="248">
        <f>S28+S17</f>
        <v>0</v>
      </c>
      <c r="T39" s="253">
        <f>S39+R39</f>
        <v>3956.8949999999995</v>
      </c>
      <c r="U39" s="123"/>
    </row>
    <row r="40" spans="1:21">
      <c r="A40" s="244"/>
      <c r="B40" s="245" t="s">
        <v>34</v>
      </c>
      <c r="C40" s="246"/>
      <c r="D40" s="247"/>
      <c r="E40" s="254">
        <f>((E10*E18)+(E11*E29))/E12</f>
        <v>2.151789920765345E-2</v>
      </c>
      <c r="F40" s="254">
        <f>((F10*F18)+(F11*F29))/F12</f>
        <v>7.4674629371306329E-3</v>
      </c>
      <c r="G40" s="254">
        <f t="shared" ref="G40:P40" si="10">((G10*G18)+(G11*G29))/G12</f>
        <v>4.2177427548409877E-2</v>
      </c>
      <c r="H40" s="254">
        <f t="shared" si="10"/>
        <v>1.5993262130225162E-2</v>
      </c>
      <c r="I40" s="254">
        <f t="shared" si="10"/>
        <v>9.1628666759173086E-3</v>
      </c>
      <c r="J40" s="254">
        <f t="shared" si="10"/>
        <v>1.0599995916339854E-2</v>
      </c>
      <c r="K40" s="254">
        <f t="shared" si="10"/>
        <v>1.1095537820836974E-2</v>
      </c>
      <c r="L40" s="254">
        <f t="shared" si="10"/>
        <v>1.1284085866060523E-2</v>
      </c>
      <c r="M40" s="254">
        <f t="shared" si="10"/>
        <v>1.6910141418622342E-2</v>
      </c>
      <c r="N40" s="254">
        <f t="shared" si="10"/>
        <v>1.9947698028812026E-2</v>
      </c>
      <c r="O40" s="254">
        <f t="shared" si="10"/>
        <v>8.6010526801789909E-3</v>
      </c>
      <c r="P40" s="254">
        <f t="shared" si="10"/>
        <v>1.425614142369739E-2</v>
      </c>
      <c r="Q40" s="248"/>
      <c r="R40" s="252">
        <f>R29+R18</f>
        <v>61.58242893935757</v>
      </c>
      <c r="S40" s="248">
        <f>S29+S18</f>
        <v>0</v>
      </c>
      <c r="T40" s="256">
        <f>(R40+S40)/$T$39</f>
        <v>1.5563321477915785E-2</v>
      </c>
      <c r="U40" s="213"/>
    </row>
    <row r="41" spans="1:21">
      <c r="A41" s="244"/>
      <c r="B41" s="245" t="s">
        <v>35</v>
      </c>
      <c r="C41" s="246"/>
      <c r="D41" s="247"/>
      <c r="E41" s="254">
        <f>((E10*E19)+(E11*E30))/E12</f>
        <v>3.9786082055553035E-2</v>
      </c>
      <c r="F41" s="254">
        <f t="shared" ref="F41:P41" si="11">((F10*F19)+(F11*F30))/F12</f>
        <v>6.3473327946611827E-2</v>
      </c>
      <c r="G41" s="254">
        <f t="shared" si="11"/>
        <v>4.4666665931684717E-2</v>
      </c>
      <c r="H41" s="254">
        <f t="shared" si="11"/>
        <v>3.0329056229783224E-2</v>
      </c>
      <c r="I41" s="254">
        <f t="shared" si="11"/>
        <v>6.2747649836189953E-2</v>
      </c>
      <c r="J41" s="254">
        <f t="shared" si="11"/>
        <v>3.1692954221226498E-2</v>
      </c>
      <c r="K41" s="254">
        <f t="shared" si="11"/>
        <v>2.9068222325509381E-2</v>
      </c>
      <c r="L41" s="254">
        <f t="shared" si="11"/>
        <v>4.2020655673199944E-2</v>
      </c>
      <c r="M41" s="254">
        <f t="shared" si="11"/>
        <v>5.1214317357605066E-2</v>
      </c>
      <c r="N41" s="254">
        <f t="shared" si="11"/>
        <v>7.137410476168235E-2</v>
      </c>
      <c r="O41" s="254">
        <f t="shared" si="11"/>
        <v>5.504582015541673E-2</v>
      </c>
      <c r="P41" s="254">
        <f t="shared" si="11"/>
        <v>6.5723353678647387E-2</v>
      </c>
      <c r="Q41" s="248"/>
      <c r="R41" s="252">
        <f>R30+R19</f>
        <v>203.75659839518568</v>
      </c>
      <c r="S41" s="248">
        <f t="shared" ref="R41:S45" si="12">S30+S19</f>
        <v>0</v>
      </c>
      <c r="T41" s="256">
        <f t="shared" ref="T41:T45" si="13">(R41+S41)/$T$39</f>
        <v>5.1494062489701065E-2</v>
      </c>
      <c r="U41" s="213"/>
    </row>
    <row r="42" spans="1:21">
      <c r="A42" s="244"/>
      <c r="B42" s="245" t="s">
        <v>36</v>
      </c>
      <c r="C42" s="246"/>
      <c r="D42" s="247"/>
      <c r="E42" s="254">
        <f>((E10*E20)+(E11*E31))/E12</f>
        <v>4.8458310482571924E-2</v>
      </c>
      <c r="F42" s="254">
        <f t="shared" ref="F42:P42" si="14">((F10*F20)+(F11*F31))/F12</f>
        <v>4.3493893912813462E-2</v>
      </c>
      <c r="G42" s="254">
        <f t="shared" si="14"/>
        <v>9.3643698427957459E-2</v>
      </c>
      <c r="H42" s="254">
        <f t="shared" si="14"/>
        <v>4.1219024140340704E-2</v>
      </c>
      <c r="I42" s="254">
        <f t="shared" si="14"/>
        <v>7.0136778232705851E-2</v>
      </c>
      <c r="J42" s="254">
        <f t="shared" si="14"/>
        <v>6.975618111470909E-2</v>
      </c>
      <c r="K42" s="254">
        <f t="shared" si="14"/>
        <v>0.1034601330036779</v>
      </c>
      <c r="L42" s="254">
        <f t="shared" si="14"/>
        <v>3.0673033213089947E-2</v>
      </c>
      <c r="M42" s="254">
        <f t="shared" si="14"/>
        <v>5.7949159921057168E-2</v>
      </c>
      <c r="N42" s="254">
        <f t="shared" si="14"/>
        <v>0.10547566111737521</v>
      </c>
      <c r="O42" s="254">
        <f t="shared" si="14"/>
        <v>7.3048431017762858E-2</v>
      </c>
      <c r="P42" s="254">
        <f t="shared" si="14"/>
        <v>4.4769916705682908E-2</v>
      </c>
      <c r="Q42" s="248"/>
      <c r="R42" s="252">
        <f>R31+R20</f>
        <v>264.78264711953238</v>
      </c>
      <c r="S42" s="248">
        <f t="shared" si="12"/>
        <v>0</v>
      </c>
      <c r="T42" s="256">
        <f>(R42+S42)/$T$39</f>
        <v>6.6916773662058865E-2</v>
      </c>
      <c r="U42" s="213"/>
    </row>
    <row r="43" spans="1:21">
      <c r="A43" s="244"/>
      <c r="B43" s="245" t="s">
        <v>37</v>
      </c>
      <c r="C43" s="246"/>
      <c r="D43" s="247"/>
      <c r="E43" s="254">
        <f>((E10*E21)+(E11*E32))/E12</f>
        <v>0.76037849202860253</v>
      </c>
      <c r="F43" s="254">
        <f t="shared" ref="F43:P43" si="15">((F10*F21)+(F11*F32))/F12</f>
        <v>0.75034855065603145</v>
      </c>
      <c r="G43" s="254">
        <f t="shared" si="15"/>
        <v>0.70180914730485133</v>
      </c>
      <c r="H43" s="254">
        <f t="shared" si="15"/>
        <v>0.80350483458751576</v>
      </c>
      <c r="I43" s="254">
        <f t="shared" si="15"/>
        <v>0.70095535227962513</v>
      </c>
      <c r="J43" s="254">
        <f t="shared" si="15"/>
        <v>0.76023282334405673</v>
      </c>
      <c r="K43" s="254">
        <f t="shared" si="15"/>
        <v>0.74627232888316575</v>
      </c>
      <c r="L43" s="254">
        <f t="shared" si="15"/>
        <v>0.80489711584075441</v>
      </c>
      <c r="M43" s="254">
        <f t="shared" si="15"/>
        <v>0.77152292449068516</v>
      </c>
      <c r="N43" s="254">
        <f t="shared" si="15"/>
        <v>0.67849641479163669</v>
      </c>
      <c r="O43" s="254">
        <f t="shared" si="15"/>
        <v>0.77872858685273683</v>
      </c>
      <c r="P43" s="254">
        <f t="shared" si="15"/>
        <v>0.72063190774388863</v>
      </c>
      <c r="Q43" s="248"/>
      <c r="R43" s="252">
        <f>R32+R21</f>
        <v>2951.0167731033775</v>
      </c>
      <c r="S43" s="248">
        <f t="shared" si="12"/>
        <v>0</v>
      </c>
      <c r="T43" s="256">
        <f t="shared" si="13"/>
        <v>0.74579102379602635</v>
      </c>
      <c r="U43" s="213"/>
    </row>
    <row r="44" spans="1:21">
      <c r="A44" s="244"/>
      <c r="B44" s="245" t="s">
        <v>38</v>
      </c>
      <c r="C44" s="246"/>
      <c r="D44" s="247"/>
      <c r="E44" s="254">
        <f>((E10*E22)+(E11*E33))/E12</f>
        <v>0.11633832234519934</v>
      </c>
      <c r="F44" s="254">
        <f t="shared" ref="F44:P44" si="16">((F10*F22)+(F11*F33))/F12</f>
        <v>0.11346757462306341</v>
      </c>
      <c r="G44" s="254">
        <f t="shared" si="16"/>
        <v>0.10661532246305942</v>
      </c>
      <c r="H44" s="254">
        <f t="shared" si="16"/>
        <v>0.10569228713997744</v>
      </c>
      <c r="I44" s="254">
        <f t="shared" si="16"/>
        <v>0.15052473611469852</v>
      </c>
      <c r="J44" s="254">
        <f t="shared" si="16"/>
        <v>0.12007456111704028</v>
      </c>
      <c r="K44" s="254">
        <f t="shared" si="16"/>
        <v>0.10347784983632984</v>
      </c>
      <c r="L44" s="254">
        <f t="shared" si="16"/>
        <v>0.10546485562569785</v>
      </c>
      <c r="M44" s="254">
        <f t="shared" si="16"/>
        <v>9.3725151093733819E-2</v>
      </c>
      <c r="N44" s="254">
        <f t="shared" si="16"/>
        <v>0.11843169130489103</v>
      </c>
      <c r="O44" s="254">
        <f t="shared" si="16"/>
        <v>7.3041958744974073E-2</v>
      </c>
      <c r="P44" s="254">
        <f t="shared" si="16"/>
        <v>0.14617827892312413</v>
      </c>
      <c r="Q44" s="248"/>
      <c r="R44" s="252">
        <f t="shared" si="12"/>
        <v>438.79042125762186</v>
      </c>
      <c r="S44" s="248">
        <f>S33+S22</f>
        <v>0</v>
      </c>
      <c r="T44" s="256">
        <f t="shared" si="13"/>
        <v>0.11089261182255832</v>
      </c>
      <c r="U44" s="213"/>
    </row>
    <row r="45" spans="1:21">
      <c r="A45" s="244"/>
      <c r="B45" s="245" t="s">
        <v>39</v>
      </c>
      <c r="C45" s="246"/>
      <c r="D45" s="255"/>
      <c r="E45" s="254">
        <f>((E10*E23)+(E11*E34))/E12</f>
        <v>1.3520893880419663E-2</v>
      </c>
      <c r="F45" s="254">
        <f t="shared" ref="F45:P45" si="17">((F10*F23)+(F11*F34))/F12</f>
        <v>2.1749189924349318E-2</v>
      </c>
      <c r="G45" s="254">
        <f t="shared" si="17"/>
        <v>1.1087738324037255E-2</v>
      </c>
      <c r="H45" s="254">
        <f t="shared" si="17"/>
        <v>3.2615357721577369E-3</v>
      </c>
      <c r="I45" s="254">
        <f t="shared" si="17"/>
        <v>6.4726168608630376E-3</v>
      </c>
      <c r="J45" s="254">
        <f t="shared" si="17"/>
        <v>7.6434842866273988E-3</v>
      </c>
      <c r="K45" s="254">
        <f t="shared" si="17"/>
        <v>6.6259281304802521E-3</v>
      </c>
      <c r="L45" s="254">
        <f t="shared" si="17"/>
        <v>5.6602537811972194E-3</v>
      </c>
      <c r="M45" s="254">
        <f t="shared" si="17"/>
        <v>8.6783057182964543E-3</v>
      </c>
      <c r="N45" s="254">
        <f t="shared" si="17"/>
        <v>6.2744299956027554E-3</v>
      </c>
      <c r="O45" s="254">
        <f t="shared" si="17"/>
        <v>1.1534150548930575E-2</v>
      </c>
      <c r="P45" s="254">
        <f t="shared" si="17"/>
        <v>8.4404015249595413E-3</v>
      </c>
      <c r="Q45" s="248"/>
      <c r="R45" s="252">
        <f t="shared" si="12"/>
        <v>36.966131184925032</v>
      </c>
      <c r="S45" s="248">
        <f t="shared" si="12"/>
        <v>0</v>
      </c>
      <c r="T45" s="256">
        <f t="shared" si="13"/>
        <v>9.3422067517396935E-3</v>
      </c>
      <c r="U45" s="213"/>
    </row>
    <row r="46" spans="1:21">
      <c r="A46" s="238"/>
      <c r="B46" s="239"/>
      <c r="C46" s="239"/>
      <c r="D46" s="240"/>
      <c r="E46" s="241">
        <f>SUM(E40:E45)</f>
        <v>1</v>
      </c>
      <c r="F46" s="241">
        <f t="shared" ref="F46:O46" si="18">SUM(F40:F45)</f>
        <v>1.0000000000000002</v>
      </c>
      <c r="G46" s="241">
        <f t="shared" si="18"/>
        <v>1</v>
      </c>
      <c r="H46" s="241">
        <f t="shared" si="18"/>
        <v>1</v>
      </c>
      <c r="I46" s="241">
        <f t="shared" si="18"/>
        <v>0.99999999999999989</v>
      </c>
      <c r="J46" s="241">
        <f t="shared" si="18"/>
        <v>0.99999999999999989</v>
      </c>
      <c r="K46" s="241">
        <f t="shared" si="18"/>
        <v>1.0000000000000002</v>
      </c>
      <c r="L46" s="241">
        <f t="shared" si="18"/>
        <v>0.99999999999999978</v>
      </c>
      <c r="M46" s="241">
        <f t="shared" si="18"/>
        <v>1</v>
      </c>
      <c r="N46" s="241">
        <f t="shared" si="18"/>
        <v>1</v>
      </c>
      <c r="O46" s="241">
        <f t="shared" si="18"/>
        <v>1</v>
      </c>
      <c r="P46" s="241">
        <f>SUM(P40:P45)</f>
        <v>1</v>
      </c>
      <c r="Q46" s="242"/>
      <c r="R46" s="243"/>
      <c r="T46" s="122"/>
      <c r="U46" s="122"/>
    </row>
    <row r="47" spans="1:21" ht="23">
      <c r="A47" s="30" t="s">
        <v>146</v>
      </c>
      <c r="B47" s="38" t="s">
        <v>147</v>
      </c>
      <c r="C47" s="30" t="s">
        <v>148</v>
      </c>
      <c r="D47" s="262">
        <f>SUM(E47:P47)</f>
        <v>130.79</v>
      </c>
      <c r="E47" s="260">
        <v>29.845999999999997</v>
      </c>
      <c r="F47" s="260">
        <v>8.7839999999999989</v>
      </c>
      <c r="G47" s="260">
        <v>15.917999999999999</v>
      </c>
      <c r="H47" s="260">
        <v>7.02</v>
      </c>
      <c r="I47" s="260">
        <v>5.3760000000000003</v>
      </c>
      <c r="J47" s="260">
        <v>5.25</v>
      </c>
      <c r="K47" s="260">
        <v>5.4640000000000004</v>
      </c>
      <c r="L47" s="260">
        <v>5.24</v>
      </c>
      <c r="M47" s="260">
        <v>3.8</v>
      </c>
      <c r="N47" s="203">
        <v>0</v>
      </c>
      <c r="O47" s="203">
        <v>18.29</v>
      </c>
      <c r="P47" s="206">
        <v>25.802</v>
      </c>
      <c r="Q47" s="202"/>
      <c r="R47" s="201"/>
      <c r="T47" s="112"/>
      <c r="U47" s="112"/>
    </row>
    <row r="48" spans="1:21">
      <c r="A48" s="30"/>
      <c r="B48" s="38" t="s">
        <v>149</v>
      </c>
      <c r="C48" s="30"/>
      <c r="D48" s="262">
        <f>SUM(E48:P48)</f>
        <v>123.14999999999999</v>
      </c>
      <c r="E48" s="106">
        <v>7</v>
      </c>
      <c r="F48" s="106">
        <v>17</v>
      </c>
      <c r="G48" s="106">
        <v>35.549999999999997</v>
      </c>
      <c r="H48" s="106">
        <v>16.95</v>
      </c>
      <c r="I48" s="106">
        <v>18</v>
      </c>
      <c r="J48" s="106">
        <v>7.3</v>
      </c>
      <c r="K48" s="106">
        <v>2.75</v>
      </c>
      <c r="L48" s="106">
        <v>6</v>
      </c>
      <c r="M48" s="106">
        <v>1</v>
      </c>
      <c r="N48" s="203">
        <v>7.6</v>
      </c>
      <c r="O48" s="203">
        <v>2.8</v>
      </c>
      <c r="P48" s="206">
        <v>1.2</v>
      </c>
      <c r="Q48" s="202"/>
      <c r="R48" s="201"/>
      <c r="T48" s="112"/>
      <c r="U48" s="112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986</v>
      </c>
      <c r="E50" s="32">
        <f>E51+E52</f>
        <v>59</v>
      </c>
      <c r="F50" s="32">
        <f>F51+F52</f>
        <v>16</v>
      </c>
      <c r="G50" s="32">
        <f t="shared" ref="G50:P50" si="19">G51+G52</f>
        <v>240</v>
      </c>
      <c r="H50" s="32">
        <v>12</v>
      </c>
      <c r="I50" s="32">
        <f t="shared" si="19"/>
        <v>120</v>
      </c>
      <c r="J50" s="32">
        <f t="shared" si="19"/>
        <v>247</v>
      </c>
      <c r="K50" s="32">
        <f t="shared" si="19"/>
        <v>52</v>
      </c>
      <c r="L50" s="32">
        <f t="shared" si="19"/>
        <v>40</v>
      </c>
      <c r="M50" s="32">
        <f t="shared" si="19"/>
        <v>29</v>
      </c>
      <c r="N50" s="32">
        <f t="shared" si="19"/>
        <v>31</v>
      </c>
      <c r="O50" s="32">
        <f t="shared" si="19"/>
        <v>50</v>
      </c>
      <c r="P50" s="32">
        <f t="shared" si="19"/>
        <v>90</v>
      </c>
      <c r="T50" s="112"/>
      <c r="U50" s="112"/>
    </row>
    <row r="51" spans="1:21" ht="43.5">
      <c r="B51" s="313" t="s">
        <v>157</v>
      </c>
      <c r="D51">
        <f>E51+F51+G51+H51+I51+J51+K51+L51+M51+N51+O51+P51</f>
        <v>269</v>
      </c>
      <c r="E51">
        <v>36</v>
      </c>
      <c r="F51">
        <v>16</v>
      </c>
      <c r="G51">
        <v>32</v>
      </c>
      <c r="H51">
        <v>14</v>
      </c>
      <c r="I51">
        <v>13</v>
      </c>
      <c r="J51">
        <v>28</v>
      </c>
      <c r="K51">
        <v>21</v>
      </c>
      <c r="L51">
        <v>15</v>
      </c>
      <c r="M51">
        <v>17</v>
      </c>
      <c r="N51">
        <v>12</v>
      </c>
      <c r="O51">
        <v>16</v>
      </c>
      <c r="P51">
        <v>49</v>
      </c>
    </row>
    <row r="52" spans="1:21" ht="43.5">
      <c r="B52" s="313" t="s">
        <v>158</v>
      </c>
      <c r="D52">
        <f>E52+F52+G52+H52+I52+J52+K52+L52+M52+N52+O52+P52</f>
        <v>719</v>
      </c>
      <c r="E52">
        <v>23</v>
      </c>
      <c r="F52">
        <v>0</v>
      </c>
      <c r="G52">
        <v>208</v>
      </c>
      <c r="H52">
        <v>0</v>
      </c>
      <c r="I52">
        <v>107</v>
      </c>
      <c r="J52">
        <v>219</v>
      </c>
      <c r="K52">
        <v>31</v>
      </c>
      <c r="L52">
        <v>25</v>
      </c>
      <c r="M52">
        <v>12</v>
      </c>
      <c r="N52">
        <v>19</v>
      </c>
      <c r="O52">
        <v>34</v>
      </c>
      <c r="P52">
        <v>41</v>
      </c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2E0C-9375-403A-9BF0-1B0500ADFD0F}">
  <dimension ref="A1:U52"/>
  <sheetViews>
    <sheetView topLeftCell="A27" zoomScale="106" zoomScaleNormal="106" workbookViewId="0">
      <selection activeCell="F40" sqref="F40"/>
    </sheetView>
  </sheetViews>
  <sheetFormatPr baseColWidth="10" defaultColWidth="8.7265625" defaultRowHeight="14.5"/>
  <cols>
    <col min="1" max="1" width="19.7265625" bestFit="1" customWidth="1"/>
    <col min="2" max="2" width="40.453125" bestFit="1" customWidth="1"/>
    <col min="3" max="3" width="11.453125" customWidth="1"/>
    <col min="4" max="4" width="14.54296875" bestFit="1" customWidth="1"/>
    <col min="5" max="6" width="12.54296875" bestFit="1" customWidth="1"/>
    <col min="7" max="9" width="12.26953125" bestFit="1" customWidth="1"/>
    <col min="10" max="10" width="12.54296875" bestFit="1" customWidth="1"/>
    <col min="11" max="11" width="12.26953125" bestFit="1" customWidth="1"/>
    <col min="12" max="13" width="12.54296875" bestFit="1" customWidth="1"/>
    <col min="14" max="14" width="12.26953125" bestFit="1" customWidth="1"/>
    <col min="15" max="16" width="12.54296875" bestFit="1" customWidth="1"/>
    <col min="17" max="19" width="11.453125" customWidth="1"/>
    <col min="20" max="20" width="32.54296875" customWidth="1"/>
    <col min="21" max="256" width="11.453125" customWidth="1"/>
  </cols>
  <sheetData>
    <row r="1" spans="1:21">
      <c r="A1" s="26"/>
      <c r="B1" s="27"/>
      <c r="D1" s="28"/>
      <c r="E1" s="422">
        <v>2023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T1" s="112"/>
      <c r="U1" s="112"/>
    </row>
    <row r="2" spans="1:21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R2" s="69" t="s">
        <v>40</v>
      </c>
      <c r="T2" s="112"/>
      <c r="U2" s="112"/>
    </row>
    <row r="3" spans="1:21" ht="23">
      <c r="A3" s="30" t="s">
        <v>117</v>
      </c>
      <c r="B3" s="30" t="s">
        <v>118</v>
      </c>
      <c r="C3" s="30" t="s">
        <v>119</v>
      </c>
      <c r="D3" s="51">
        <v>28</v>
      </c>
      <c r="T3" s="112"/>
      <c r="U3" s="112"/>
    </row>
    <row r="4" spans="1:21" ht="23">
      <c r="A4" s="30" t="s">
        <v>120</v>
      </c>
      <c r="B4" s="30" t="s">
        <v>121</v>
      </c>
      <c r="C4" s="30"/>
      <c r="D4" s="51">
        <v>265</v>
      </c>
      <c r="T4" s="112"/>
      <c r="U4" s="112"/>
    </row>
    <row r="5" spans="1:21" ht="23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21" ht="29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</row>
    <row r="7" spans="1:21" ht="29">
      <c r="A7" s="43" t="s">
        <v>124</v>
      </c>
      <c r="B7" s="43" t="s">
        <v>125</v>
      </c>
      <c r="C7" s="31"/>
      <c r="D7" s="220">
        <f>SUM(E7:P7)</f>
        <v>2907.8823484615082</v>
      </c>
      <c r="E7" s="380">
        <f>E10*(1-E23)</f>
        <v>179.09719381506432</v>
      </c>
      <c r="F7" s="380">
        <f t="shared" ref="F7:P7" si="0">F10*(1-F23)</f>
        <v>157.56536030096186</v>
      </c>
      <c r="G7" s="380">
        <f t="shared" si="0"/>
        <v>154.95672772327944</v>
      </c>
      <c r="H7" s="380">
        <f t="shared" si="0"/>
        <v>236.9938527865485</v>
      </c>
      <c r="I7" s="380">
        <f t="shared" si="0"/>
        <v>264.14607512992734</v>
      </c>
      <c r="J7" s="380">
        <f t="shared" si="0"/>
        <v>309.73720069176949</v>
      </c>
      <c r="K7" s="380">
        <f t="shared" si="0"/>
        <v>336.64244597711786</v>
      </c>
      <c r="L7" s="380">
        <f t="shared" si="0"/>
        <v>289.10279133888343</v>
      </c>
      <c r="M7" s="380">
        <f t="shared" si="0"/>
        <v>284.54812655472631</v>
      </c>
      <c r="N7" s="380">
        <f t="shared" si="0"/>
        <v>277.74529352462196</v>
      </c>
      <c r="O7" s="380">
        <f t="shared" si="0"/>
        <v>217.38977709273848</v>
      </c>
      <c r="P7" s="380">
        <f t="shared" si="0"/>
        <v>199.95750352586958</v>
      </c>
      <c r="Q7" s="32"/>
      <c r="R7" s="32"/>
      <c r="T7" s="10"/>
      <c r="U7" s="58"/>
    </row>
    <row r="8" spans="1:21" ht="29">
      <c r="A8" s="43" t="s">
        <v>126</v>
      </c>
      <c r="B8" s="43" t="s">
        <v>127</v>
      </c>
      <c r="C8" s="32"/>
      <c r="D8" s="220">
        <f>ROUNDDOWN(SUM(E8:P8),0)</f>
        <v>1313</v>
      </c>
      <c r="E8" s="381">
        <f>E11*(1-E34)</f>
        <v>106.1077644352427</v>
      </c>
      <c r="F8" s="381">
        <f t="shared" ref="F8:P8" si="1">F11*(1-F34)</f>
        <v>141.56059273570324</v>
      </c>
      <c r="G8" s="381">
        <f t="shared" si="1"/>
        <v>114.3687375156055</v>
      </c>
      <c r="H8" s="381">
        <f t="shared" si="1"/>
        <v>133.99719820748729</v>
      </c>
      <c r="I8" s="381">
        <f t="shared" si="1"/>
        <v>95.037509178583051</v>
      </c>
      <c r="J8" s="381">
        <f t="shared" si="1"/>
        <v>138.99606926168153</v>
      </c>
      <c r="K8" s="381">
        <f t="shared" si="1"/>
        <v>146.65215737980589</v>
      </c>
      <c r="L8" s="381">
        <f t="shared" si="1"/>
        <v>82.502859757492573</v>
      </c>
      <c r="M8" s="381">
        <f t="shared" si="1"/>
        <v>100.29847438248633</v>
      </c>
      <c r="N8" s="381">
        <f t="shared" si="1"/>
        <v>88.153058995747841</v>
      </c>
      <c r="O8" s="381">
        <f t="shared" si="1"/>
        <v>84.310682270916317</v>
      </c>
      <c r="P8" s="381">
        <f t="shared" si="1"/>
        <v>81.195251117964531</v>
      </c>
      <c r="Q8" s="32"/>
      <c r="R8" s="32"/>
      <c r="T8" s="10"/>
      <c r="U8" s="58"/>
    </row>
    <row r="9" spans="1:21">
      <c r="A9" s="43" t="s">
        <v>123</v>
      </c>
      <c r="B9" s="373" t="s">
        <v>210</v>
      </c>
      <c r="C9" s="211">
        <f>D7+D8</f>
        <v>4220.8823484615077</v>
      </c>
      <c r="D9" s="264">
        <f>SUM(E9:P9)</f>
        <v>4221.062703700225</v>
      </c>
      <c r="E9" s="382">
        <f>SUM(E7:E8)</f>
        <v>285.20495825030702</v>
      </c>
      <c r="F9" s="382">
        <f t="shared" ref="F9:P9" si="2">SUM(F7:F8)</f>
        <v>299.12595303666512</v>
      </c>
      <c r="G9" s="382">
        <f t="shared" si="2"/>
        <v>269.32546523888493</v>
      </c>
      <c r="H9" s="382">
        <f t="shared" si="2"/>
        <v>370.99105099403579</v>
      </c>
      <c r="I9" s="382">
        <f t="shared" si="2"/>
        <v>359.18358430851038</v>
      </c>
      <c r="J9" s="382">
        <f t="shared" si="2"/>
        <v>448.73326995345099</v>
      </c>
      <c r="K9" s="382">
        <f t="shared" si="2"/>
        <v>483.29460335692374</v>
      </c>
      <c r="L9" s="382">
        <f t="shared" si="2"/>
        <v>371.60565109637599</v>
      </c>
      <c r="M9" s="382">
        <f t="shared" si="2"/>
        <v>384.84660093721266</v>
      </c>
      <c r="N9" s="382">
        <f t="shared" si="2"/>
        <v>365.89835252036983</v>
      </c>
      <c r="O9" s="382">
        <f t="shared" si="2"/>
        <v>301.70045936365477</v>
      </c>
      <c r="P9" s="382">
        <f t="shared" si="2"/>
        <v>281.1527546438341</v>
      </c>
      <c r="Q9" s="32"/>
      <c r="R9" s="32"/>
      <c r="T9" s="10"/>
      <c r="U9" s="58"/>
    </row>
    <row r="10" spans="1:21" ht="29">
      <c r="A10" s="31"/>
      <c r="B10" s="42" t="s">
        <v>128</v>
      </c>
      <c r="C10" s="32"/>
      <c r="D10" s="78">
        <f>ROUNDDOWN(SUM(E10:P10),0)</f>
        <v>3336</v>
      </c>
      <c r="E10" s="379">
        <v>205.23910000000001</v>
      </c>
      <c r="F10" s="379">
        <v>180.56290000000001</v>
      </c>
      <c r="G10" s="379">
        <v>171.22446000000002</v>
      </c>
      <c r="H10" s="379">
        <v>270.47699999999998</v>
      </c>
      <c r="I10" s="379">
        <v>332.35939999999999</v>
      </c>
      <c r="J10" s="379">
        <v>353.37819999999999</v>
      </c>
      <c r="K10" s="379">
        <v>369.48289999999997</v>
      </c>
      <c r="L10" s="379">
        <v>340.09190000000007</v>
      </c>
      <c r="M10" s="379">
        <v>335.81899999999996</v>
      </c>
      <c r="N10" s="379">
        <v>312.41500000000002</v>
      </c>
      <c r="O10" s="379">
        <v>233.09399999999999</v>
      </c>
      <c r="P10" s="379">
        <v>232.81030000000001</v>
      </c>
      <c r="Q10" s="44"/>
      <c r="R10" s="32"/>
      <c r="T10" s="112"/>
      <c r="U10" s="58"/>
    </row>
    <row r="11" spans="1:21" ht="29">
      <c r="A11" s="31"/>
      <c r="B11" s="42" t="s">
        <v>129</v>
      </c>
      <c r="C11" s="32"/>
      <c r="D11" s="386">
        <f>ROUNDDOWN(SUM(E11:P11),0)</f>
        <v>1598</v>
      </c>
      <c r="E11" s="379">
        <v>131.53530000000001</v>
      </c>
      <c r="F11" s="379">
        <v>183.54649999999998</v>
      </c>
      <c r="G11" s="379">
        <v>142.3058</v>
      </c>
      <c r="H11" s="379">
        <v>157.15689999999998</v>
      </c>
      <c r="I11" s="379">
        <v>121.3</v>
      </c>
      <c r="J11" s="379">
        <v>175.5223</v>
      </c>
      <c r="K11" s="379">
        <v>173.63350000000003</v>
      </c>
      <c r="L11" s="379">
        <v>94.9</v>
      </c>
      <c r="M11" s="379">
        <v>114.96040000000001</v>
      </c>
      <c r="N11" s="379">
        <v>101.6208</v>
      </c>
      <c r="O11" s="379">
        <v>102.70079999999999</v>
      </c>
      <c r="P11" s="379">
        <v>99.068899999999999</v>
      </c>
      <c r="Q11" s="44"/>
      <c r="R11" s="32"/>
      <c r="T11" s="112"/>
      <c r="U11" s="58"/>
    </row>
    <row r="12" spans="1:21">
      <c r="A12" s="32"/>
      <c r="B12" s="263" t="s">
        <v>156</v>
      </c>
      <c r="C12" s="40"/>
      <c r="D12" s="264">
        <f>SUM(E12:P12)</f>
        <v>4935.2053599999999</v>
      </c>
      <c r="E12" s="383">
        <f t="shared" ref="E12:P12" si="3">SUM(E10:E11)</f>
        <v>336.77440000000001</v>
      </c>
      <c r="F12" s="383">
        <f t="shared" si="3"/>
        <v>364.10939999999999</v>
      </c>
      <c r="G12" s="383">
        <f t="shared" si="3"/>
        <v>313.53026</v>
      </c>
      <c r="H12" s="383">
        <f t="shared" si="3"/>
        <v>427.63389999999993</v>
      </c>
      <c r="I12" s="383">
        <f t="shared" si="3"/>
        <v>453.65940000000001</v>
      </c>
      <c r="J12" s="383">
        <f t="shared" si="3"/>
        <v>528.90049999999997</v>
      </c>
      <c r="K12" s="383">
        <f t="shared" si="3"/>
        <v>543.1164</v>
      </c>
      <c r="L12" s="383">
        <f t="shared" si="3"/>
        <v>434.9919000000001</v>
      </c>
      <c r="M12" s="383">
        <f t="shared" si="3"/>
        <v>450.77939999999995</v>
      </c>
      <c r="N12" s="383">
        <f t="shared" si="3"/>
        <v>414.03579999999999</v>
      </c>
      <c r="O12" s="383">
        <f t="shared" si="3"/>
        <v>335.79480000000001</v>
      </c>
      <c r="P12" s="383">
        <f t="shared" si="3"/>
        <v>331.87920000000003</v>
      </c>
      <c r="Q12" s="32"/>
      <c r="R12" s="32"/>
      <c r="T12" s="112"/>
      <c r="U12" s="112"/>
    </row>
    <row r="13" spans="1:21"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T13" s="112"/>
      <c r="U13" s="112"/>
    </row>
    <row r="14" spans="1:21">
      <c r="A14" s="43"/>
      <c r="B14" s="68" t="s">
        <v>131</v>
      </c>
      <c r="C14" s="32"/>
      <c r="D14" s="37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4"/>
      <c r="R14" s="23"/>
      <c r="T14" s="112"/>
      <c r="U14" s="112"/>
    </row>
    <row r="15" spans="1:21">
      <c r="A15" s="31"/>
      <c r="B15" s="33" t="s">
        <v>132</v>
      </c>
      <c r="C15" s="32"/>
      <c r="D15" s="308"/>
      <c r="E15" s="385">
        <v>2.8322106552357621E-2</v>
      </c>
      <c r="F15" s="385">
        <v>2.7924294135898232E-2</v>
      </c>
      <c r="G15" s="385">
        <v>1.940210474032223E-2</v>
      </c>
      <c r="H15" s="385">
        <v>2.6363385549186106E-2</v>
      </c>
      <c r="I15" s="385">
        <v>2.2034464942406469E-2</v>
      </c>
      <c r="J15" s="385">
        <v>5.1096611901580061E-2</v>
      </c>
      <c r="K15" s="385">
        <v>2.5458837688337534E-2</v>
      </c>
      <c r="L15" s="385">
        <v>4.2007179408844415E-2</v>
      </c>
      <c r="M15" s="385">
        <v>2.7207711442786074E-2</v>
      </c>
      <c r="N15" s="385">
        <v>3.2958511050794885E-2</v>
      </c>
      <c r="O15" s="385">
        <v>2.2689752838175117E-2</v>
      </c>
      <c r="P15" s="385">
        <v>4.0408842405514615E-2</v>
      </c>
      <c r="Q15" s="32"/>
      <c r="R15" s="32"/>
      <c r="T15" s="112"/>
      <c r="U15" s="112"/>
    </row>
    <row r="16" spans="1:21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23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3336.9541600000002</v>
      </c>
      <c r="S17">
        <f>SUM(S18:S23)</f>
        <v>0</v>
      </c>
      <c r="T17" s="228">
        <f>S17+R17</f>
        <v>3336.9541600000002</v>
      </c>
      <c r="U17" s="229"/>
    </row>
    <row r="18" spans="1:21">
      <c r="A18" s="31"/>
      <c r="B18" s="56" t="s">
        <v>34</v>
      </c>
      <c r="C18" s="32"/>
      <c r="D18" s="36"/>
      <c r="E18" s="54">
        <v>3.8273116962645397E-2</v>
      </c>
      <c r="F18" s="53">
        <v>1.1635122556624264E-2</v>
      </c>
      <c r="G18" s="53">
        <v>8.536926085741782E-3</v>
      </c>
      <c r="H18" s="53">
        <v>7.1732932773366839E-3</v>
      </c>
      <c r="I18" s="53">
        <v>1.9755037534571317E-2</v>
      </c>
      <c r="J18" s="53">
        <v>5.1096611901580061E-2</v>
      </c>
      <c r="K18" s="53">
        <v>7.7147992994962234E-3</v>
      </c>
      <c r="L18" s="53">
        <v>1.9094172458565643E-2</v>
      </c>
      <c r="M18" s="53">
        <v>2.3320895522388061E-2</v>
      </c>
      <c r="N18" s="54">
        <v>2.4040325707638623E-2</v>
      </c>
      <c r="O18" s="54">
        <v>7.0416474325371041E-3</v>
      </c>
      <c r="P18" s="53">
        <v>2.1392916567625389E-2</v>
      </c>
      <c r="Q18" s="34"/>
      <c r="R18" s="23">
        <f>G18*$G$10+H18*$H$10+I18*$I$10+J18*$J$10+K18*$K$10+L18*$L$10+M18*$M$10+N18*$N$10+O18*$O$10+P18*$P$10+$E$10*E18+$F$10*F18</f>
        <v>69.28842918546485</v>
      </c>
      <c r="S18" s="51"/>
      <c r="T18" s="230">
        <f>(R18+S18)/$T$17</f>
        <v>2.0763973930485412E-2</v>
      </c>
      <c r="U18" s="231"/>
    </row>
    <row r="19" spans="1:21">
      <c r="A19" s="31"/>
      <c r="B19" s="56" t="s">
        <v>35</v>
      </c>
      <c r="C19" s="32"/>
      <c r="D19" s="36"/>
      <c r="E19" s="54">
        <v>5.7409675443968147E-2</v>
      </c>
      <c r="F19" s="53">
        <v>5.42972385975799E-2</v>
      </c>
      <c r="G19" s="53">
        <v>7.7608418961288922E-2</v>
      </c>
      <c r="H19" s="53">
        <v>4.4411575365562055E-2</v>
      </c>
      <c r="I19" s="53">
        <v>9.7255569400966482E-2</v>
      </c>
      <c r="J19" s="53">
        <v>8.2540680764090865E-2</v>
      </c>
      <c r="K19" s="53">
        <v>4.6288795796977339E-2</v>
      </c>
      <c r="L19" s="53">
        <v>5.3463682883983808E-2</v>
      </c>
      <c r="M19" s="53">
        <v>8.1623134328358216E-2</v>
      </c>
      <c r="N19" s="54">
        <v>7.9100426521907713E-2</v>
      </c>
      <c r="O19" s="54">
        <v>3.7555452973531224E-2</v>
      </c>
      <c r="P19" s="53">
        <v>5.3086126297440778E-2</v>
      </c>
      <c r="Q19" s="34"/>
      <c r="R19" s="23">
        <f>G19*$G$10+H19*$H$10+I19*$I$10+J19*$J$10+K19*$K$10+L19*$L$10+M19*$M$10+N19*$N$10+O19*$O$10+P19*$P$10+$E$10*E19+$F$10*F19</f>
        <v>216.90061701378792</v>
      </c>
      <c r="S19" s="51"/>
      <c r="T19" s="230">
        <f>(R19+S19)/$T$17</f>
        <v>6.4999579440967778E-2</v>
      </c>
      <c r="U19" s="231"/>
    </row>
    <row r="20" spans="1:21">
      <c r="A20" s="31"/>
      <c r="B20" s="56" t="s">
        <v>36</v>
      </c>
      <c r="C20" s="32"/>
      <c r="D20" s="36"/>
      <c r="E20" s="54">
        <v>4.9755052051439062E-2</v>
      </c>
      <c r="F20" s="53">
        <v>4.6540490226497054E-2</v>
      </c>
      <c r="G20" s="53">
        <v>9.3207711172507993E-2</v>
      </c>
      <c r="H20" s="53">
        <v>6.2076576438490537E-2</v>
      </c>
      <c r="I20" s="53">
        <v>5.4706257788043638E-2</v>
      </c>
      <c r="J20" s="53">
        <v>5.8957629117207762E-2</v>
      </c>
      <c r="K20" s="53">
        <v>6.1718394395969788E-2</v>
      </c>
      <c r="L20" s="53">
        <v>6.1865118765752687E-2</v>
      </c>
      <c r="M20" s="53">
        <v>4.8196517412935333E-2</v>
      </c>
      <c r="N20" s="54">
        <v>6.8243505234587054E-2</v>
      </c>
      <c r="O20" s="54">
        <v>1.1736079054228509E-2</v>
      </c>
      <c r="P20" s="53">
        <v>5.1501465810950005E-2</v>
      </c>
      <c r="Q20" s="34"/>
      <c r="R20" s="23">
        <f>G20*$G$10+H20*$H$10+I20*$I$10+J20*$J$10+K20*$K$10+L20*$L$10+M20*$M$10+N20*$N$10+O20*$O$10+P20*$P$10+$E$10*E20+$F$10*F20</f>
        <v>186.45637344874527</v>
      </c>
      <c r="S20" s="51"/>
      <c r="T20" s="230">
        <f t="shared" ref="T20:T23" si="4">(R20+S20)/$T$17</f>
        <v>5.5876216606087645E-2</v>
      </c>
      <c r="U20" s="231"/>
    </row>
    <row r="21" spans="1:21">
      <c r="A21" s="31"/>
      <c r="B21" s="56" t="s">
        <v>37</v>
      </c>
      <c r="C21" s="32"/>
      <c r="D21" s="36"/>
      <c r="E21" s="54">
        <v>0.7042253521126759</v>
      </c>
      <c r="F21" s="53">
        <v>0.74464784362395298</v>
      </c>
      <c r="G21" s="53">
        <v>0.70623661254772918</v>
      </c>
      <c r="H21" s="53">
        <v>0.68590785077097571</v>
      </c>
      <c r="I21" s="53">
        <v>0.58505303467768899</v>
      </c>
      <c r="J21" s="53">
        <v>0.66032544611272692</v>
      </c>
      <c r="K21" s="53">
        <v>0.77147992994962233</v>
      </c>
      <c r="L21" s="53">
        <v>0.67211487054151065</v>
      </c>
      <c r="M21" s="53">
        <v>0.68019278606965172</v>
      </c>
      <c r="N21" s="54">
        <v>0.70569988367584335</v>
      </c>
      <c r="O21" s="54">
        <v>0.86846985001290966</v>
      </c>
      <c r="P21" s="53">
        <v>0.70913556770461927</v>
      </c>
      <c r="Q21" s="34"/>
      <c r="R21" s="23">
        <f>G21*$G$10+H21*$H$10+I21*$I$10+J21*$J$10+K21*$K$10+L21*$L$10+M21*$M$10+N21*$N$10+O21*$O$10+P21*$P$10+$E$10*E21+$F$10*F21</f>
        <v>2343.2816561030445</v>
      </c>
      <c r="S21" s="51"/>
      <c r="T21" s="230">
        <f t="shared" si="4"/>
        <v>0.70222170990297461</v>
      </c>
      <c r="U21" s="231"/>
    </row>
    <row r="22" spans="1:21">
      <c r="A22" s="31"/>
      <c r="B22" s="56" t="s">
        <v>38</v>
      </c>
      <c r="C22" s="32"/>
      <c r="D22" s="36"/>
      <c r="E22" s="54">
        <v>2.2963870177587262E-2</v>
      </c>
      <c r="F22" s="53">
        <v>1.5513496742165686E-2</v>
      </c>
      <c r="G22" s="53">
        <v>1.940210474032223E-2</v>
      </c>
      <c r="H22" s="53">
        <v>7.6637748689494495E-2</v>
      </c>
      <c r="I22" s="53">
        <v>3.7990456797252534E-2</v>
      </c>
      <c r="J22" s="53">
        <v>2.3583051646883107E-2</v>
      </c>
      <c r="K22" s="53">
        <v>2.3915877828438292E-2</v>
      </c>
      <c r="L22" s="53">
        <v>4.3534713205529672E-2</v>
      </c>
      <c r="M22" s="53">
        <v>1.3992537313432838E-2</v>
      </c>
      <c r="N22" s="54">
        <v>1.1942613416052735E-2</v>
      </c>
      <c r="O22" s="54">
        <v>7.8240527028190059E-3</v>
      </c>
      <c r="P22" s="53">
        <v>2.3769907297361541E-2</v>
      </c>
      <c r="Q22" s="34"/>
      <c r="R22" s="23">
        <f t="shared" ref="R22:R23" si="5">G22*$G$10+H22*$H$10+I22*$I$10+J22*$J$10+K22*$K$10+L22*$L$10+M22*$M$10+N22*$N$10+O22*$O$10+P22*$P$10+$E$10*E22+$F$10*F22</f>
        <v>91.955272710466119</v>
      </c>
      <c r="S22" s="51"/>
      <c r="T22" s="230">
        <f t="shared" si="4"/>
        <v>2.7556648458864689E-2</v>
      </c>
      <c r="U22" s="231"/>
    </row>
    <row r="23" spans="1:21">
      <c r="A23" s="31"/>
      <c r="B23" s="56" t="s">
        <v>39</v>
      </c>
      <c r="C23" s="32"/>
      <c r="D23" s="36"/>
      <c r="E23" s="54">
        <v>0.127372933251684</v>
      </c>
      <c r="F23" s="53">
        <v>0.12736580825318025</v>
      </c>
      <c r="G23" s="74">
        <v>9.5008226492409892E-2</v>
      </c>
      <c r="H23" s="53">
        <v>0.12379295545814047</v>
      </c>
      <c r="I23" s="53">
        <v>0.20523964380147708</v>
      </c>
      <c r="J23" s="53">
        <v>0.1234965804575112</v>
      </c>
      <c r="K23" s="53">
        <v>8.8882202729495999E-2</v>
      </c>
      <c r="L23" s="53">
        <v>0.14992744214465745</v>
      </c>
      <c r="M23" s="53">
        <v>0.15267412935323385</v>
      </c>
      <c r="N23" s="54">
        <v>0.11097324544397054</v>
      </c>
      <c r="O23" s="54">
        <v>6.7372917823974462E-2</v>
      </c>
      <c r="P23" s="53">
        <v>0.14111401632200304</v>
      </c>
      <c r="Q23" s="34"/>
      <c r="R23" s="23">
        <f t="shared" si="5"/>
        <v>429.07181153849137</v>
      </c>
      <c r="S23" s="51"/>
      <c r="T23" s="230">
        <f t="shared" si="4"/>
        <v>0.1285818716606198</v>
      </c>
      <c r="U23" s="231"/>
    </row>
    <row r="24" spans="1:21">
      <c r="A24" s="59"/>
      <c r="B24" s="60"/>
      <c r="C24" s="60"/>
      <c r="D24" s="72"/>
      <c r="E24" s="76">
        <f>E23+E22+E21+E20+E19+E18</f>
        <v>0.99999999999999967</v>
      </c>
      <c r="F24" s="76">
        <f>F23+F22+F21+F20+F19+F18</f>
        <v>1.0000000000000002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1</v>
      </c>
      <c r="J24" s="76">
        <f t="shared" si="6"/>
        <v>0.99999999999999989</v>
      </c>
      <c r="K24" s="76">
        <f t="shared" si="6"/>
        <v>1</v>
      </c>
      <c r="L24" s="76">
        <f t="shared" si="6"/>
        <v>0.99999999999999989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1">
      <c r="A26" s="31"/>
      <c r="B26" s="33" t="s">
        <v>132</v>
      </c>
      <c r="C26" s="32"/>
      <c r="D26" s="37"/>
      <c r="E26" s="259">
        <v>2.3004370830457789E-2</v>
      </c>
      <c r="F26" s="259">
        <v>4.0185471406491508E-2</v>
      </c>
      <c r="G26" s="259">
        <v>2.5749063670411985E-2</v>
      </c>
      <c r="H26" s="259">
        <v>2.7760152284263959E-2</v>
      </c>
      <c r="I26" s="259">
        <v>2.6494878918403342E-2</v>
      </c>
      <c r="J26" s="259">
        <v>2.2062879205736349E-2</v>
      </c>
      <c r="K26" s="259">
        <v>2.6752273943285176E-2</v>
      </c>
      <c r="L26" s="259">
        <v>1.1439029970258523E-2</v>
      </c>
      <c r="M26" s="259">
        <v>1.9183400986794146E-2</v>
      </c>
      <c r="N26" s="259">
        <v>2.3235820340637127E-2</v>
      </c>
      <c r="O26" s="259">
        <v>3.501618525896414E-2</v>
      </c>
      <c r="P26" s="259">
        <v>3.4695451040863537E-2</v>
      </c>
      <c r="Q26" s="34"/>
      <c r="R26" s="23"/>
      <c r="T26" s="112"/>
      <c r="U26" s="112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1598.2512000000002</v>
      </c>
      <c r="S28">
        <f>SUM(S29:S34)</f>
        <v>0</v>
      </c>
      <c r="T28" s="228">
        <f>S28+R28</f>
        <v>1598.2512000000002</v>
      </c>
      <c r="U28" s="229"/>
    </row>
    <row r="29" spans="1:21">
      <c r="A29" s="31"/>
      <c r="B29" s="56" t="s">
        <v>34</v>
      </c>
      <c r="C29" s="32"/>
      <c r="D29" s="37"/>
      <c r="E29" s="53">
        <v>1.15021854152289E-2</v>
      </c>
      <c r="F29" s="53">
        <v>3.477588871715611E-2</v>
      </c>
      <c r="G29" s="53">
        <v>3.51123595505618E-2</v>
      </c>
      <c r="H29" s="53">
        <v>4.7588832487309649E-2</v>
      </c>
      <c r="I29" s="53">
        <v>2.2709896215774295E-2</v>
      </c>
      <c r="J29" s="53">
        <v>3.545819872350485E-2</v>
      </c>
      <c r="K29" s="53">
        <v>4.2039287625162423E-2</v>
      </c>
      <c r="L29" s="53">
        <v>2.2878059940517045E-2</v>
      </c>
      <c r="M29" s="53">
        <v>2.4554753263096508E-2</v>
      </c>
      <c r="N29" s="53">
        <v>4.2599003957834732E-2</v>
      </c>
      <c r="O29" s="53">
        <v>3.890687250996016E-2</v>
      </c>
      <c r="P29" s="53">
        <v>3.4695451040863537E-2</v>
      </c>
      <c r="Q29" s="34"/>
      <c r="R29" s="23">
        <f t="shared" ref="R29:R34" si="7">G29*$G$11+H29*$H$11+I29*$I$11+J29*$J$11+K29*$K$11+L29*$L$11+M29*$M$11+N29*$N$11+O29*$O$11+P29*$P$11+$E$11*E29+$F$11*F29</f>
        <v>53.405289633043566</v>
      </c>
      <c r="S29" s="51"/>
      <c r="T29" s="230">
        <f>(R29+S29)/$T$28</f>
        <v>3.3414828428124162E-2</v>
      </c>
      <c r="U29" s="231"/>
    </row>
    <row r="30" spans="1:21">
      <c r="A30" s="31"/>
      <c r="B30" s="56" t="s">
        <v>35</v>
      </c>
      <c r="C30" s="32"/>
      <c r="D30" s="37"/>
      <c r="E30" s="53">
        <v>7.4380799018480173E-2</v>
      </c>
      <c r="F30" s="53">
        <v>8.1143740340030926E-2</v>
      </c>
      <c r="G30" s="53">
        <v>6.2421972534332085E-2</v>
      </c>
      <c r="H30" s="53">
        <v>7.9314720812182743E-2</v>
      </c>
      <c r="I30" s="53">
        <v>7.1914671349951928E-2</v>
      </c>
      <c r="J30" s="53">
        <v>7.4856197305176897E-2</v>
      </c>
      <c r="K30" s="53">
        <v>7.6435068409386214E-2</v>
      </c>
      <c r="L30" s="53">
        <v>8.3886219781895838E-2</v>
      </c>
      <c r="M30" s="53">
        <v>7.2896923749817752E-2</v>
      </c>
      <c r="N30" s="53">
        <v>0.10456119153286708</v>
      </c>
      <c r="O30" s="53">
        <v>8.1704432270916338E-2</v>
      </c>
      <c r="P30" s="53">
        <v>9.2521202775636094E-2</v>
      </c>
      <c r="Q30" s="34"/>
      <c r="R30" s="23">
        <f t="shared" si="7"/>
        <v>125.68282268771183</v>
      </c>
      <c r="S30" s="51"/>
      <c r="T30" s="230">
        <f t="shared" ref="T30:T34" si="8">(R30+S30)/$T$28</f>
        <v>7.8637715202536262E-2</v>
      </c>
      <c r="U30" s="231"/>
    </row>
    <row r="31" spans="1:21">
      <c r="A31" s="31"/>
      <c r="B31" s="56" t="s">
        <v>36</v>
      </c>
      <c r="C31" s="32"/>
      <c r="D31" s="37"/>
      <c r="E31" s="53">
        <v>6.1344988881220766E-2</v>
      </c>
      <c r="F31" s="53">
        <v>6.0278207109737261E-2</v>
      </c>
      <c r="G31" s="53">
        <v>0.1131398252184769</v>
      </c>
      <c r="H31" s="53">
        <v>6.3451776649746189E-2</v>
      </c>
      <c r="I31" s="53">
        <v>9.8409550268355281E-2</v>
      </c>
      <c r="J31" s="53">
        <v>9.8494996454180125E-2</v>
      </c>
      <c r="K31" s="53">
        <v>9.1722082091263465E-2</v>
      </c>
      <c r="L31" s="53">
        <v>7.2447189811637308E-2</v>
      </c>
      <c r="M31" s="53">
        <v>8.0570284144535417E-2</v>
      </c>
      <c r="N31" s="53">
        <v>9.2943281362548508E-2</v>
      </c>
      <c r="O31" s="53">
        <v>7.7813745019920319E-2</v>
      </c>
      <c r="P31" s="53">
        <v>6.013878180416346E-2</v>
      </c>
      <c r="Q31" s="34"/>
      <c r="R31" s="23">
        <f t="shared" si="7"/>
        <v>129.88841405747331</v>
      </c>
      <c r="S31" s="51"/>
      <c r="T31" s="230">
        <f t="shared" si="8"/>
        <v>8.1269085896806023E-2</v>
      </c>
      <c r="U31" s="231"/>
    </row>
    <row r="32" spans="1:21">
      <c r="A32" s="31"/>
      <c r="B32" s="56" t="s">
        <v>37</v>
      </c>
      <c r="C32" s="32"/>
      <c r="D32" s="37"/>
      <c r="E32" s="53">
        <v>0.60578176520205507</v>
      </c>
      <c r="F32" s="53">
        <v>0.50231839258114386</v>
      </c>
      <c r="G32" s="53">
        <v>0.55399500624219733</v>
      </c>
      <c r="H32" s="53">
        <v>0.6107233502538072</v>
      </c>
      <c r="I32" s="53">
        <v>0.55260747458384119</v>
      </c>
      <c r="J32" s="53">
        <v>0.53187298085257273</v>
      </c>
      <c r="K32" s="53">
        <v>0.58090651991133524</v>
      </c>
      <c r="L32" s="53">
        <v>0.64439868832456348</v>
      </c>
      <c r="M32" s="53">
        <v>0.64072559295892451</v>
      </c>
      <c r="N32" s="53">
        <v>0.58476814523936771</v>
      </c>
      <c r="O32" s="53">
        <v>0.5913844621513944</v>
      </c>
      <c r="P32" s="53">
        <v>0.60138781804163466</v>
      </c>
      <c r="Q32" s="34"/>
      <c r="R32" s="23">
        <f t="shared" si="7"/>
        <v>922.49884759606425</v>
      </c>
      <c r="S32" s="51"/>
      <c r="T32" s="230">
        <f t="shared" si="8"/>
        <v>0.57719265131542785</v>
      </c>
      <c r="U32" s="231"/>
    </row>
    <row r="33" spans="1:21">
      <c r="A33" s="31"/>
      <c r="B33" s="56" t="s">
        <v>38</v>
      </c>
      <c r="C33" s="32"/>
      <c r="D33" s="37"/>
      <c r="E33" s="53">
        <v>5.3676865271068172E-2</v>
      </c>
      <c r="F33" s="53">
        <v>9.2735703245749632E-2</v>
      </c>
      <c r="G33" s="53">
        <v>3.9013732833957551E-2</v>
      </c>
      <c r="H33" s="53">
        <v>5.155456852791878E-2</v>
      </c>
      <c r="I33" s="53">
        <v>3.7849827026290493E-2</v>
      </c>
      <c r="J33" s="53">
        <v>5.1217398156173669E-2</v>
      </c>
      <c r="K33" s="53">
        <v>5.3504547886570351E-2</v>
      </c>
      <c r="L33" s="53">
        <v>4.5756119881034091E-2</v>
      </c>
      <c r="M33" s="53">
        <v>5.3713522763023609E-2</v>
      </c>
      <c r="N33" s="53">
        <v>4.2599003957834732E-2</v>
      </c>
      <c r="O33" s="53">
        <v>3.1125498007968128E-2</v>
      </c>
      <c r="P33" s="53">
        <v>3.0840400925212029E-2</v>
      </c>
      <c r="Q33" s="34"/>
      <c r="R33" s="23">
        <f t="shared" si="7"/>
        <v>81.70498126442385</v>
      </c>
      <c r="S33" s="51"/>
      <c r="T33" s="230">
        <f t="shared" si="8"/>
        <v>5.1121489077826966E-2</v>
      </c>
      <c r="U33" s="231"/>
    </row>
    <row r="34" spans="1:21">
      <c r="A34" s="31"/>
      <c r="B34" s="56" t="s">
        <v>39</v>
      </c>
      <c r="C34" s="32"/>
      <c r="D34" s="36"/>
      <c r="E34" s="53">
        <v>0.19331339621194696</v>
      </c>
      <c r="F34" s="53">
        <v>0.22874806800618244</v>
      </c>
      <c r="G34" s="53">
        <v>0.19631710362047441</v>
      </c>
      <c r="H34" s="53">
        <v>0.14736675126903553</v>
      </c>
      <c r="I34" s="53">
        <v>0.21650858055578687</v>
      </c>
      <c r="J34" s="53">
        <v>0.20810022850839177</v>
      </c>
      <c r="K34" s="53">
        <v>0.15539249407628217</v>
      </c>
      <c r="L34" s="53">
        <v>0.13063372226035233</v>
      </c>
      <c r="M34" s="53">
        <v>0.12753892312060219</v>
      </c>
      <c r="N34" s="53">
        <v>0.13252937394954731</v>
      </c>
      <c r="O34" s="53">
        <v>0.17906499003984064</v>
      </c>
      <c r="P34" s="53">
        <v>0.18041634541249038</v>
      </c>
      <c r="Q34" s="34"/>
      <c r="R34" s="23">
        <f t="shared" si="7"/>
        <v>285.07084476128324</v>
      </c>
      <c r="S34" s="51"/>
      <c r="T34" s="230">
        <f t="shared" si="8"/>
        <v>0.17836423007927865</v>
      </c>
      <c r="U34" s="231"/>
    </row>
    <row r="35" spans="1:21">
      <c r="A35" s="59"/>
      <c r="B35" s="60"/>
      <c r="C35" s="60"/>
      <c r="D35" s="61"/>
      <c r="E35" s="64">
        <f>E29+E30+E31+E32+E33+E34</f>
        <v>1</v>
      </c>
      <c r="F35" s="64">
        <f>F29+F30+F31+F32+F33+F34</f>
        <v>1.0000000000000002</v>
      </c>
      <c r="G35" s="64">
        <f t="shared" ref="G35:P35" si="9">G29+G30+G32+G31+G33+G34</f>
        <v>1.0000000000000002</v>
      </c>
      <c r="H35" s="64">
        <f t="shared" si="9"/>
        <v>1</v>
      </c>
      <c r="I35" s="64">
        <f t="shared" si="9"/>
        <v>1</v>
      </c>
      <c r="J35" s="64">
        <f t="shared" si="9"/>
        <v>1</v>
      </c>
      <c r="K35" s="64">
        <f t="shared" si="9"/>
        <v>0.99999999999999989</v>
      </c>
      <c r="L35" s="64">
        <f t="shared" si="9"/>
        <v>1.0000000000000002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1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1" ht="43.5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>R28+R17</f>
        <v>4935.2053599999999</v>
      </c>
      <c r="S39" s="248">
        <f>S28+S17</f>
        <v>0</v>
      </c>
      <c r="T39" s="253">
        <f>S39+R39</f>
        <v>4935.2053599999999</v>
      </c>
      <c r="U39" s="123"/>
    </row>
    <row r="40" spans="1:21">
      <c r="A40" s="244"/>
      <c r="B40" s="245" t="s">
        <v>34</v>
      </c>
      <c r="C40" s="246"/>
      <c r="D40" s="247"/>
      <c r="E40" s="390">
        <f>((E10*E18)+(E11*E29))/E12</f>
        <v>2.7817089092448333E-2</v>
      </c>
      <c r="F40" s="254">
        <f t="shared" ref="F40:P40" si="10">((F10*F18)+(F11*F29))/F12</f>
        <v>2.3300316138784073E-2</v>
      </c>
      <c r="G40" s="254">
        <f t="shared" si="10"/>
        <v>2.0599041938795283E-2</v>
      </c>
      <c r="H40" s="254">
        <f t="shared" si="10"/>
        <v>2.2026140196319956E-2</v>
      </c>
      <c r="I40" s="254">
        <f t="shared" si="10"/>
        <v>2.0545111228690564E-2</v>
      </c>
      <c r="J40" s="254">
        <f t="shared" si="10"/>
        <v>4.5906807298699052E-2</v>
      </c>
      <c r="K40" s="254">
        <f t="shared" si="10"/>
        <v>1.8688286831256569E-2</v>
      </c>
      <c r="L40" s="254">
        <f t="shared" si="10"/>
        <v>1.9919684202662921E-2</v>
      </c>
      <c r="M40" s="254">
        <f t="shared" si="10"/>
        <v>2.3635561142456192E-2</v>
      </c>
      <c r="N40" s="254">
        <f t="shared" si="10"/>
        <v>2.8595361119377244E-2</v>
      </c>
      <c r="O40" s="254">
        <f t="shared" si="10"/>
        <v>1.6787432976659314E-2</v>
      </c>
      <c r="P40" s="254">
        <f t="shared" si="10"/>
        <v>2.5363841703867077E-2</v>
      </c>
      <c r="Q40" s="248"/>
      <c r="R40" s="252">
        <f>R29+R18</f>
        <v>122.69371881850842</v>
      </c>
      <c r="S40" s="248">
        <f>S29+S18</f>
        <v>0</v>
      </c>
      <c r="T40" s="387">
        <f>(R40+S40)/$T$39</f>
        <v>2.486091456557107E-2</v>
      </c>
      <c r="U40" s="213"/>
    </row>
    <row r="41" spans="1:21">
      <c r="A41" s="244"/>
      <c r="B41" s="245" t="s">
        <v>35</v>
      </c>
      <c r="C41" s="246"/>
      <c r="D41" s="247"/>
      <c r="E41" s="254">
        <f t="shared" ref="E41:P41" si="11">((E10*E19)+(E11*E30))/E12</f>
        <v>6.4038153828045175E-2</v>
      </c>
      <c r="F41" s="254">
        <f t="shared" si="11"/>
        <v>6.7830482815034288E-2</v>
      </c>
      <c r="G41" s="254">
        <f t="shared" si="11"/>
        <v>7.0715561449081865E-2</v>
      </c>
      <c r="H41" s="254">
        <f t="shared" si="11"/>
        <v>5.7238598991705879E-2</v>
      </c>
      <c r="I41" s="254">
        <f t="shared" si="11"/>
        <v>9.0479889378491316E-2</v>
      </c>
      <c r="J41" s="254">
        <f t="shared" si="11"/>
        <v>7.9990488032148768E-2</v>
      </c>
      <c r="K41" s="254">
        <f t="shared" si="11"/>
        <v>5.5926514020265564E-2</v>
      </c>
      <c r="L41" s="254">
        <f t="shared" si="11"/>
        <v>6.0100815096357993E-2</v>
      </c>
      <c r="M41" s="254">
        <f t="shared" si="11"/>
        <v>7.9397725051463031E-2</v>
      </c>
      <c r="N41" s="254">
        <f t="shared" si="11"/>
        <v>8.5349507661813248E-2</v>
      </c>
      <c r="O41" s="254">
        <f t="shared" si="11"/>
        <v>5.1058150135681699E-2</v>
      </c>
      <c r="P41" s="254">
        <f t="shared" si="11"/>
        <v>6.4857848201406693E-2</v>
      </c>
      <c r="Q41" s="248"/>
      <c r="R41" s="252">
        <f>R30+R19</f>
        <v>342.58343970149974</v>
      </c>
      <c r="S41" s="248">
        <f t="shared" ref="R41:S45" si="12">S30+S19</f>
        <v>0</v>
      </c>
      <c r="T41" s="387">
        <f t="shared" ref="T41:T44" si="13">(R41+S41)/$T$39</f>
        <v>6.9416248101477132E-2</v>
      </c>
      <c r="U41" s="213"/>
    </row>
    <row r="42" spans="1:21">
      <c r="A42" s="244"/>
      <c r="B42" s="245" t="s">
        <v>36</v>
      </c>
      <c r="C42" s="246"/>
      <c r="D42" s="247"/>
      <c r="E42" s="254">
        <f t="shared" ref="E42:P42" si="14">((E10*E20)+(E11*E31))/E12</f>
        <v>5.4281779195445218E-2</v>
      </c>
      <c r="F42" s="254">
        <f t="shared" si="14"/>
        <v>5.3465633746300853E-2</v>
      </c>
      <c r="G42" s="254">
        <f t="shared" si="14"/>
        <v>0.1022545426809016</v>
      </c>
      <c r="H42" s="254">
        <f t="shared" si="14"/>
        <v>6.2581967152557594E-2</v>
      </c>
      <c r="I42" s="254">
        <f t="shared" si="14"/>
        <v>6.6391697079859924E-2</v>
      </c>
      <c r="J42" s="254">
        <f t="shared" si="14"/>
        <v>7.2078603007249956E-2</v>
      </c>
      <c r="K42" s="254">
        <f t="shared" si="14"/>
        <v>7.131052843471504E-2</v>
      </c>
      <c r="L42" s="254">
        <f t="shared" si="14"/>
        <v>6.4173756104182314E-2</v>
      </c>
      <c r="M42" s="254">
        <f t="shared" si="14"/>
        <v>5.6452664816679689E-2</v>
      </c>
      <c r="N42" s="254">
        <f t="shared" si="14"/>
        <v>7.4305809532776601E-2</v>
      </c>
      <c r="O42" s="254">
        <f t="shared" si="14"/>
        <v>3.1945531841494186E-2</v>
      </c>
      <c r="P42" s="254">
        <f t="shared" si="14"/>
        <v>5.4079781639119001E-2</v>
      </c>
      <c r="Q42" s="248"/>
      <c r="R42" s="252">
        <f>R31+R20</f>
        <v>316.34478750621861</v>
      </c>
      <c r="S42" s="248">
        <f t="shared" si="12"/>
        <v>0</v>
      </c>
      <c r="T42" s="387">
        <f>(R42+S42)/$T$39</f>
        <v>6.4099619859834686E-2</v>
      </c>
      <c r="U42" s="213"/>
    </row>
    <row r="43" spans="1:21">
      <c r="A43" s="244"/>
      <c r="B43" s="245" t="s">
        <v>37</v>
      </c>
      <c r="C43" s="246"/>
      <c r="D43" s="247"/>
      <c r="E43" s="254">
        <f t="shared" ref="E43:P43" si="15">((E10*E21)+(E11*E32))/E12</f>
        <v>0.66577585376195636</v>
      </c>
      <c r="F43" s="254">
        <f t="shared" si="15"/>
        <v>0.62249026519881767</v>
      </c>
      <c r="G43" s="254">
        <f t="shared" si="15"/>
        <v>0.63713685937368558</v>
      </c>
      <c r="H43" s="254">
        <f t="shared" si="15"/>
        <v>0.65827729334948359</v>
      </c>
      <c r="I43" s="254">
        <f t="shared" si="15"/>
        <v>0.57637770151059542</v>
      </c>
      <c r="J43" s="254">
        <f t="shared" si="15"/>
        <v>0.61769687581806398</v>
      </c>
      <c r="K43" s="254">
        <f t="shared" si="15"/>
        <v>0.71055389606096986</v>
      </c>
      <c r="L43" s="254">
        <f t="shared" si="15"/>
        <v>0.6660681701491854</v>
      </c>
      <c r="M43" s="254">
        <f t="shared" si="15"/>
        <v>0.67012763156861099</v>
      </c>
      <c r="N43" s="254">
        <f t="shared" si="15"/>
        <v>0.67601844065737637</v>
      </c>
      <c r="O43" s="254">
        <f t="shared" si="15"/>
        <v>0.78372496712107242</v>
      </c>
      <c r="P43" s="254">
        <f t="shared" si="15"/>
        <v>0.67697190382756012</v>
      </c>
      <c r="Q43" s="248"/>
      <c r="R43" s="252">
        <f>R32+R21</f>
        <v>3265.7805036991085</v>
      </c>
      <c r="S43" s="248">
        <f t="shared" si="12"/>
        <v>0</v>
      </c>
      <c r="T43" s="387">
        <f t="shared" si="13"/>
        <v>0.66173143070567353</v>
      </c>
      <c r="U43" s="213"/>
    </row>
    <row r="44" spans="1:21">
      <c r="A44" s="244"/>
      <c r="B44" s="245" t="s">
        <v>38</v>
      </c>
      <c r="C44" s="246"/>
      <c r="D44" s="247"/>
      <c r="E44" s="254">
        <f t="shared" ref="E44:P44" si="16">((E10*E22)+(E11*E33))/E12</f>
        <v>3.4959565288378167E-2</v>
      </c>
      <c r="F44" s="254">
        <f t="shared" si="16"/>
        <v>5.4440988660830983E-2</v>
      </c>
      <c r="G44" s="254">
        <f t="shared" si="16"/>
        <v>2.8303473383869585E-2</v>
      </c>
      <c r="H44" s="254">
        <f t="shared" si="16"/>
        <v>6.7419595413211353E-2</v>
      </c>
      <c r="I44" s="254">
        <f t="shared" si="16"/>
        <v>3.7952855038713644E-2</v>
      </c>
      <c r="J44" s="254">
        <f t="shared" si="16"/>
        <v>3.2753857986275205E-2</v>
      </c>
      <c r="K44" s="254">
        <f t="shared" si="16"/>
        <v>3.3375331349890923E-2</v>
      </c>
      <c r="L44" s="254">
        <f t="shared" si="16"/>
        <v>4.4019346352733947E-2</v>
      </c>
      <c r="M44" s="254">
        <f t="shared" si="16"/>
        <v>2.4122415421614217E-2</v>
      </c>
      <c r="N44" s="254">
        <f t="shared" si="16"/>
        <v>1.9466907044691419E-2</v>
      </c>
      <c r="O44" s="254">
        <f t="shared" si="16"/>
        <v>1.4950658219030272E-2</v>
      </c>
      <c r="P44" s="254">
        <f t="shared" si="16"/>
        <v>2.5880512680790686E-2</v>
      </c>
      <c r="Q44" s="248"/>
      <c r="R44" s="252">
        <f t="shared" si="12"/>
        <v>173.66025397488997</v>
      </c>
      <c r="S44" s="248">
        <f>S33+S22</f>
        <v>0</v>
      </c>
      <c r="T44" s="387">
        <f t="shared" si="13"/>
        <v>3.5188050204032435E-2</v>
      </c>
      <c r="U44" s="213"/>
    </row>
    <row r="45" spans="1:21">
      <c r="A45" s="244"/>
      <c r="B45" s="245" t="s">
        <v>39</v>
      </c>
      <c r="C45" s="246"/>
      <c r="D45" s="255"/>
      <c r="E45" s="254">
        <f t="shared" ref="E45:P45" si="17">((E10*E23)+(E11*E34))/E12</f>
        <v>0.1531275588337267</v>
      </c>
      <c r="F45" s="254">
        <f t="shared" si="17"/>
        <v>0.17847231344023232</v>
      </c>
      <c r="G45" s="254">
        <f t="shared" si="17"/>
        <v>0.14099052117366626</v>
      </c>
      <c r="H45" s="254">
        <f t="shared" si="17"/>
        <v>0.13245640489672159</v>
      </c>
      <c r="I45" s="254">
        <f t="shared" si="17"/>
        <v>0.20825274576364908</v>
      </c>
      <c r="J45" s="254">
        <f t="shared" si="17"/>
        <v>0.15157336785756298</v>
      </c>
      <c r="K45" s="254">
        <f t="shared" si="17"/>
        <v>0.11014544330290199</v>
      </c>
      <c r="L45" s="254">
        <f t="shared" si="17"/>
        <v>0.14571822809487731</v>
      </c>
      <c r="M45" s="254">
        <f t="shared" si="17"/>
        <v>0.14626400199917591</v>
      </c>
      <c r="N45" s="254">
        <f t="shared" si="17"/>
        <v>0.11626397398396518</v>
      </c>
      <c r="O45" s="254">
        <f t="shared" si="17"/>
        <v>0.10153325970606206</v>
      </c>
      <c r="P45" s="254">
        <f t="shared" si="17"/>
        <v>0.15284611194725639</v>
      </c>
      <c r="Q45" s="248"/>
      <c r="R45" s="252">
        <f t="shared" si="12"/>
        <v>714.14265629977467</v>
      </c>
      <c r="S45" s="248">
        <f t="shared" si="12"/>
        <v>0</v>
      </c>
      <c r="T45" s="387">
        <f>(R45+S45)/$T$39</f>
        <v>0.14470373656341115</v>
      </c>
      <c r="U45" s="213"/>
    </row>
    <row r="46" spans="1:21">
      <c r="A46" s="238"/>
      <c r="B46" s="239"/>
      <c r="C46" s="239"/>
      <c r="D46" s="240"/>
      <c r="E46" s="241">
        <f>SUM(E40:E45)</f>
        <v>1</v>
      </c>
      <c r="F46" s="241">
        <f t="shared" ref="F46:O46" si="18">SUM(F40:F45)</f>
        <v>1.0000000000000002</v>
      </c>
      <c r="G46" s="241">
        <f t="shared" si="18"/>
        <v>1.0000000000000002</v>
      </c>
      <c r="H46" s="241">
        <f t="shared" si="18"/>
        <v>1</v>
      </c>
      <c r="I46" s="241">
        <f t="shared" si="18"/>
        <v>0.99999999999999989</v>
      </c>
      <c r="J46" s="241">
        <f t="shared" si="18"/>
        <v>1</v>
      </c>
      <c r="K46" s="241">
        <f t="shared" si="18"/>
        <v>1</v>
      </c>
      <c r="L46" s="241">
        <f t="shared" si="18"/>
        <v>1</v>
      </c>
      <c r="M46" s="241">
        <f t="shared" si="18"/>
        <v>1</v>
      </c>
      <c r="N46" s="241">
        <f t="shared" si="18"/>
        <v>1</v>
      </c>
      <c r="O46" s="241">
        <f t="shared" si="18"/>
        <v>1</v>
      </c>
      <c r="P46" s="241">
        <f>SUM(P40:P45)</f>
        <v>1</v>
      </c>
      <c r="Q46" s="242"/>
      <c r="R46" s="243"/>
      <c r="T46" s="122"/>
      <c r="U46" s="122"/>
    </row>
    <row r="47" spans="1:21" ht="29">
      <c r="A47" s="30" t="s">
        <v>146</v>
      </c>
      <c r="B47" s="43" t="s">
        <v>211</v>
      </c>
      <c r="C47" s="30" t="s">
        <v>148</v>
      </c>
      <c r="D47" s="388">
        <f>SUM(E47:P47)</f>
        <v>153.285</v>
      </c>
      <c r="E47" s="260">
        <v>27.492999999999999</v>
      </c>
      <c r="F47" s="260">
        <v>14.780000000000001</v>
      </c>
      <c r="G47" s="260">
        <v>33.897999999999996</v>
      </c>
      <c r="H47" s="260">
        <v>10.100000000000001</v>
      </c>
      <c r="I47" s="260">
        <v>7.8</v>
      </c>
      <c r="J47" s="260">
        <v>3.3000000000000003</v>
      </c>
      <c r="K47" s="260">
        <v>3.5459999999999998</v>
      </c>
      <c r="L47" s="260">
        <v>23.74</v>
      </c>
      <c r="M47" s="260">
        <v>12.799999999999999</v>
      </c>
      <c r="N47" s="203">
        <v>7.7639999999999993</v>
      </c>
      <c r="O47" s="203">
        <v>2.4640000000000004</v>
      </c>
      <c r="P47" s="206">
        <v>5.6</v>
      </c>
      <c r="Q47" s="202"/>
      <c r="R47" s="201"/>
      <c r="T47" s="112"/>
      <c r="U47" s="112"/>
    </row>
    <row r="48" spans="1:21" ht="29">
      <c r="A48" s="30"/>
      <c r="B48" s="43" t="s">
        <v>212</v>
      </c>
      <c r="C48" s="30"/>
      <c r="D48" s="388">
        <f>SUM(E48:P48)</f>
        <v>125.37000000000002</v>
      </c>
      <c r="E48" s="106">
        <v>7.1</v>
      </c>
      <c r="F48" s="106">
        <v>0.7</v>
      </c>
      <c r="G48" s="106">
        <v>19.2</v>
      </c>
      <c r="H48" s="106">
        <v>12.85</v>
      </c>
      <c r="I48" s="106">
        <v>8.2200000000000006</v>
      </c>
      <c r="J48" s="106">
        <v>39.85</v>
      </c>
      <c r="K48" s="106">
        <v>0.45</v>
      </c>
      <c r="L48" s="106">
        <v>0.4</v>
      </c>
      <c r="M48" s="106">
        <v>35.700000000000003</v>
      </c>
      <c r="N48" s="203">
        <v>0.45</v>
      </c>
      <c r="O48" s="203">
        <v>0</v>
      </c>
      <c r="P48" s="206">
        <v>0.45</v>
      </c>
      <c r="Q48" s="202"/>
      <c r="R48" s="201"/>
      <c r="T48" s="112"/>
      <c r="U48" s="112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29">
      <c r="A50" s="31" t="s">
        <v>150</v>
      </c>
      <c r="B50" s="43" t="s">
        <v>151</v>
      </c>
      <c r="C50" s="31" t="s">
        <v>152</v>
      </c>
      <c r="D50" s="81">
        <f>SUM(E50:P50)</f>
        <v>589</v>
      </c>
      <c r="E50" s="32">
        <f>E51+E52</f>
        <v>49</v>
      </c>
      <c r="F50" s="32">
        <f t="shared" ref="F50:P50" si="19">F51+F52</f>
        <v>116</v>
      </c>
      <c r="G50" s="32">
        <f t="shared" si="19"/>
        <v>98</v>
      </c>
      <c r="H50" s="32">
        <f t="shared" si="19"/>
        <v>32</v>
      </c>
      <c r="I50" s="32">
        <f t="shared" si="19"/>
        <v>32</v>
      </c>
      <c r="J50" s="32">
        <f t="shared" si="19"/>
        <v>49</v>
      </c>
      <c r="K50" s="32">
        <f t="shared" si="19"/>
        <v>51</v>
      </c>
      <c r="L50" s="32">
        <f t="shared" si="19"/>
        <v>44</v>
      </c>
      <c r="M50" s="32">
        <f t="shared" si="19"/>
        <v>26</v>
      </c>
      <c r="N50" s="32">
        <f t="shared" si="19"/>
        <v>32</v>
      </c>
      <c r="O50" s="32">
        <f t="shared" si="19"/>
        <v>30</v>
      </c>
      <c r="P50" s="32">
        <f t="shared" si="19"/>
        <v>30</v>
      </c>
      <c r="T50" s="112"/>
      <c r="U50" s="112"/>
    </row>
    <row r="51" spans="1:21" ht="43.5">
      <c r="B51" s="313" t="s">
        <v>157</v>
      </c>
      <c r="D51">
        <f>E51+F51+G51+H51+I51+J51+K51+L51+M51+N51+O51+P51</f>
        <v>402</v>
      </c>
      <c r="E51">
        <v>36</v>
      </c>
      <c r="F51">
        <v>75</v>
      </c>
      <c r="G51">
        <v>82</v>
      </c>
      <c r="H51">
        <v>15</v>
      </c>
      <c r="I51">
        <v>14</v>
      </c>
      <c r="J51">
        <v>38</v>
      </c>
      <c r="K51">
        <v>39</v>
      </c>
      <c r="L51">
        <v>30</v>
      </c>
      <c r="M51">
        <v>16</v>
      </c>
      <c r="N51">
        <v>21</v>
      </c>
      <c r="O51">
        <v>17</v>
      </c>
      <c r="P51">
        <v>19</v>
      </c>
    </row>
    <row r="52" spans="1:21" ht="43.5">
      <c r="B52" s="313" t="s">
        <v>158</v>
      </c>
      <c r="D52">
        <f>E52+F52+G52+H52+I52+J52+K52+L52+M52+N52+O52+P52</f>
        <v>187</v>
      </c>
      <c r="E52">
        <v>13</v>
      </c>
      <c r="F52">
        <v>41</v>
      </c>
      <c r="G52">
        <v>16</v>
      </c>
      <c r="H52">
        <v>17</v>
      </c>
      <c r="I52">
        <v>18</v>
      </c>
      <c r="J52">
        <v>11</v>
      </c>
      <c r="K52">
        <v>12</v>
      </c>
      <c r="L52">
        <v>14</v>
      </c>
      <c r="M52">
        <v>10</v>
      </c>
      <c r="N52">
        <v>11</v>
      </c>
      <c r="O52">
        <v>13</v>
      </c>
      <c r="P52">
        <v>11</v>
      </c>
    </row>
  </sheetData>
  <mergeCells count="1">
    <mergeCell ref="E1:P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91"/>
  <sheetViews>
    <sheetView workbookViewId="0">
      <selection activeCell="F14" sqref="F14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A00-000000000000}">
      <formula1>"resellers,big customer,others"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1"/>
  <sheetViews>
    <sheetView workbookViewId="0">
      <selection activeCell="E37" sqref="E37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C00-000000000000}">
      <formula1>"resellers,big customer,others"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53"/>
  <sheetViews>
    <sheetView topLeftCell="A43" workbookViewId="0">
      <selection activeCell="D47" sqref="D47"/>
    </sheetView>
  </sheetViews>
  <sheetFormatPr baseColWidth="10" defaultColWidth="8.7265625" defaultRowHeight="14.5"/>
  <cols>
    <col min="1" max="1" width="18.1796875" customWidth="1"/>
    <col min="2" max="2" width="37.45312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0">
      <c r="A1" s="26"/>
      <c r="B1" s="27"/>
      <c r="D1" s="28"/>
      <c r="E1" s="422">
        <v>2024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20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0" ht="27.5">
      <c r="A3" s="30" t="s">
        <v>117</v>
      </c>
      <c r="B3" s="30" t="s">
        <v>118</v>
      </c>
      <c r="C3" s="30" t="s">
        <v>119</v>
      </c>
      <c r="D3" s="51">
        <v>28</v>
      </c>
    </row>
    <row r="4" spans="1:20" ht="23">
      <c r="A4" s="30" t="s">
        <v>120</v>
      </c>
      <c r="B4" s="30" t="s">
        <v>121</v>
      </c>
      <c r="C4" s="30"/>
      <c r="D4" s="51">
        <v>265</v>
      </c>
    </row>
    <row r="5" spans="1:20" ht="23">
      <c r="A5" s="50" t="s">
        <v>60</v>
      </c>
      <c r="B5" s="30" t="s">
        <v>122</v>
      </c>
      <c r="C5" s="30"/>
      <c r="D5" s="51">
        <v>0</v>
      </c>
    </row>
    <row r="6" spans="1:20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29">
      <c r="A7" s="43" t="s">
        <v>124</v>
      </c>
      <c r="B7" s="43" t="s">
        <v>125</v>
      </c>
      <c r="C7" s="32"/>
      <c r="D7" s="220">
        <f t="shared" ref="D7:D12" si="0">SUM(E7:P7)</f>
        <v>3180.4144105098017</v>
      </c>
      <c r="E7" s="380">
        <f>E10*(1-E23)</f>
        <v>204.19354321671679</v>
      </c>
      <c r="F7" s="380">
        <f t="shared" ref="F7:P7" si="1">F10*(1-F23)</f>
        <v>169.41140839263352</v>
      </c>
      <c r="G7" s="380">
        <f t="shared" si="1"/>
        <v>203.33425722784801</v>
      </c>
      <c r="H7" s="380">
        <f t="shared" si="1"/>
        <v>221.97122657211648</v>
      </c>
      <c r="I7" s="380">
        <f t="shared" si="1"/>
        <v>220.66535538386495</v>
      </c>
      <c r="J7" s="380">
        <f t="shared" si="1"/>
        <v>302.63336584394909</v>
      </c>
      <c r="K7" s="380">
        <f t="shared" si="1"/>
        <v>374.29716755350051</v>
      </c>
      <c r="L7" s="380">
        <f t="shared" si="1"/>
        <v>353.73593562932444</v>
      </c>
      <c r="M7" s="380">
        <f t="shared" si="1"/>
        <v>315.06743172800128</v>
      </c>
      <c r="N7" s="380">
        <f t="shared" si="1"/>
        <v>307.60056700635965</v>
      </c>
      <c r="O7" s="380">
        <f t="shared" si="1"/>
        <v>270.90595558157622</v>
      </c>
      <c r="P7" s="380">
        <f t="shared" si="1"/>
        <v>236.59819637391098</v>
      </c>
      <c r="Q7" s="32"/>
      <c r="R7" s="32"/>
    </row>
    <row r="8" spans="1:20" ht="29">
      <c r="A8" s="43" t="s">
        <v>126</v>
      </c>
      <c r="B8" s="43" t="s">
        <v>127</v>
      </c>
      <c r="C8" s="32"/>
      <c r="D8" s="220">
        <f t="shared" si="0"/>
        <v>1207.493311217256</v>
      </c>
      <c r="E8" s="381">
        <f>E11*(1-E34)</f>
        <v>76.013191319684083</v>
      </c>
      <c r="F8" s="381">
        <f t="shared" ref="F8:P8" si="2">F11*(1-F34)</f>
        <v>65.966180370942823</v>
      </c>
      <c r="G8" s="381">
        <f t="shared" si="2"/>
        <v>99.289797908863918</v>
      </c>
      <c r="H8" s="381">
        <f t="shared" si="2"/>
        <v>80.29673619923858</v>
      </c>
      <c r="I8" s="381">
        <f t="shared" si="2"/>
        <v>69.947606755437135</v>
      </c>
      <c r="J8" s="381">
        <f t="shared" si="2"/>
        <v>120.79559924355843</v>
      </c>
      <c r="K8" s="381">
        <f t="shared" si="2"/>
        <v>135.20857028204543</v>
      </c>
      <c r="L8" s="381">
        <f t="shared" si="2"/>
        <v>169.69725463280713</v>
      </c>
      <c r="M8" s="381">
        <f t="shared" si="2"/>
        <v>134.91563600647632</v>
      </c>
      <c r="N8" s="381">
        <f t="shared" si="2"/>
        <v>92.411645793154719</v>
      </c>
      <c r="O8" s="381">
        <f t="shared" si="2"/>
        <v>82.198580677290835</v>
      </c>
      <c r="P8" s="381">
        <f t="shared" si="2"/>
        <v>80.752512027756367</v>
      </c>
      <c r="Q8" s="32"/>
      <c r="R8" s="32"/>
    </row>
    <row r="9" spans="1:20">
      <c r="A9" s="43" t="s">
        <v>123</v>
      </c>
      <c r="B9" s="373" t="s">
        <v>210</v>
      </c>
      <c r="C9" s="223">
        <f>D7+D8</f>
        <v>4387.9077217270578</v>
      </c>
      <c r="D9" s="220">
        <f t="shared" si="0"/>
        <v>4387.9077217270569</v>
      </c>
      <c r="E9" s="41">
        <f>SUM(E7:E8)</f>
        <v>280.20673453640086</v>
      </c>
      <c r="F9" s="41">
        <f t="shared" ref="F9:P9" si="3">SUM(F7:F8)</f>
        <v>235.37758876357634</v>
      </c>
      <c r="G9" s="41">
        <f t="shared" si="3"/>
        <v>302.62405513671195</v>
      </c>
      <c r="H9" s="41">
        <f t="shared" si="3"/>
        <v>302.26796277135509</v>
      </c>
      <c r="I9" s="41">
        <f t="shared" si="3"/>
        <v>290.61296213930211</v>
      </c>
      <c r="J9" s="41">
        <f t="shared" si="3"/>
        <v>423.42896508750755</v>
      </c>
      <c r="K9" s="41">
        <f t="shared" si="3"/>
        <v>509.50573783554592</v>
      </c>
      <c r="L9" s="41">
        <f t="shared" si="3"/>
        <v>523.43319026213157</v>
      </c>
      <c r="M9" s="41">
        <f t="shared" si="3"/>
        <v>449.98306773447757</v>
      </c>
      <c r="N9" s="41">
        <f t="shared" si="3"/>
        <v>400.01221279951437</v>
      </c>
      <c r="O9" s="41">
        <f t="shared" si="3"/>
        <v>353.10453625886703</v>
      </c>
      <c r="P9" s="41">
        <f t="shared" si="3"/>
        <v>317.35070840166736</v>
      </c>
      <c r="Q9" s="32"/>
      <c r="R9" s="32"/>
    </row>
    <row r="10" spans="1:20" ht="29">
      <c r="A10" s="32"/>
      <c r="B10" s="42" t="s">
        <v>128</v>
      </c>
      <c r="C10" s="40"/>
      <c r="D10" s="78">
        <f t="shared" si="0"/>
        <v>3593.1038000000003</v>
      </c>
      <c r="E10" s="77">
        <v>227.29349999999999</v>
      </c>
      <c r="F10" s="77">
        <v>191.44219999999999</v>
      </c>
      <c r="G10" s="77">
        <v>220.5</v>
      </c>
      <c r="H10" s="77">
        <v>250.41649999999998</v>
      </c>
      <c r="I10" s="77">
        <v>254.97280000000001</v>
      </c>
      <c r="J10" s="77">
        <v>350.32950000000005</v>
      </c>
      <c r="K10" s="77">
        <v>419.49550000000005</v>
      </c>
      <c r="L10" s="77">
        <v>401.59800000000001</v>
      </c>
      <c r="M10" s="77">
        <v>352.13580000000002</v>
      </c>
      <c r="N10" s="77">
        <v>340.5</v>
      </c>
      <c r="O10" s="77">
        <v>300.56899999999996</v>
      </c>
      <c r="P10" s="77">
        <v>283.851</v>
      </c>
      <c r="Q10" s="32"/>
      <c r="R10" s="32"/>
    </row>
    <row r="11" spans="1:20" ht="29">
      <c r="A11" s="32"/>
      <c r="B11" s="42" t="s">
        <v>129</v>
      </c>
      <c r="C11" s="40"/>
      <c r="D11" s="389">
        <f t="shared" si="0"/>
        <v>1454.4002</v>
      </c>
      <c r="E11" s="77">
        <v>94.22890000000001</v>
      </c>
      <c r="F11" s="77">
        <v>85.531300000000016</v>
      </c>
      <c r="G11" s="77">
        <v>123.54349999999999</v>
      </c>
      <c r="H11" s="77">
        <v>94.174999999999997</v>
      </c>
      <c r="I11" s="77">
        <v>89.276800000000009</v>
      </c>
      <c r="J11" s="77">
        <v>152.53899999999999</v>
      </c>
      <c r="K11" s="77">
        <v>160.08450000000002</v>
      </c>
      <c r="L11" s="77">
        <v>195.19649999999999</v>
      </c>
      <c r="M11" s="77">
        <v>154.63800000000001</v>
      </c>
      <c r="N11" s="77">
        <v>106.53</v>
      </c>
      <c r="O11" s="77">
        <v>100.128</v>
      </c>
      <c r="P11" s="77">
        <v>98.528700000000015</v>
      </c>
      <c r="Q11" s="32"/>
      <c r="R11" s="32"/>
    </row>
    <row r="12" spans="1:20">
      <c r="A12" s="32"/>
      <c r="B12" s="263" t="s">
        <v>156</v>
      </c>
      <c r="C12" s="40"/>
      <c r="D12" s="41">
        <f t="shared" si="0"/>
        <v>5047.5040000000008</v>
      </c>
      <c r="E12" s="41">
        <f>SUM(E10:E11)</f>
        <v>321.5224</v>
      </c>
      <c r="F12" s="41">
        <f t="shared" ref="F12:P12" si="4">SUM(F10:F11)</f>
        <v>276.9735</v>
      </c>
      <c r="G12" s="41">
        <f t="shared" si="4"/>
        <v>344.04349999999999</v>
      </c>
      <c r="H12" s="41">
        <f t="shared" si="4"/>
        <v>344.5915</v>
      </c>
      <c r="I12" s="41">
        <f t="shared" si="4"/>
        <v>344.24959999999999</v>
      </c>
      <c r="J12" s="41">
        <f t="shared" si="4"/>
        <v>502.86850000000004</v>
      </c>
      <c r="K12" s="41">
        <f t="shared" si="4"/>
        <v>579.58000000000004</v>
      </c>
      <c r="L12" s="41">
        <f t="shared" si="4"/>
        <v>596.79449999999997</v>
      </c>
      <c r="M12" s="41">
        <f t="shared" si="4"/>
        <v>506.77380000000005</v>
      </c>
      <c r="N12" s="41">
        <f t="shared" si="4"/>
        <v>447.03</v>
      </c>
      <c r="O12" s="41">
        <f t="shared" si="4"/>
        <v>400.69699999999995</v>
      </c>
      <c r="P12" s="41">
        <f t="shared" si="4"/>
        <v>382.37970000000001</v>
      </c>
      <c r="Q12" s="32"/>
      <c r="R12" s="32"/>
    </row>
    <row r="14" spans="1:20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0">
      <c r="A15" s="31"/>
      <c r="B15" s="33" t="s">
        <v>132</v>
      </c>
      <c r="C15" s="32"/>
      <c r="D15" s="40"/>
      <c r="E15" s="259">
        <v>1.58302991926547E-2</v>
      </c>
      <c r="F15" s="259">
        <v>3.0540878966496661E-2</v>
      </c>
      <c r="G15" s="259">
        <v>1.8738142269345181E-2</v>
      </c>
      <c r="H15" s="259">
        <v>1.9353889744760901E-2</v>
      </c>
      <c r="I15" s="259">
        <v>2.1242781388176427E-2</v>
      </c>
      <c r="J15" s="259">
        <v>3.3439490445859872E-2</v>
      </c>
      <c r="K15" s="259">
        <v>1.9363183617197608E-2</v>
      </c>
      <c r="L15" s="259">
        <v>3.1096944725180754E-2</v>
      </c>
      <c r="M15" s="259">
        <v>3.1121139033688634E-2</v>
      </c>
      <c r="N15" s="259">
        <v>1.9155620258983989E-2</v>
      </c>
      <c r="O15" s="259">
        <v>2.2340171480074875E-2</v>
      </c>
      <c r="P15" s="259">
        <v>3.5319048740287261E-2</v>
      </c>
      <c r="Q15" s="32"/>
      <c r="R15" s="32"/>
    </row>
    <row r="16" spans="1:20" ht="43.5">
      <c r="A16" s="31"/>
      <c r="B16" s="56" t="s">
        <v>133</v>
      </c>
      <c r="C16" s="31" t="s">
        <v>134</v>
      </c>
      <c r="D16" s="32"/>
      <c r="E16" s="23"/>
      <c r="F16" s="55"/>
      <c r="G16" s="23"/>
      <c r="H16" s="23"/>
      <c r="I16" s="23"/>
      <c r="J16" s="23"/>
      <c r="K16" s="23"/>
      <c r="L16" s="23"/>
      <c r="M16" s="23"/>
      <c r="N16" s="32"/>
      <c r="O16" s="32"/>
      <c r="P16" s="32"/>
      <c r="Q16" s="32"/>
      <c r="R16" s="44" t="s">
        <v>135</v>
      </c>
      <c r="S16" s="58" t="s">
        <v>136</v>
      </c>
      <c r="T16" s="57" t="s">
        <v>133</v>
      </c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3593.1038000000003</v>
      </c>
      <c r="S17">
        <f>SUM(S18:S23)</f>
        <v>0</v>
      </c>
      <c r="T17" s="46">
        <f>S17+R17</f>
        <v>3593.1038000000003</v>
      </c>
    </row>
    <row r="18" spans="1:21">
      <c r="A18" s="31"/>
      <c r="B18" s="32" t="s">
        <v>174</v>
      </c>
      <c r="C18" s="32"/>
      <c r="D18" s="36"/>
      <c r="E18" s="53">
        <v>4.7490897577964201E-2</v>
      </c>
      <c r="F18" s="53">
        <v>3.4358488837308743E-2</v>
      </c>
      <c r="G18" s="53">
        <v>3.9818552322358508E-2</v>
      </c>
      <c r="H18" s="53">
        <v>7.7415558979043609E-3</v>
      </c>
      <c r="I18" s="53">
        <v>3.9338484052178567E-2</v>
      </c>
      <c r="J18" s="53">
        <v>2.7866242038216561E-2</v>
      </c>
      <c r="K18" s="53">
        <v>9.2943281362548504E-3</v>
      </c>
      <c r="L18" s="54">
        <v>1.9435590453237971E-2</v>
      </c>
      <c r="M18" s="54">
        <v>2.3340854275266474E-2</v>
      </c>
      <c r="N18" s="53">
        <v>3.1415217224733734E-2</v>
      </c>
      <c r="O18" s="54">
        <v>4.6221044441534229E-2</v>
      </c>
      <c r="P18" s="53">
        <v>3.6888784239855588E-2</v>
      </c>
      <c r="Q18" s="34"/>
      <c r="R18" s="23">
        <f t="shared" ref="R18:R23" si="5">E18*$E$10+F18*$F$10+G18*$G$10+H18*$H$10+I18*$I$10+J18*$J$10+K18*$K$10+L18*$L$10+M18*$M$10+N18*$N$10+O18*$O$10+P18*$P$10</f>
        <v>102.86703755004389</v>
      </c>
      <c r="S18" s="51"/>
      <c r="T18" s="47">
        <f>(R18+S18)/$T$17</f>
        <v>2.8629019164446035E-2</v>
      </c>
      <c r="U18" s="48"/>
    </row>
    <row r="19" spans="1:21">
      <c r="A19" s="31"/>
      <c r="B19" s="32" t="s">
        <v>175</v>
      </c>
      <c r="C19" s="32"/>
      <c r="D19" s="36"/>
      <c r="E19" s="53">
        <v>5.5406047174291595E-2</v>
      </c>
      <c r="F19" s="53">
        <v>5.726414806218124E-2</v>
      </c>
      <c r="G19" s="53">
        <v>5.4652914952256777E-2</v>
      </c>
      <c r="H19" s="53">
        <v>4.6449335387426162E-2</v>
      </c>
      <c r="I19" s="53">
        <v>5.5073877673049991E-2</v>
      </c>
      <c r="J19" s="53">
        <v>3.1847133757961783E-2</v>
      </c>
      <c r="K19" s="53">
        <v>5.0344277404713776E-2</v>
      </c>
      <c r="L19" s="54">
        <v>4.6645417087771125E-2</v>
      </c>
      <c r="M19" s="54">
        <v>4.279156617132187E-2</v>
      </c>
      <c r="N19" s="53">
        <v>6.8960232932342352E-2</v>
      </c>
      <c r="O19" s="54">
        <v>6.9331566662301336E-2</v>
      </c>
      <c r="P19" s="53">
        <v>6.2789419982732908E-2</v>
      </c>
      <c r="Q19" s="34"/>
      <c r="R19" s="23">
        <f t="shared" si="5"/>
        <v>189.50125290033026</v>
      </c>
      <c r="S19" s="51"/>
      <c r="T19" s="47">
        <f t="shared" ref="T19:T23" si="6">(R19+S19)/$T$17</f>
        <v>5.2740266757762534E-2</v>
      </c>
      <c r="U19" s="48"/>
    </row>
    <row r="20" spans="1:21">
      <c r="A20" s="31"/>
      <c r="B20" s="394" t="s">
        <v>213</v>
      </c>
      <c r="C20" s="32"/>
      <c r="D20" s="36"/>
      <c r="E20" s="53">
        <v>5.5406047174291595E-2</v>
      </c>
      <c r="F20" s="53">
        <v>3.8176098708120824E-2</v>
      </c>
      <c r="G20" s="53">
        <v>3.9115871987258063E-2</v>
      </c>
      <c r="H20" s="53">
        <v>4.2578557438473982E-2</v>
      </c>
      <c r="I20" s="53">
        <v>4.7206180862614279E-2</v>
      </c>
      <c r="J20" s="53">
        <v>3.9808917197452234E-2</v>
      </c>
      <c r="K20" s="53">
        <v>4.2599003957834732E-2</v>
      </c>
      <c r="L20" s="54">
        <v>5.5197076887195835E-2</v>
      </c>
      <c r="M20" s="54">
        <v>7.7802847584221582E-2</v>
      </c>
      <c r="N20" s="53">
        <v>3.6778790897249253E-2</v>
      </c>
      <c r="O20" s="54">
        <v>3.851753703461186E-2</v>
      </c>
      <c r="P20" s="53">
        <v>2.7470371242445647E-2</v>
      </c>
      <c r="Q20" s="34"/>
      <c r="R20" s="23">
        <f t="shared" si="5"/>
        <v>164.50404634055866</v>
      </c>
      <c r="S20" s="51"/>
      <c r="T20" s="47">
        <f t="shared" si="6"/>
        <v>4.5783271371274789E-2</v>
      </c>
      <c r="U20" s="48"/>
    </row>
    <row r="21" spans="1:21">
      <c r="A21" s="31"/>
      <c r="B21" s="32" t="s">
        <v>176</v>
      </c>
      <c r="C21" s="32"/>
      <c r="D21" s="36"/>
      <c r="E21" s="53">
        <v>0.7242361880639544</v>
      </c>
      <c r="F21" s="53">
        <v>0.73679870506673195</v>
      </c>
      <c r="G21" s="53">
        <v>0.76514080933159501</v>
      </c>
      <c r="H21" s="53">
        <v>0.75093092209672296</v>
      </c>
      <c r="I21" s="53">
        <v>0.68448962250790701</v>
      </c>
      <c r="J21" s="53">
        <v>0.72452229299363058</v>
      </c>
      <c r="K21" s="53">
        <v>0.75903679779414612</v>
      </c>
      <c r="L21" s="54">
        <v>0.73855243722304287</v>
      </c>
      <c r="M21" s="54">
        <v>0.74301719442931613</v>
      </c>
      <c r="N21" s="53">
        <v>0.75090031415217229</v>
      </c>
      <c r="O21" s="54">
        <v>0.73183320365762528</v>
      </c>
      <c r="P21" s="53">
        <v>0.68283494231222042</v>
      </c>
      <c r="Q21" s="34"/>
      <c r="R21" s="23">
        <f t="shared" si="5"/>
        <v>2636.9033222791136</v>
      </c>
      <c r="S21" s="51"/>
      <c r="T21" s="47">
        <f t="shared" si="6"/>
        <v>0.73387897179010342</v>
      </c>
      <c r="U21" s="48"/>
    </row>
    <row r="22" spans="1:21">
      <c r="A22" s="31"/>
      <c r="B22" s="32" t="s">
        <v>178</v>
      </c>
      <c r="C22" s="32"/>
      <c r="D22" s="36"/>
      <c r="E22" s="53">
        <v>1.5830299192654742E-2</v>
      </c>
      <c r="F22" s="53">
        <v>1.8324527379897995E-2</v>
      </c>
      <c r="G22" s="53">
        <v>2.3422677836681477E-2</v>
      </c>
      <c r="H22" s="53">
        <v>3.8707779489521803E-2</v>
      </c>
      <c r="I22" s="53">
        <v>3.9338484052178567E-2</v>
      </c>
      <c r="J22" s="53">
        <v>3.9808917197452234E-2</v>
      </c>
      <c r="K22" s="53">
        <v>3.0981093787516172E-2</v>
      </c>
      <c r="L22" s="54">
        <v>2.0990437689497009E-2</v>
      </c>
      <c r="M22" s="54">
        <v>7.7802847584221586E-3</v>
      </c>
      <c r="N22" s="53">
        <v>1.5324496207187189E-2</v>
      </c>
      <c r="O22" s="54">
        <v>1.5407014813844743E-2</v>
      </c>
      <c r="P22" s="53">
        <v>2.3546032493524841E-2</v>
      </c>
      <c r="Q22" s="34"/>
      <c r="R22" s="23">
        <f t="shared" si="5"/>
        <v>86.638751439755509</v>
      </c>
      <c r="S22" s="51"/>
      <c r="T22" s="47">
        <f t="shared" si="6"/>
        <v>2.4112510036519264E-2</v>
      </c>
      <c r="U22" s="48"/>
    </row>
    <row r="23" spans="1:21">
      <c r="A23" s="31"/>
      <c r="B23" s="56" t="s">
        <v>39</v>
      </c>
      <c r="C23" s="32"/>
      <c r="D23" s="36"/>
      <c r="E23" s="74">
        <v>0.10163052081684343</v>
      </c>
      <c r="F23" s="53">
        <v>0.11507803194575941</v>
      </c>
      <c r="G23" s="53">
        <v>7.7849173569850341E-2</v>
      </c>
      <c r="H23" s="53">
        <v>0.11359184968995067</v>
      </c>
      <c r="I23" s="53">
        <v>0.13455335085207157</v>
      </c>
      <c r="J23" s="53">
        <v>0.13614649681528665</v>
      </c>
      <c r="K23" s="53">
        <v>0.10774449891953436</v>
      </c>
      <c r="L23" s="54">
        <v>0.11917904065925523</v>
      </c>
      <c r="M23" s="54">
        <v>0.10526725278145181</v>
      </c>
      <c r="N23" s="53">
        <v>9.6620948586315231E-2</v>
      </c>
      <c r="O23" s="54">
        <v>9.8689633390082493E-2</v>
      </c>
      <c r="P23" s="53">
        <v>0.16647044972922065</v>
      </c>
      <c r="Q23" s="34"/>
      <c r="R23" s="23">
        <f t="shared" si="5"/>
        <v>412.68938949019815</v>
      </c>
      <c r="S23" s="51"/>
      <c r="T23" s="47">
        <f t="shared" si="6"/>
        <v>0.1148559608798939</v>
      </c>
      <c r="U23" s="48"/>
    </row>
    <row r="24" spans="1:21">
      <c r="A24" s="59"/>
      <c r="B24" s="60"/>
      <c r="C24" s="60"/>
      <c r="D24" s="72"/>
      <c r="E24" s="76">
        <f>SUM(E18:E23)</f>
        <v>1</v>
      </c>
      <c r="F24" s="76">
        <f t="shared" ref="F24:P24" si="7">SUM(F18:F23)</f>
        <v>1.0000000000000002</v>
      </c>
      <c r="G24" s="76">
        <f t="shared" si="7"/>
        <v>1.0000000000000002</v>
      </c>
      <c r="H24" s="76">
        <f t="shared" si="7"/>
        <v>1</v>
      </c>
      <c r="I24" s="76">
        <f t="shared" si="7"/>
        <v>0.99999999999999989</v>
      </c>
      <c r="J24" s="76">
        <f t="shared" si="7"/>
        <v>1</v>
      </c>
      <c r="K24" s="76">
        <f t="shared" si="7"/>
        <v>1</v>
      </c>
      <c r="L24" s="76">
        <f t="shared" si="7"/>
        <v>1.0000000000000002</v>
      </c>
      <c r="M24" s="76">
        <f t="shared" si="7"/>
        <v>1</v>
      </c>
      <c r="N24" s="76">
        <f t="shared" si="7"/>
        <v>1</v>
      </c>
      <c r="O24" s="76">
        <f t="shared" si="7"/>
        <v>1</v>
      </c>
      <c r="P24" s="76">
        <f t="shared" si="7"/>
        <v>1</v>
      </c>
      <c r="Q24" s="62"/>
      <c r="R24" s="63"/>
      <c r="T24" s="48"/>
      <c r="U24" s="48"/>
    </row>
    <row r="25" spans="1:21">
      <c r="A25" s="43"/>
      <c r="B25" s="68" t="s">
        <v>141</v>
      </c>
      <c r="C25" s="32"/>
      <c r="D25" s="37"/>
      <c r="E25" s="75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1">
      <c r="A26" s="31"/>
      <c r="B26" s="33" t="s">
        <v>132</v>
      </c>
      <c r="C26" s="32"/>
      <c r="D26" s="37"/>
      <c r="E26" s="259">
        <v>2.3004370830457789E-2</v>
      </c>
      <c r="F26" s="259">
        <v>4.0185471406491508E-2</v>
      </c>
      <c r="G26" s="259">
        <v>2.5749063670411985E-2</v>
      </c>
      <c r="H26" s="259">
        <v>2.7760152284263959E-2</v>
      </c>
      <c r="I26" s="259">
        <v>2.6494878918403342E-2</v>
      </c>
      <c r="J26" s="259">
        <v>2.2062879205736349E-2</v>
      </c>
      <c r="K26" s="259">
        <v>2.6752273943285176E-2</v>
      </c>
      <c r="L26" s="259">
        <v>1.1439029970258523E-2</v>
      </c>
      <c r="M26" s="259">
        <v>1.9183400986794146E-2</v>
      </c>
      <c r="N26" s="259">
        <v>2.3235820340637127E-2</v>
      </c>
      <c r="O26" s="259">
        <v>3.501618525896414E-2</v>
      </c>
      <c r="P26" s="259">
        <v>3.4695451040863537E-2</v>
      </c>
      <c r="Q26" s="34"/>
      <c r="R26" s="23"/>
    </row>
    <row r="27" spans="1:21" ht="43.5">
      <c r="A27" s="31"/>
      <c r="B27" s="56" t="s">
        <v>133</v>
      </c>
      <c r="C27" s="31" t="s">
        <v>134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57" t="s">
        <v>133</v>
      </c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1454.4002</v>
      </c>
      <c r="S28">
        <f>SUM(S29:S34)</f>
        <v>0</v>
      </c>
      <c r="T28" s="46">
        <f>S28+R28</f>
        <v>1454.4002</v>
      </c>
    </row>
    <row r="29" spans="1:21">
      <c r="A29" s="31"/>
      <c r="B29" s="32" t="s">
        <v>174</v>
      </c>
      <c r="C29" s="32"/>
      <c r="D29" s="37"/>
      <c r="E29" s="53">
        <v>1.1502185415228895E-2</v>
      </c>
      <c r="F29" s="53">
        <v>3.477588871715611E-2</v>
      </c>
      <c r="G29" s="53">
        <v>3.51123595505618E-2</v>
      </c>
      <c r="H29" s="53">
        <v>4.7588832487309649E-2</v>
      </c>
      <c r="I29" s="53">
        <v>2.2709896215774295E-2</v>
      </c>
      <c r="J29" s="53">
        <v>3.545819872350485E-2</v>
      </c>
      <c r="K29" s="53">
        <v>4.2039287625162423E-2</v>
      </c>
      <c r="L29" s="53">
        <v>2.2878059940517045E-2</v>
      </c>
      <c r="M29" s="53">
        <v>2.4554753263096508E-2</v>
      </c>
      <c r="N29" s="53">
        <v>4.2599003957834732E-2</v>
      </c>
      <c r="O29" s="53">
        <v>3.890687250996016E-2</v>
      </c>
      <c r="P29" s="53">
        <v>3.4695451040863537E-2</v>
      </c>
      <c r="Q29" s="34"/>
      <c r="R29" s="23">
        <f t="shared" ref="R29:R34" si="8">E29*$E$11+F29*$F$11+G29*$G$11+H29*$H$11+I29*$I$11+J29*$J$11+K29*$K$11+L29*$L$11+M29*$M$11+N29*$N$11+O29*$O$11+P29*$P$11</f>
        <v>47.15896279047864</v>
      </c>
      <c r="S29" s="51"/>
      <c r="T29" s="47">
        <f t="shared" ref="T29:T34" si="9">(R29+S29)/$T$28</f>
        <v>3.2425024962509381E-2</v>
      </c>
    </row>
    <row r="30" spans="1:21">
      <c r="A30" s="31"/>
      <c r="B30" s="32" t="s">
        <v>175</v>
      </c>
      <c r="C30" s="32"/>
      <c r="D30" s="37"/>
      <c r="E30" s="53">
        <v>7.4380799018480173E-2</v>
      </c>
      <c r="F30" s="53">
        <v>8.1143740340030926E-2</v>
      </c>
      <c r="G30" s="53">
        <v>6.2421972534332085E-2</v>
      </c>
      <c r="H30" s="53">
        <v>7.9314720812182743E-2</v>
      </c>
      <c r="I30" s="53">
        <v>7.1914671349951928E-2</v>
      </c>
      <c r="J30" s="53">
        <v>7.4856197305176897E-2</v>
      </c>
      <c r="K30" s="53">
        <v>7.6435068409386214E-2</v>
      </c>
      <c r="L30" s="53">
        <v>8.3886219781895838E-2</v>
      </c>
      <c r="M30" s="53">
        <v>7.2896923749817752E-2</v>
      </c>
      <c r="N30" s="53">
        <v>0.10456119153286708</v>
      </c>
      <c r="O30" s="53">
        <v>8.1704432270916338E-2</v>
      </c>
      <c r="P30" s="53">
        <v>9.2521202775636094E-2</v>
      </c>
      <c r="Q30" s="34"/>
      <c r="R30" s="23">
        <f t="shared" si="8"/>
        <v>115.28804414257209</v>
      </c>
      <c r="S30" s="51"/>
      <c r="T30" s="47">
        <f t="shared" si="9"/>
        <v>7.9268446293236275E-2</v>
      </c>
    </row>
    <row r="31" spans="1:21">
      <c r="A31" s="31"/>
      <c r="B31" s="394" t="s">
        <v>213</v>
      </c>
      <c r="C31" s="32"/>
      <c r="D31" s="37"/>
      <c r="E31" s="53">
        <v>6.1344988881220766E-2</v>
      </c>
      <c r="F31" s="53">
        <v>6.0278207109737261E-2</v>
      </c>
      <c r="G31" s="53">
        <v>0.1131398252184769</v>
      </c>
      <c r="H31" s="53">
        <v>6.3451776649746189E-2</v>
      </c>
      <c r="I31" s="53">
        <v>9.8409550268355281E-2</v>
      </c>
      <c r="J31" s="53">
        <v>9.8494996454180125E-2</v>
      </c>
      <c r="K31" s="53">
        <v>9.1722082091263465E-2</v>
      </c>
      <c r="L31" s="53">
        <v>7.2447189811637308E-2</v>
      </c>
      <c r="M31" s="53">
        <v>8.0570284144535417E-2</v>
      </c>
      <c r="N31" s="53">
        <v>9.2943281362548508E-2</v>
      </c>
      <c r="O31" s="53">
        <v>7.7813745019920319E-2</v>
      </c>
      <c r="P31" s="53">
        <v>6.013878180416346E-2</v>
      </c>
      <c r="Q31" s="34"/>
      <c r="R31" s="23">
        <f t="shared" si="8"/>
        <v>119.60135085474913</v>
      </c>
      <c r="S31" s="51"/>
      <c r="T31" s="47">
        <f t="shared" si="9"/>
        <v>8.223414081952761E-2</v>
      </c>
    </row>
    <row r="32" spans="1:21">
      <c r="A32" s="31"/>
      <c r="B32" s="32" t="s">
        <v>176</v>
      </c>
      <c r="C32" s="32"/>
      <c r="D32" s="37"/>
      <c r="E32" s="53">
        <v>0.60578176520205507</v>
      </c>
      <c r="F32" s="53">
        <v>0.50231839258114386</v>
      </c>
      <c r="G32" s="53">
        <v>0.55399500624219733</v>
      </c>
      <c r="H32" s="53">
        <v>0.6107233502538072</v>
      </c>
      <c r="I32" s="53">
        <v>0.55260747458384119</v>
      </c>
      <c r="J32" s="53">
        <v>0.53187298085257273</v>
      </c>
      <c r="K32" s="53">
        <v>0.58090651991133524</v>
      </c>
      <c r="L32" s="53">
        <v>0.64439868832456348</v>
      </c>
      <c r="M32" s="53">
        <v>0.64072559295892451</v>
      </c>
      <c r="N32" s="53">
        <v>0.58476814523936771</v>
      </c>
      <c r="O32" s="53">
        <v>0.5913844621513944</v>
      </c>
      <c r="P32" s="53">
        <v>0.60138781804163466</v>
      </c>
      <c r="Q32" s="34"/>
      <c r="R32" s="23">
        <f t="shared" si="8"/>
        <v>855.09232412585345</v>
      </c>
      <c r="S32" s="51"/>
      <c r="T32" s="47">
        <f t="shared" si="9"/>
        <v>0.58793468546405137</v>
      </c>
    </row>
    <row r="33" spans="1:21" ht="17.5" customHeight="1">
      <c r="A33" s="31"/>
      <c r="B33" s="32" t="s">
        <v>178</v>
      </c>
      <c r="C33" s="32"/>
      <c r="D33" s="37"/>
      <c r="E33" s="53">
        <v>5.3676865271068172E-2</v>
      </c>
      <c r="F33" s="53">
        <v>9.2735703245749632E-2</v>
      </c>
      <c r="G33" s="53">
        <v>3.9013732833957551E-2</v>
      </c>
      <c r="H33" s="53">
        <v>5.155456852791878E-2</v>
      </c>
      <c r="I33" s="53">
        <v>3.7849827026290493E-2</v>
      </c>
      <c r="J33" s="53">
        <v>5.1217398156173669E-2</v>
      </c>
      <c r="K33" s="53">
        <v>5.3504547886570351E-2</v>
      </c>
      <c r="L33" s="53">
        <v>4.5756119881034091E-2</v>
      </c>
      <c r="M33" s="53">
        <v>5.3713522763023609E-2</v>
      </c>
      <c r="N33" s="53">
        <v>4.2599003957834732E-2</v>
      </c>
      <c r="O33" s="53">
        <v>3.1125498007968128E-2</v>
      </c>
      <c r="P33" s="53">
        <v>3.0840400925212029E-2</v>
      </c>
      <c r="Q33" s="34"/>
      <c r="R33" s="23">
        <f t="shared" si="8"/>
        <v>70.352629303602527</v>
      </c>
      <c r="S33" s="51"/>
      <c r="T33" s="47">
        <f t="shared" si="9"/>
        <v>4.8372263221362677E-2</v>
      </c>
    </row>
    <row r="34" spans="1:21">
      <c r="A34" s="31"/>
      <c r="B34" s="56" t="s">
        <v>39</v>
      </c>
      <c r="C34" s="32"/>
      <c r="D34" s="36"/>
      <c r="E34" s="53">
        <v>0.19331339621194696</v>
      </c>
      <c r="F34" s="53">
        <v>0.22874806800618244</v>
      </c>
      <c r="G34" s="53">
        <v>0.19631710362047441</v>
      </c>
      <c r="H34" s="53">
        <v>0.14736675126903553</v>
      </c>
      <c r="I34" s="53">
        <v>0.21650858055578687</v>
      </c>
      <c r="J34" s="53">
        <v>0.20810022850839177</v>
      </c>
      <c r="K34" s="53">
        <v>0.15539249407628217</v>
      </c>
      <c r="L34" s="53">
        <v>0.13063372226035233</v>
      </c>
      <c r="M34" s="53">
        <v>0.12753892312060219</v>
      </c>
      <c r="N34" s="53">
        <v>0.13252937394954731</v>
      </c>
      <c r="O34" s="53">
        <v>0.17906499003984064</v>
      </c>
      <c r="P34" s="53">
        <v>0.18041634541249038</v>
      </c>
      <c r="Q34" s="34"/>
      <c r="R34" s="23">
        <f t="shared" si="8"/>
        <v>246.90688878274429</v>
      </c>
      <c r="S34" s="51"/>
      <c r="T34" s="47">
        <f t="shared" si="9"/>
        <v>0.16976543923931273</v>
      </c>
      <c r="U34" s="48"/>
    </row>
    <row r="35" spans="1:21">
      <c r="A35" s="59"/>
      <c r="B35" s="60"/>
      <c r="C35" s="60"/>
      <c r="D35" s="61"/>
      <c r="E35" s="64">
        <f>SUM(E29:E34)</f>
        <v>1</v>
      </c>
      <c r="F35" s="64">
        <f t="shared" ref="F35:P35" si="10">SUM(F29:F34)</f>
        <v>1.0000000000000002</v>
      </c>
      <c r="G35" s="64">
        <f t="shared" si="10"/>
        <v>1.0000000000000002</v>
      </c>
      <c r="H35" s="64">
        <f t="shared" si="10"/>
        <v>1</v>
      </c>
      <c r="I35" s="64">
        <f t="shared" si="10"/>
        <v>1</v>
      </c>
      <c r="J35" s="64">
        <f t="shared" si="10"/>
        <v>1</v>
      </c>
      <c r="K35" s="64">
        <f t="shared" si="10"/>
        <v>0.99999999999999989</v>
      </c>
      <c r="L35" s="64">
        <f t="shared" si="10"/>
        <v>1.0000000000000002</v>
      </c>
      <c r="M35" s="64">
        <f t="shared" si="10"/>
        <v>1</v>
      </c>
      <c r="N35" s="64">
        <f t="shared" si="10"/>
        <v>1</v>
      </c>
      <c r="O35" s="64">
        <f t="shared" si="10"/>
        <v>1</v>
      </c>
      <c r="P35" s="64">
        <f t="shared" si="10"/>
        <v>1.0000000000000002</v>
      </c>
      <c r="Q35" s="66"/>
      <c r="R35" s="63"/>
      <c r="S35" s="67"/>
      <c r="T35" s="48"/>
      <c r="U35" s="48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1" ht="43.5">
      <c r="A38" s="31"/>
      <c r="B38" s="56" t="s">
        <v>133</v>
      </c>
      <c r="C38" s="31" t="s">
        <v>134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57" t="s">
        <v>133</v>
      </c>
    </row>
    <row r="39" spans="1:21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>R28+R17</f>
        <v>5047.5040000000008</v>
      </c>
      <c r="S39" s="34">
        <f t="shared" ref="S39:S41" si="11">S28+S17</f>
        <v>0</v>
      </c>
      <c r="T39" s="46">
        <f>S39+R39</f>
        <v>5047.5040000000008</v>
      </c>
    </row>
    <row r="40" spans="1:21">
      <c r="A40" s="31"/>
      <c r="B40" s="32" t="s">
        <v>174</v>
      </c>
      <c r="C40" s="32"/>
      <c r="D40" s="37"/>
      <c r="E40" s="53">
        <f>((E10*E18)+(E11*E29))/E12</f>
        <v>3.6943648740834445E-2</v>
      </c>
      <c r="F40" s="53">
        <f t="shared" ref="F40:P40" si="12">((F10*F18)+(F11*F29))/F12</f>
        <v>3.4487384758193559E-2</v>
      </c>
      <c r="G40" s="53">
        <f t="shared" si="12"/>
        <v>3.8128592980872719E-2</v>
      </c>
      <c r="H40" s="53">
        <f t="shared" si="12"/>
        <v>1.863160185901264E-2</v>
      </c>
      <c r="I40" s="53">
        <f t="shared" si="12"/>
        <v>3.5026069134185649E-2</v>
      </c>
      <c r="J40" s="53">
        <f t="shared" si="12"/>
        <v>3.0169169107255863E-2</v>
      </c>
      <c r="K40" s="53">
        <f t="shared" si="12"/>
        <v>1.8338740412906951E-2</v>
      </c>
      <c r="L40" s="53">
        <f t="shared" si="12"/>
        <v>2.0561535808420819E-2</v>
      </c>
      <c r="M40" s="53">
        <f t="shared" si="12"/>
        <v>2.371126590996436E-2</v>
      </c>
      <c r="N40" s="53">
        <f t="shared" si="12"/>
        <v>3.4080382427689355E-2</v>
      </c>
      <c r="O40" s="53">
        <f t="shared" si="12"/>
        <v>4.4393345688699425E-2</v>
      </c>
      <c r="P40" s="53">
        <f t="shared" si="12"/>
        <v>3.6323622781850549E-2</v>
      </c>
      <c r="Q40" s="34"/>
      <c r="R40" s="23">
        <f>R29+R18</f>
        <v>150.02600034052253</v>
      </c>
      <c r="S40" s="34">
        <f t="shared" si="11"/>
        <v>0</v>
      </c>
      <c r="T40" s="47">
        <f>(R40+S40)/$T$39</f>
        <v>2.9722809598669461E-2</v>
      </c>
      <c r="U40" s="393"/>
    </row>
    <row r="41" spans="1:21">
      <c r="A41" s="31"/>
      <c r="B41" s="32" t="s">
        <v>175</v>
      </c>
      <c r="C41" s="32"/>
      <c r="D41" s="37"/>
      <c r="E41" s="53">
        <f>((E10*E19)+(E11*E30))/E12</f>
        <v>6.0966997186019736E-2</v>
      </c>
      <c r="F41" s="53">
        <f t="shared" ref="F41:P41" si="13">((F10*F19)+(F11*F30))/F12</f>
        <v>6.4638328519858401E-2</v>
      </c>
      <c r="G41" s="53">
        <f t="shared" si="13"/>
        <v>5.7442726605117879E-2</v>
      </c>
      <c r="H41" s="53">
        <f t="shared" si="13"/>
        <v>5.5431268117561557E-2</v>
      </c>
      <c r="I41" s="53">
        <f t="shared" si="13"/>
        <v>5.9441325504315565E-2</v>
      </c>
      <c r="J41" s="53">
        <f t="shared" si="13"/>
        <v>4.4893406380781951E-2</v>
      </c>
      <c r="K41" s="53">
        <f t="shared" si="13"/>
        <v>5.7550756635514511E-2</v>
      </c>
      <c r="L41" s="53">
        <f t="shared" si="13"/>
        <v>5.8825948817007423E-2</v>
      </c>
      <c r="M41" s="53">
        <f t="shared" si="13"/>
        <v>5.1977976923463051E-2</v>
      </c>
      <c r="N41" s="53">
        <f t="shared" si="13"/>
        <v>7.7444160453345193E-2</v>
      </c>
      <c r="O41" s="53">
        <f t="shared" si="13"/>
        <v>7.2423354940375301E-2</v>
      </c>
      <c r="P41" s="53">
        <f t="shared" si="13"/>
        <v>7.0450480199232682E-2</v>
      </c>
      <c r="Q41" s="34"/>
      <c r="R41" s="23">
        <f>R30+R19</f>
        <v>304.78929704290238</v>
      </c>
      <c r="S41" s="34">
        <f t="shared" si="11"/>
        <v>0</v>
      </c>
      <c r="T41" s="47">
        <f>(R41+S41)/$T$39</f>
        <v>6.0384161566370692E-2</v>
      </c>
      <c r="U41" s="393"/>
    </row>
    <row r="42" spans="1:21">
      <c r="A42" s="31"/>
      <c r="B42" s="394" t="s">
        <v>213</v>
      </c>
      <c r="C42" s="32"/>
      <c r="D42" s="37"/>
      <c r="E42" s="53">
        <f>((E10*E20)+(E11*E31))/E12</f>
        <v>5.7146578920160805E-2</v>
      </c>
      <c r="F42" s="53">
        <f t="shared" ref="F42:P42" si="14">((F10*F20)+(F11*F31))/F12</f>
        <v>4.5001380059337376E-2</v>
      </c>
      <c r="G42" s="53">
        <f t="shared" si="14"/>
        <v>6.5697331209772322E-2</v>
      </c>
      <c r="H42" s="53">
        <f t="shared" si="14"/>
        <v>4.8283095766382698E-2</v>
      </c>
      <c r="I42" s="53">
        <f t="shared" si="14"/>
        <v>6.0485130118510179E-2</v>
      </c>
      <c r="J42" s="53">
        <f t="shared" si="14"/>
        <v>5.7610620513014882E-2</v>
      </c>
      <c r="K42" s="53">
        <f t="shared" si="14"/>
        <v>5.6167179880832203E-2</v>
      </c>
      <c r="L42" s="53">
        <f t="shared" si="14"/>
        <v>6.0839155806247103E-2</v>
      </c>
      <c r="M42" s="53">
        <f t="shared" si="14"/>
        <v>7.8647308870132188E-2</v>
      </c>
      <c r="N42" s="53">
        <f t="shared" si="14"/>
        <v>5.0163134608562435E-2</v>
      </c>
      <c r="O42" s="53">
        <f t="shared" si="14"/>
        <v>4.8337053310383744E-2</v>
      </c>
      <c r="P42" s="53">
        <f t="shared" si="14"/>
        <v>3.5888119422362953E-2</v>
      </c>
      <c r="Q42" s="34"/>
      <c r="R42" s="23">
        <f t="shared" ref="R42:S45" si="15">R31+R20</f>
        <v>284.10539719530777</v>
      </c>
      <c r="S42" s="34">
        <f t="shared" si="15"/>
        <v>0</v>
      </c>
      <c r="T42" s="47">
        <f t="shared" ref="T42:T45" si="16">(R42+S42)/$T$39</f>
        <v>5.628631442299159E-2</v>
      </c>
      <c r="U42" s="393"/>
    </row>
    <row r="43" spans="1:21">
      <c r="A43" s="31"/>
      <c r="B43" s="32" t="s">
        <v>176</v>
      </c>
      <c r="C43" s="32"/>
      <c r="D43" s="37"/>
      <c r="E43" s="53">
        <f>((E10*E21)+(E11*E32))/E12</f>
        <v>0.68952062869262709</v>
      </c>
      <c r="F43" s="53">
        <f t="shared" ref="F43:P43" si="17">((F10*F21)+(F11*F32))/F12</f>
        <v>0.66438959029113587</v>
      </c>
      <c r="G43" s="53">
        <f t="shared" si="17"/>
        <v>0.68931989853405051</v>
      </c>
      <c r="H43" s="53">
        <f t="shared" si="17"/>
        <v>0.71261294826885258</v>
      </c>
      <c r="I43" s="53">
        <f t="shared" si="17"/>
        <v>0.65028764770884495</v>
      </c>
      <c r="J43" s="53">
        <f t="shared" si="17"/>
        <v>0.66608448385528762</v>
      </c>
      <c r="K43" s="53">
        <f t="shared" si="17"/>
        <v>0.70983583076676282</v>
      </c>
      <c r="L43" s="53">
        <f t="shared" si="17"/>
        <v>0.7077571094395898</v>
      </c>
      <c r="M43" s="53">
        <f t="shared" si="17"/>
        <v>0.71180372469552478</v>
      </c>
      <c r="N43" s="53">
        <f t="shared" si="17"/>
        <v>0.71130999593128996</v>
      </c>
      <c r="O43" s="53">
        <f t="shared" si="17"/>
        <v>0.6967372294188966</v>
      </c>
      <c r="P43" s="53">
        <f t="shared" si="17"/>
        <v>0.66184826526550666</v>
      </c>
      <c r="Q43" s="34"/>
      <c r="R43" s="23">
        <f t="shared" si="15"/>
        <v>3491.9956464049669</v>
      </c>
      <c r="S43" s="34">
        <f t="shared" si="15"/>
        <v>0</v>
      </c>
      <c r="T43" s="47">
        <f t="shared" si="16"/>
        <v>0.69182622666667848</v>
      </c>
      <c r="U43" s="393"/>
    </row>
    <row r="44" spans="1:21" ht="17.5" customHeight="1">
      <c r="A44" s="31"/>
      <c r="B44" s="32" t="s">
        <v>178</v>
      </c>
      <c r="C44" s="32"/>
      <c r="D44" s="37"/>
      <c r="E44" s="53">
        <f>((E10*E22)+(E11*E33))/E12</f>
        <v>2.6922031185032912E-2</v>
      </c>
      <c r="F44" s="53">
        <f t="shared" ref="F44:P44" si="18">((F10*F22)+(F11*F33))/F12</f>
        <v>4.1303204424217824E-2</v>
      </c>
      <c r="G44" s="53">
        <f t="shared" si="18"/>
        <v>2.9021311448582228E-2</v>
      </c>
      <c r="H44" s="53">
        <f t="shared" si="18"/>
        <v>4.2218737704367598E-2</v>
      </c>
      <c r="I44" s="53">
        <f t="shared" si="18"/>
        <v>3.8952419593225519E-2</v>
      </c>
      <c r="J44" s="53">
        <f t="shared" si="18"/>
        <v>4.3269540157455516E-2</v>
      </c>
      <c r="K44" s="53">
        <f t="shared" si="18"/>
        <v>3.7202246842694124E-2</v>
      </c>
      <c r="L44" s="53">
        <f t="shared" si="18"/>
        <v>2.9090670657294749E-2</v>
      </c>
      <c r="M44" s="53">
        <f t="shared" si="18"/>
        <v>2.1796447509052831E-2</v>
      </c>
      <c r="N44" s="53">
        <f t="shared" si="18"/>
        <v>2.182417925010709E-2</v>
      </c>
      <c r="O44" s="53">
        <f t="shared" si="18"/>
        <v>1.9334821324153498E-2</v>
      </c>
      <c r="P44" s="53">
        <f t="shared" si="18"/>
        <v>2.5425590008987028E-2</v>
      </c>
      <c r="Q44" s="34"/>
      <c r="R44" s="23">
        <f t="shared" si="15"/>
        <v>156.99138074335804</v>
      </c>
      <c r="S44" s="34">
        <f>S33+S22</f>
        <v>0</v>
      </c>
      <c r="T44" s="47">
        <f t="shared" si="16"/>
        <v>3.1102774904855551E-2</v>
      </c>
      <c r="U44" s="393"/>
    </row>
    <row r="45" spans="1:21">
      <c r="A45" s="31"/>
      <c r="B45" s="56" t="s">
        <v>39</v>
      </c>
      <c r="C45" s="32"/>
      <c r="D45" s="36"/>
      <c r="E45" s="53">
        <f>((E10*E23)+(E11*E34))/E12</f>
        <v>0.12850011527532493</v>
      </c>
      <c r="F45" s="53">
        <f t="shared" ref="F45:P45" si="19">((F10*F23)+(F11*F34))/F12</f>
        <v>0.15018011194725728</v>
      </c>
      <c r="G45" s="53">
        <f t="shared" si="19"/>
        <v>0.12039013922160448</v>
      </c>
      <c r="H45" s="53">
        <f t="shared" si="19"/>
        <v>0.12282234828382288</v>
      </c>
      <c r="I45" s="53">
        <f t="shared" si="19"/>
        <v>0.1558074079409183</v>
      </c>
      <c r="J45" s="53">
        <f t="shared" si="19"/>
        <v>0.15797277998620424</v>
      </c>
      <c r="K45" s="53">
        <f t="shared" si="19"/>
        <v>0.12090524546128942</v>
      </c>
      <c r="L45" s="53">
        <f t="shared" si="19"/>
        <v>0.12292557947144027</v>
      </c>
      <c r="M45" s="53">
        <f t="shared" si="19"/>
        <v>0.11206327609186274</v>
      </c>
      <c r="N45" s="53">
        <f t="shared" si="19"/>
        <v>0.10517814732900614</v>
      </c>
      <c r="O45" s="53">
        <f t="shared" si="19"/>
        <v>0.11877419531749143</v>
      </c>
      <c r="P45" s="53">
        <f t="shared" si="19"/>
        <v>0.17006392232206011</v>
      </c>
      <c r="Q45" s="34"/>
      <c r="R45" s="23">
        <f t="shared" si="15"/>
        <v>659.59627827294241</v>
      </c>
      <c r="S45" s="34">
        <f t="shared" si="15"/>
        <v>0</v>
      </c>
      <c r="T45" s="47">
        <f t="shared" si="16"/>
        <v>0.13067771284043406</v>
      </c>
      <c r="U45" s="393"/>
    </row>
    <row r="46" spans="1:21">
      <c r="A46" s="59"/>
      <c r="B46" s="60"/>
      <c r="C46" s="60"/>
      <c r="D46" s="61"/>
      <c r="E46" s="64">
        <f>SUM(E40:E45)</f>
        <v>0.99999999999999989</v>
      </c>
      <c r="F46" s="64">
        <f t="shared" ref="F46:P46" si="20">SUM(F40:F45)</f>
        <v>1.0000000000000002</v>
      </c>
      <c r="G46" s="64">
        <f t="shared" si="20"/>
        <v>1.0000000000000002</v>
      </c>
      <c r="H46" s="64">
        <f t="shared" si="20"/>
        <v>0.99999999999999989</v>
      </c>
      <c r="I46" s="64">
        <f t="shared" si="20"/>
        <v>1</v>
      </c>
      <c r="J46" s="64">
        <f t="shared" si="20"/>
        <v>1</v>
      </c>
      <c r="K46" s="64">
        <f t="shared" si="20"/>
        <v>1</v>
      </c>
      <c r="L46" s="64">
        <f t="shared" si="20"/>
        <v>1.0000000000000002</v>
      </c>
      <c r="M46" s="64">
        <f t="shared" si="20"/>
        <v>1</v>
      </c>
      <c r="N46" s="64">
        <f t="shared" si="20"/>
        <v>1.0000000000000002</v>
      </c>
      <c r="O46" s="64">
        <f t="shared" si="20"/>
        <v>1</v>
      </c>
      <c r="P46" s="64">
        <f t="shared" si="20"/>
        <v>1</v>
      </c>
      <c r="Q46" s="66"/>
      <c r="R46" s="63"/>
      <c r="T46" s="48"/>
      <c r="U46" s="48"/>
    </row>
    <row r="47" spans="1:21" ht="29">
      <c r="A47" s="30" t="s">
        <v>146</v>
      </c>
      <c r="B47" s="43" t="s">
        <v>211</v>
      </c>
      <c r="C47" s="30" t="s">
        <v>148</v>
      </c>
      <c r="D47" s="388">
        <f>SUM(E47:P47)</f>
        <v>138.66200000000001</v>
      </c>
      <c r="E47" s="260">
        <v>28.284000000000002</v>
      </c>
      <c r="F47" s="260">
        <v>18.09</v>
      </c>
      <c r="G47" s="260">
        <v>9.2560000000000002</v>
      </c>
      <c r="H47" s="260">
        <v>3.19</v>
      </c>
      <c r="I47" s="260">
        <v>16.111999999999998</v>
      </c>
      <c r="J47" s="260">
        <v>6.8999999999999995</v>
      </c>
      <c r="K47" s="260">
        <v>18.02</v>
      </c>
      <c r="L47" s="260">
        <v>14.416000000000002</v>
      </c>
      <c r="M47" s="260">
        <v>19</v>
      </c>
      <c r="N47" s="260">
        <v>0</v>
      </c>
      <c r="O47" s="260">
        <v>0</v>
      </c>
      <c r="P47" s="260">
        <v>5.3940000000000001</v>
      </c>
      <c r="R47" s="52"/>
    </row>
    <row r="48" spans="1:21" ht="29">
      <c r="A48" s="30"/>
      <c r="B48" s="43" t="s">
        <v>212</v>
      </c>
      <c r="C48" s="30"/>
      <c r="D48" s="388">
        <f>SUM(E48:P48)</f>
        <v>171.61999999999998</v>
      </c>
      <c r="E48" s="260">
        <v>23.7</v>
      </c>
      <c r="F48" s="260">
        <v>22.7</v>
      </c>
      <c r="G48" s="260">
        <v>31.5</v>
      </c>
      <c r="H48" s="260">
        <v>17.600000000000001</v>
      </c>
      <c r="I48" s="260">
        <v>10.57</v>
      </c>
      <c r="J48" s="260">
        <v>3</v>
      </c>
      <c r="K48" s="260">
        <v>2.9</v>
      </c>
      <c r="L48" s="260">
        <v>4.05</v>
      </c>
      <c r="M48" s="260">
        <v>37.799999999999997</v>
      </c>
      <c r="N48" s="260">
        <v>8.6999999999999993</v>
      </c>
      <c r="O48" s="260">
        <v>3.9</v>
      </c>
      <c r="P48" s="260">
        <v>5.2</v>
      </c>
      <c r="R48" s="107"/>
    </row>
    <row r="49" spans="1:16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ht="29">
      <c r="A50" s="31" t="s">
        <v>150</v>
      </c>
      <c r="B50" s="43" t="s">
        <v>151</v>
      </c>
      <c r="C50" s="31" t="s">
        <v>152</v>
      </c>
      <c r="D50" s="32">
        <f>SUM(E50:P50)</f>
        <v>457</v>
      </c>
      <c r="E50" s="32">
        <f>E52+E51</f>
        <v>30</v>
      </c>
      <c r="F50" s="32">
        <f t="shared" ref="F50:P50" si="21">F52+F51</f>
        <v>58</v>
      </c>
      <c r="G50" s="32">
        <f t="shared" si="21"/>
        <v>34</v>
      </c>
      <c r="H50" s="32">
        <f t="shared" si="21"/>
        <v>32</v>
      </c>
      <c r="I50" s="32">
        <f t="shared" si="21"/>
        <v>33</v>
      </c>
      <c r="J50" s="32">
        <f t="shared" si="21"/>
        <v>24</v>
      </c>
      <c r="K50" s="32">
        <f t="shared" si="21"/>
        <v>31</v>
      </c>
      <c r="L50" s="32">
        <f t="shared" si="21"/>
        <v>32</v>
      </c>
      <c r="M50" s="32">
        <f t="shared" si="21"/>
        <v>36</v>
      </c>
      <c r="N50" s="32">
        <f t="shared" si="21"/>
        <v>46</v>
      </c>
      <c r="O50" s="32">
        <f t="shared" si="21"/>
        <v>46</v>
      </c>
      <c r="P50" s="32">
        <f t="shared" si="21"/>
        <v>55</v>
      </c>
    </row>
    <row r="51" spans="1:16" ht="43.5">
      <c r="A51" s="31"/>
      <c r="B51" s="313" t="s">
        <v>157</v>
      </c>
      <c r="C51" s="31"/>
      <c r="D51" s="32">
        <f>SUM(E51:P51)</f>
        <v>306</v>
      </c>
      <c r="E51" s="52">
        <v>18</v>
      </c>
      <c r="F51" s="52">
        <v>48</v>
      </c>
      <c r="G51" s="52">
        <v>20</v>
      </c>
      <c r="H51" s="52">
        <v>16</v>
      </c>
      <c r="I51" s="52">
        <v>22</v>
      </c>
      <c r="J51" s="52">
        <v>14</v>
      </c>
      <c r="K51" s="52">
        <v>18</v>
      </c>
      <c r="L51" s="52">
        <v>18</v>
      </c>
      <c r="M51" s="52">
        <v>24</v>
      </c>
      <c r="N51" s="52">
        <v>30</v>
      </c>
      <c r="O51" s="52">
        <v>36</v>
      </c>
      <c r="P51" s="52">
        <v>42</v>
      </c>
    </row>
    <row r="52" spans="1:16" ht="43.5">
      <c r="A52" s="31"/>
      <c r="B52" s="313" t="s">
        <v>158</v>
      </c>
      <c r="C52" s="31"/>
      <c r="D52" s="32">
        <f>SUM(E52:P52)</f>
        <v>151</v>
      </c>
      <c r="E52" s="52">
        <v>12</v>
      </c>
      <c r="F52" s="52">
        <v>10</v>
      </c>
      <c r="G52" s="52">
        <v>14</v>
      </c>
      <c r="H52" s="52">
        <v>16</v>
      </c>
      <c r="I52" s="52">
        <v>11</v>
      </c>
      <c r="J52" s="52">
        <v>10</v>
      </c>
      <c r="K52" s="52">
        <v>13</v>
      </c>
      <c r="L52" s="52">
        <v>14</v>
      </c>
      <c r="M52" s="52">
        <v>12</v>
      </c>
      <c r="N52" s="52">
        <v>16</v>
      </c>
      <c r="O52" s="52">
        <v>10</v>
      </c>
      <c r="P52" s="52">
        <v>13</v>
      </c>
    </row>
    <row r="53" spans="1:16">
      <c r="A53" s="30"/>
      <c r="C53" s="30"/>
    </row>
  </sheetData>
  <mergeCells count="1">
    <mergeCell ref="E1:P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1"/>
  <sheetViews>
    <sheetView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0F00-000000000000}">
      <formula1>"resellers,big customer,others"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91"/>
  <sheetViews>
    <sheetView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38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ref="R39:S42" si="7">R28+R17</f>
        <v>0</v>
      </c>
      <c r="S39" s="34">
        <f t="shared" si="7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7"/>
        <v>0</v>
      </c>
      <c r="S40" s="34">
        <f t="shared" si="7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7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7"/>
        <v>0</v>
      </c>
      <c r="S42" s="34">
        <f t="shared" si="7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8">F48-F47</f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 t="shared" si="8"/>
        <v>0</v>
      </c>
      <c r="K46" s="32">
        <f t="shared" si="8"/>
        <v>0</v>
      </c>
      <c r="L46" s="32">
        <f t="shared" si="8"/>
        <v>0</v>
      </c>
      <c r="M46" s="32">
        <f t="shared" si="8"/>
        <v>0</v>
      </c>
      <c r="N46" s="32">
        <f t="shared" si="8"/>
        <v>0</v>
      </c>
      <c r="O46" s="32">
        <f t="shared" si="8"/>
        <v>0</v>
      </c>
      <c r="P46" s="32">
        <f t="shared" si="8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00000000-0002-0000-1000-000000000000}">
      <formula1>"resellers,big customer,others"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CA8E-23DA-4B42-849A-7C72DEBB1984}">
  <dimension ref="A1:U91"/>
  <sheetViews>
    <sheetView topLeftCell="K1" workbookViewId="0">
      <selection activeCell="A36" sqref="A36:XFD36"/>
    </sheetView>
  </sheetViews>
  <sheetFormatPr baseColWidth="10" defaultColWidth="8.7265625" defaultRowHeight="14.5"/>
  <cols>
    <col min="1" max="1" width="6.179687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customWidth="1"/>
    <col min="21" max="256" width="11.453125" customWidth="1"/>
  </cols>
  <sheetData>
    <row r="1" spans="1:21">
      <c r="A1" s="26"/>
      <c r="B1" s="27"/>
      <c r="D1" s="28"/>
      <c r="E1" s="28"/>
      <c r="F1" s="28"/>
      <c r="G1" s="28"/>
      <c r="H1" s="28"/>
    </row>
    <row r="2" spans="1:21" ht="29">
      <c r="A2" s="29" t="s">
        <v>102</v>
      </c>
      <c r="B2" s="29" t="s">
        <v>103</v>
      </c>
      <c r="D2" s="28" t="s">
        <v>104</v>
      </c>
      <c r="E2" s="69" t="s">
        <v>159</v>
      </c>
      <c r="F2" s="69" t="s">
        <v>160</v>
      </c>
      <c r="G2" s="69" t="s">
        <v>161</v>
      </c>
      <c r="H2" s="69" t="s">
        <v>162</v>
      </c>
      <c r="I2" s="69" t="s">
        <v>163</v>
      </c>
      <c r="J2" s="69" t="s">
        <v>164</v>
      </c>
      <c r="K2" s="69" t="s">
        <v>165</v>
      </c>
      <c r="L2" s="69" t="s">
        <v>166</v>
      </c>
      <c r="M2" s="69" t="s">
        <v>167</v>
      </c>
      <c r="N2" s="69" t="s">
        <v>168</v>
      </c>
      <c r="O2" s="69" t="s">
        <v>169</v>
      </c>
      <c r="P2" s="69" t="s">
        <v>170</v>
      </c>
      <c r="R2" s="69" t="s">
        <v>40</v>
      </c>
    </row>
    <row r="3" spans="1:21" ht="57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1" ht="46" hidden="1">
      <c r="A4" s="30" t="s">
        <v>120</v>
      </c>
      <c r="B4" s="30" t="s">
        <v>121</v>
      </c>
      <c r="C4" s="30"/>
      <c r="D4" s="51">
        <v>298</v>
      </c>
    </row>
    <row r="5" spans="1:21" ht="34.5" hidden="1">
      <c r="A5" s="50" t="s">
        <v>60</v>
      </c>
      <c r="B5" s="30" t="s">
        <v>122</v>
      </c>
      <c r="C5" s="30"/>
      <c r="D5" s="51">
        <v>0</v>
      </c>
    </row>
    <row r="6" spans="1:21" ht="48" customHeight="1">
      <c r="A6" s="31" t="s">
        <v>171</v>
      </c>
      <c r="B6" s="31" t="s">
        <v>153</v>
      </c>
      <c r="C6" s="31" t="s">
        <v>154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ht="29">
      <c r="A7" s="31"/>
      <c r="B7" s="42" t="s">
        <v>172</v>
      </c>
      <c r="C7" s="32"/>
      <c r="D7" s="78">
        <f>SUM(E7:P7)</f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32"/>
      <c r="R7" s="32"/>
    </row>
    <row r="8" spans="1:21" ht="29">
      <c r="A8" s="31"/>
      <c r="B8" s="42" t="s">
        <v>173</v>
      </c>
      <c r="C8" s="32"/>
      <c r="D8" s="32">
        <f>SUM(E8:P8)</f>
        <v>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32"/>
      <c r="R8" s="32"/>
    </row>
    <row r="9" spans="1:21">
      <c r="A9" s="32"/>
      <c r="B9" s="40" t="s">
        <v>130</v>
      </c>
      <c r="C9" s="40"/>
      <c r="D9" s="41">
        <f>SUM(E9:P9)</f>
        <v>0</v>
      </c>
      <c r="E9" s="41">
        <f>SUM(E7:E8)</f>
        <v>0</v>
      </c>
      <c r="F9" s="41">
        <f t="shared" ref="F9:P9" si="0">SUM(F7:F8)</f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  <c r="J9" s="41">
        <f t="shared" si="0"/>
        <v>0</v>
      </c>
      <c r="K9" s="41">
        <f t="shared" si="0"/>
        <v>0</v>
      </c>
      <c r="L9" s="41">
        <f t="shared" si="0"/>
        <v>0</v>
      </c>
      <c r="M9" s="41">
        <f t="shared" si="0"/>
        <v>0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32"/>
      <c r="R9" s="32"/>
    </row>
    <row r="11" spans="1:21">
      <c r="A11" s="43"/>
      <c r="B11" s="68" t="s">
        <v>131</v>
      </c>
      <c r="C11" s="3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4"/>
      <c r="R11" s="23"/>
    </row>
    <row r="12" spans="1:21">
      <c r="A12" s="31"/>
      <c r="B12" s="33" t="s">
        <v>132</v>
      </c>
      <c r="C12" s="32"/>
      <c r="D12" s="40">
        <f>SUM(E12:P12)</f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32"/>
      <c r="R12" s="32"/>
    </row>
    <row r="13" spans="1:21" ht="58">
      <c r="A13" s="31"/>
      <c r="B13" s="56" t="s">
        <v>133</v>
      </c>
      <c r="C13" s="31" t="s">
        <v>134</v>
      </c>
      <c r="D13" s="32"/>
      <c r="E13" s="23"/>
      <c r="F13" s="55"/>
      <c r="G13" s="23"/>
      <c r="H13" s="23"/>
      <c r="I13" s="23"/>
      <c r="J13" s="23"/>
      <c r="K13" s="23"/>
      <c r="L13" s="23"/>
      <c r="M13" s="23"/>
      <c r="N13" s="32"/>
      <c r="O13" s="32"/>
      <c r="P13" s="32"/>
      <c r="Q13" s="32"/>
      <c r="R13" s="44" t="s">
        <v>135</v>
      </c>
      <c r="S13" s="58" t="s">
        <v>136</v>
      </c>
      <c r="T13" s="57" t="s">
        <v>133</v>
      </c>
    </row>
    <row r="14" spans="1:21">
      <c r="A14" s="31"/>
      <c r="B14" s="32"/>
      <c r="C14" s="31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4"/>
      <c r="R14" s="23">
        <f>SUM(R15:R20)</f>
        <v>0</v>
      </c>
      <c r="S14">
        <f>SUM(S15:S20)</f>
        <v>0</v>
      </c>
      <c r="T14" s="46">
        <f>S14+R14</f>
        <v>0</v>
      </c>
    </row>
    <row r="15" spans="1:21">
      <c r="A15" s="31"/>
      <c r="B15" s="32" t="s">
        <v>174</v>
      </c>
      <c r="C15" s="32"/>
      <c r="D15" s="36"/>
      <c r="E15" s="53"/>
      <c r="F15" s="53"/>
      <c r="G15" s="53"/>
      <c r="H15" s="53"/>
      <c r="I15" s="53"/>
      <c r="J15" s="53"/>
      <c r="K15" s="53"/>
      <c r="L15" s="54"/>
      <c r="M15" s="54"/>
      <c r="N15" s="53"/>
      <c r="O15" s="54"/>
      <c r="P15" s="53"/>
      <c r="Q15" s="34"/>
      <c r="R15" s="23">
        <f t="shared" ref="R15:R20" si="1">E15*$E$7+F15*$F$7+G15*$G$7+H15*$H$7+I15*$I$7+J15*$J$7+K15*$K$7+L15*$L$7+M15*$M$7+N15*$N$7+O15*$O$7+P15*$P$7</f>
        <v>0</v>
      </c>
      <c r="S15" s="51"/>
      <c r="T15" s="47" t="e">
        <f t="shared" ref="T15:T20" si="2">(R15+S15)/$T$14</f>
        <v>#DIV/0!</v>
      </c>
      <c r="U15" s="48"/>
    </row>
    <row r="16" spans="1:21">
      <c r="A16" s="31"/>
      <c r="B16" s="32" t="s">
        <v>175</v>
      </c>
      <c r="C16" s="32"/>
      <c r="D16" s="36"/>
      <c r="E16" s="53"/>
      <c r="F16" s="53"/>
      <c r="G16" s="53"/>
      <c r="H16" s="53"/>
      <c r="I16" s="53"/>
      <c r="J16" s="53"/>
      <c r="K16" s="53"/>
      <c r="L16" s="54"/>
      <c r="M16" s="54"/>
      <c r="N16" s="53"/>
      <c r="O16" s="54"/>
      <c r="P16" s="53"/>
      <c r="Q16" s="34"/>
      <c r="R16" s="23">
        <f t="shared" si="1"/>
        <v>0</v>
      </c>
      <c r="S16" s="51"/>
      <c r="T16" s="47" t="e">
        <f t="shared" si="2"/>
        <v>#DIV/0!</v>
      </c>
      <c r="U16" s="48"/>
    </row>
    <row r="17" spans="1:21">
      <c r="A17" s="31"/>
      <c r="B17" s="32" t="s">
        <v>176</v>
      </c>
      <c r="C17" s="32"/>
      <c r="D17" s="36"/>
      <c r="E17" s="53"/>
      <c r="F17" s="53"/>
      <c r="G17" s="53"/>
      <c r="H17" s="53"/>
      <c r="I17" s="53"/>
      <c r="J17" s="53"/>
      <c r="K17" s="53"/>
      <c r="L17" s="54"/>
      <c r="M17" s="54"/>
      <c r="N17" s="53"/>
      <c r="O17" s="54"/>
      <c r="P17" s="53"/>
      <c r="Q17" s="34"/>
      <c r="R17" s="23">
        <f t="shared" si="1"/>
        <v>0</v>
      </c>
      <c r="S17" s="51"/>
      <c r="T17" s="47" t="e">
        <f t="shared" si="2"/>
        <v>#DIV/0!</v>
      </c>
      <c r="U17" s="48"/>
    </row>
    <row r="18" spans="1:21">
      <c r="A18" s="31"/>
      <c r="B18" s="32" t="s">
        <v>177</v>
      </c>
      <c r="C18" s="32"/>
      <c r="D18" s="36"/>
      <c r="E18" s="53"/>
      <c r="F18" s="53"/>
      <c r="G18" s="53"/>
      <c r="H18" s="53"/>
      <c r="I18" s="53"/>
      <c r="J18" s="53"/>
      <c r="K18" s="53"/>
      <c r="L18" s="54"/>
      <c r="M18" s="54"/>
      <c r="N18" s="53"/>
      <c r="O18" s="54"/>
      <c r="P18" s="53"/>
      <c r="Q18" s="34"/>
      <c r="R18" s="23">
        <f t="shared" si="1"/>
        <v>0</v>
      </c>
      <c r="S18" s="51"/>
      <c r="T18" s="47" t="e">
        <f t="shared" si="2"/>
        <v>#DIV/0!</v>
      </c>
      <c r="U18" s="48"/>
    </row>
    <row r="19" spans="1:21">
      <c r="A19" s="31"/>
      <c r="B19" s="32" t="s">
        <v>178</v>
      </c>
      <c r="C19" s="32"/>
      <c r="D19" s="36"/>
      <c r="E19" s="53"/>
      <c r="F19" s="53"/>
      <c r="G19" s="53"/>
      <c r="H19" s="53"/>
      <c r="I19" s="53"/>
      <c r="J19" s="53"/>
      <c r="K19" s="53"/>
      <c r="L19" s="54"/>
      <c r="M19" s="54"/>
      <c r="N19" s="53"/>
      <c r="O19" s="54"/>
      <c r="P19" s="53"/>
      <c r="Q19" s="34"/>
      <c r="R19" s="23">
        <f t="shared" si="1"/>
        <v>0</v>
      </c>
      <c r="S19" s="51"/>
      <c r="T19" s="47" t="e">
        <f t="shared" si="2"/>
        <v>#DIV/0!</v>
      </c>
      <c r="U19" s="48"/>
    </row>
    <row r="20" spans="1:21">
      <c r="A20" s="31"/>
      <c r="B20" s="32" t="s">
        <v>179</v>
      </c>
      <c r="C20" s="32"/>
      <c r="D20" s="36"/>
      <c r="E20" s="74"/>
      <c r="F20" s="53"/>
      <c r="G20" s="53"/>
      <c r="H20" s="53"/>
      <c r="I20" s="53"/>
      <c r="J20" s="53"/>
      <c r="K20" s="53"/>
      <c r="L20" s="54"/>
      <c r="M20" s="54"/>
      <c r="N20" s="53"/>
      <c r="O20" s="54"/>
      <c r="P20" s="53"/>
      <c r="Q20" s="34"/>
      <c r="R20" s="23">
        <f t="shared" si="1"/>
        <v>0</v>
      </c>
      <c r="S20" s="51"/>
      <c r="T20" s="47" t="e">
        <f t="shared" si="2"/>
        <v>#DIV/0!</v>
      </c>
      <c r="U20" s="48"/>
    </row>
    <row r="21" spans="1:21">
      <c r="A21" s="59"/>
      <c r="B21" s="60"/>
      <c r="C21" s="60"/>
      <c r="D21" s="72"/>
      <c r="E21" s="76"/>
      <c r="F21" s="73"/>
      <c r="G21" s="73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T21" s="48"/>
      <c r="U21" s="48"/>
    </row>
    <row r="22" spans="1:21">
      <c r="A22" s="43"/>
      <c r="B22" s="68" t="s">
        <v>141</v>
      </c>
      <c r="C22" s="32"/>
      <c r="D22" s="37"/>
      <c r="E22" s="7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23"/>
    </row>
    <row r="23" spans="1:21">
      <c r="A23" s="31"/>
      <c r="B23" s="33" t="s">
        <v>132</v>
      </c>
      <c r="C23" s="32"/>
      <c r="D23" s="37"/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34"/>
      <c r="R23" s="23"/>
    </row>
    <row r="24" spans="1:21" ht="58">
      <c r="A24" s="31"/>
      <c r="B24" s="56" t="s">
        <v>133</v>
      </c>
      <c r="C24" s="3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4"/>
      <c r="R24" s="44" t="s">
        <v>135</v>
      </c>
      <c r="S24" s="58" t="s">
        <v>136</v>
      </c>
      <c r="T24" s="57" t="s">
        <v>133</v>
      </c>
    </row>
    <row r="25" spans="1:21">
      <c r="A25" s="31"/>
      <c r="B25" s="32"/>
      <c r="C25" s="3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4"/>
      <c r="R25" s="23">
        <f>SUM(R26:R31)</f>
        <v>0</v>
      </c>
      <c r="S25">
        <f>SUM(S26:S31)</f>
        <v>0</v>
      </c>
      <c r="T25" s="46">
        <f>S25+R25</f>
        <v>0</v>
      </c>
    </row>
    <row r="26" spans="1:21">
      <c r="A26" s="31"/>
      <c r="B26" s="32" t="s">
        <v>174</v>
      </c>
      <c r="C26" s="32"/>
      <c r="D26" s="37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34"/>
      <c r="R26" s="23">
        <f t="shared" ref="R26:R31" si="3">E26*$E$8+F26*$F$8+G26*$G$8+H26*$H$8+I26*$I$8+J26*$J$8+K26*$K$8+L26*$L$8+M26*$M$8+N26*$N$8+O26*$O$8+P26*$P$8</f>
        <v>0</v>
      </c>
      <c r="S26" s="51"/>
      <c r="T26" s="47" t="e">
        <f t="shared" ref="T26:T31" si="4">(R26+S26)/$T$25</f>
        <v>#DIV/0!</v>
      </c>
    </row>
    <row r="27" spans="1:21">
      <c r="A27" s="31"/>
      <c r="B27" s="32" t="s">
        <v>175</v>
      </c>
      <c r="C27" s="32"/>
      <c r="D27" s="37"/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34"/>
      <c r="R27" s="23">
        <f t="shared" si="3"/>
        <v>0</v>
      </c>
      <c r="S27" s="51"/>
      <c r="T27" s="47" t="e">
        <f t="shared" si="4"/>
        <v>#DIV/0!</v>
      </c>
    </row>
    <row r="28" spans="1:21">
      <c r="A28" s="31"/>
      <c r="B28" s="32" t="s">
        <v>176</v>
      </c>
      <c r="C28" s="32"/>
      <c r="D28" s="37"/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34"/>
      <c r="R28" s="23">
        <f t="shared" si="3"/>
        <v>0</v>
      </c>
      <c r="S28" s="51"/>
      <c r="T28" s="47" t="e">
        <f t="shared" si="4"/>
        <v>#DIV/0!</v>
      </c>
    </row>
    <row r="29" spans="1:21">
      <c r="A29" s="31"/>
      <c r="B29" s="32" t="s">
        <v>177</v>
      </c>
      <c r="C29" s="32"/>
      <c r="D29" s="37"/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34"/>
      <c r="R29" s="23">
        <f t="shared" si="3"/>
        <v>0</v>
      </c>
      <c r="S29" s="51"/>
      <c r="T29" s="47" t="e">
        <f t="shared" si="4"/>
        <v>#DIV/0!</v>
      </c>
    </row>
    <row r="30" spans="1:21" ht="17.5" customHeight="1">
      <c r="A30" s="31"/>
      <c r="B30" s="32" t="s">
        <v>178</v>
      </c>
      <c r="C30" s="32"/>
      <c r="D30" s="37"/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34"/>
      <c r="R30" s="23">
        <f t="shared" si="3"/>
        <v>0</v>
      </c>
      <c r="S30" s="51"/>
      <c r="T30" s="47" t="e">
        <f t="shared" si="4"/>
        <v>#DIV/0!</v>
      </c>
    </row>
    <row r="31" spans="1:21">
      <c r="A31" s="31"/>
      <c r="B31" s="32" t="s">
        <v>179</v>
      </c>
      <c r="C31" s="32"/>
      <c r="D31" s="36"/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34"/>
      <c r="R31" s="23">
        <f t="shared" si="3"/>
        <v>0</v>
      </c>
      <c r="S31" s="51"/>
      <c r="T31" s="47" t="e">
        <f t="shared" si="4"/>
        <v>#DIV/0!</v>
      </c>
      <c r="U31" s="48"/>
    </row>
    <row r="32" spans="1:21">
      <c r="A32" s="59"/>
      <c r="B32" s="60"/>
      <c r="C32" s="60"/>
      <c r="D32" s="61"/>
      <c r="E32" s="64"/>
      <c r="F32" s="64"/>
      <c r="G32" s="64"/>
      <c r="H32" s="64"/>
      <c r="I32" s="64"/>
      <c r="J32" s="64"/>
      <c r="K32" s="64"/>
      <c r="L32" s="65"/>
      <c r="M32" s="65"/>
      <c r="N32" s="64"/>
      <c r="O32" s="65"/>
      <c r="P32" s="64"/>
      <c r="Q32" s="66"/>
      <c r="R32" s="63"/>
      <c r="S32" s="67"/>
      <c r="T32" s="48"/>
      <c r="U32" s="48"/>
    </row>
    <row r="33" spans="1:21" ht="29">
      <c r="A33" s="43" t="s">
        <v>143</v>
      </c>
      <c r="B33" s="68" t="s">
        <v>144</v>
      </c>
      <c r="C33" s="3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3"/>
    </row>
    <row r="34" spans="1:21">
      <c r="A34" s="31"/>
      <c r="B34" s="33" t="s">
        <v>132</v>
      </c>
      <c r="C34" s="3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4"/>
      <c r="R34" s="23"/>
    </row>
    <row r="35" spans="1:21" ht="58">
      <c r="A35" s="31"/>
      <c r="B35" s="56" t="s">
        <v>133</v>
      </c>
      <c r="C35" s="3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4"/>
      <c r="R35" s="44" t="s">
        <v>135</v>
      </c>
      <c r="S35" s="58" t="s">
        <v>136</v>
      </c>
      <c r="T35" s="57" t="s">
        <v>133</v>
      </c>
    </row>
    <row r="36" spans="1:21">
      <c r="A36" s="31"/>
      <c r="B36" s="32"/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4"/>
      <c r="R36" s="23">
        <f t="shared" ref="R36:S42" si="5">R25+R14</f>
        <v>0</v>
      </c>
      <c r="S36" s="34">
        <f t="shared" si="5"/>
        <v>0</v>
      </c>
      <c r="T36" s="46">
        <f>S36+R36</f>
        <v>0</v>
      </c>
    </row>
    <row r="37" spans="1:21">
      <c r="A37" s="31"/>
      <c r="B37" s="32" t="s">
        <v>174</v>
      </c>
      <c r="C37" s="32"/>
      <c r="D37" s="3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34"/>
      <c r="R37" s="23">
        <f t="shared" si="5"/>
        <v>0</v>
      </c>
      <c r="S37" s="34">
        <f t="shared" si="5"/>
        <v>0</v>
      </c>
      <c r="T37" s="47" t="e">
        <f t="shared" ref="T37:T42" si="6">(R37+S37)/$T$36</f>
        <v>#DIV/0!</v>
      </c>
    </row>
    <row r="38" spans="1:21">
      <c r="A38" s="31"/>
      <c r="B38" s="32" t="s">
        <v>175</v>
      </c>
      <c r="C38" s="32"/>
      <c r="D38" s="37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34"/>
      <c r="R38" s="23">
        <f t="shared" si="5"/>
        <v>0</v>
      </c>
      <c r="S38" s="34">
        <f t="shared" si="5"/>
        <v>0</v>
      </c>
      <c r="T38" s="47" t="e">
        <f t="shared" si="6"/>
        <v>#DIV/0!</v>
      </c>
    </row>
    <row r="39" spans="1:21">
      <c r="A39" s="31"/>
      <c r="B39" s="32" t="s">
        <v>176</v>
      </c>
      <c r="C39" s="32"/>
      <c r="D39" s="37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23">
        <f t="shared" si="5"/>
        <v>0</v>
      </c>
      <c r="S39" s="34">
        <f t="shared" si="5"/>
        <v>0</v>
      </c>
      <c r="T39" s="47" t="e">
        <f t="shared" si="6"/>
        <v>#DIV/0!</v>
      </c>
    </row>
    <row r="40" spans="1:21">
      <c r="A40" s="31"/>
      <c r="B40" s="32" t="s">
        <v>177</v>
      </c>
      <c r="C40" s="32"/>
      <c r="D40" s="37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34"/>
      <c r="R40" s="23">
        <f t="shared" si="5"/>
        <v>0</v>
      </c>
      <c r="S40" s="34">
        <f t="shared" si="5"/>
        <v>0</v>
      </c>
      <c r="T40" s="47" t="e">
        <f t="shared" si="6"/>
        <v>#DIV/0!</v>
      </c>
    </row>
    <row r="41" spans="1:21" ht="17.5" customHeight="1">
      <c r="A41" s="31"/>
      <c r="B41" s="32" t="s">
        <v>178</v>
      </c>
      <c r="C41" s="32"/>
      <c r="D41" s="37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4"/>
      <c r="R41" s="23">
        <f t="shared" si="5"/>
        <v>0</v>
      </c>
      <c r="S41" s="34">
        <f>S30+S19</f>
        <v>0</v>
      </c>
      <c r="T41" s="47" t="e">
        <f t="shared" si="6"/>
        <v>#DIV/0!</v>
      </c>
    </row>
    <row r="42" spans="1:21">
      <c r="A42" s="31"/>
      <c r="B42" s="32" t="s">
        <v>179</v>
      </c>
      <c r="C42" s="32"/>
      <c r="D42" s="36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34"/>
      <c r="R42" s="23">
        <f t="shared" si="5"/>
        <v>0</v>
      </c>
      <c r="S42" s="34">
        <f t="shared" si="5"/>
        <v>0</v>
      </c>
      <c r="T42" s="47" t="e">
        <f t="shared" si="6"/>
        <v>#DIV/0!</v>
      </c>
      <c r="U42" s="48"/>
    </row>
    <row r="43" spans="1:21">
      <c r="A43" s="59"/>
      <c r="B43" s="60"/>
      <c r="C43" s="60"/>
      <c r="D43" s="61"/>
      <c r="E43" s="64"/>
      <c r="F43" s="64"/>
      <c r="G43" s="64"/>
      <c r="H43" s="64"/>
      <c r="I43" s="64"/>
      <c r="J43" s="64"/>
      <c r="K43" s="64"/>
      <c r="L43" s="65"/>
      <c r="M43" s="65"/>
      <c r="N43" s="64"/>
      <c r="O43" s="65"/>
      <c r="P43" s="64"/>
      <c r="Q43" s="66"/>
      <c r="R43" s="63"/>
      <c r="T43" s="48"/>
      <c r="U43" s="48"/>
    </row>
    <row r="44" spans="1:21" ht="27">
      <c r="A44" s="30" t="s">
        <v>146</v>
      </c>
      <c r="B44" s="38" t="s">
        <v>147</v>
      </c>
      <c r="C44" s="30" t="s">
        <v>148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R44" s="52"/>
    </row>
    <row r="45" spans="1:21">
      <c r="A45" s="30"/>
      <c r="B45" s="30"/>
      <c r="C45" s="30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21" ht="43.5">
      <c r="A46" s="31" t="s">
        <v>150</v>
      </c>
      <c r="B46" s="43" t="s">
        <v>151</v>
      </c>
      <c r="C46" s="31" t="s">
        <v>152</v>
      </c>
      <c r="D46" s="32">
        <f>SUM(E46:P46)</f>
        <v>0</v>
      </c>
      <c r="E46" s="32">
        <f>E48-E47</f>
        <v>0</v>
      </c>
      <c r="F46" s="32">
        <f t="shared" ref="F46:P46" si="7">F48-F47</f>
        <v>0</v>
      </c>
      <c r="G46" s="32">
        <f t="shared" si="7"/>
        <v>0</v>
      </c>
      <c r="H46" s="32">
        <f t="shared" si="7"/>
        <v>0</v>
      </c>
      <c r="I46" s="32">
        <f t="shared" si="7"/>
        <v>0</v>
      </c>
      <c r="J46" s="32">
        <f t="shared" si="7"/>
        <v>0</v>
      </c>
      <c r="K46" s="32">
        <f t="shared" si="7"/>
        <v>0</v>
      </c>
      <c r="L46" s="32">
        <f t="shared" si="7"/>
        <v>0</v>
      </c>
      <c r="M46" s="32">
        <f t="shared" si="7"/>
        <v>0</v>
      </c>
      <c r="N46" s="32">
        <f t="shared" si="7"/>
        <v>0</v>
      </c>
      <c r="O46" s="32">
        <f t="shared" si="7"/>
        <v>0</v>
      </c>
      <c r="P46" s="32">
        <f t="shared" si="7"/>
        <v>0</v>
      </c>
    </row>
    <row r="47" spans="1:21">
      <c r="A47" s="31"/>
      <c r="B47" s="31" t="s">
        <v>180</v>
      </c>
      <c r="C47" s="31"/>
      <c r="D47" s="3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21">
      <c r="A48" s="31"/>
      <c r="B48" s="31" t="s">
        <v>181</v>
      </c>
      <c r="C48" s="31"/>
      <c r="D48" s="3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8">
      <c r="A49" s="30"/>
      <c r="B49" s="30"/>
      <c r="C49" s="30"/>
    </row>
    <row r="51" spans="1:8" s="27" customFormat="1" ht="72.5">
      <c r="B51" s="71" t="s">
        <v>182</v>
      </c>
      <c r="C51" s="71" t="s">
        <v>183</v>
      </c>
      <c r="D51" s="71" t="s">
        <v>184</v>
      </c>
      <c r="E51" s="71" t="s">
        <v>185</v>
      </c>
      <c r="F51" s="44" t="s">
        <v>186</v>
      </c>
      <c r="G51" s="71" t="s">
        <v>187</v>
      </c>
      <c r="H51" s="71" t="s">
        <v>188</v>
      </c>
    </row>
    <row r="52" spans="1:8">
      <c r="B52" s="52"/>
      <c r="C52" s="52"/>
      <c r="D52" s="52"/>
      <c r="E52" s="52"/>
      <c r="F52" s="52"/>
      <c r="G52" s="52"/>
      <c r="H52" s="70"/>
    </row>
    <row r="53" spans="1:8">
      <c r="B53" s="52"/>
      <c r="C53" s="52"/>
      <c r="D53" s="52"/>
      <c r="E53" s="52"/>
      <c r="F53" s="52"/>
      <c r="G53" s="52"/>
      <c r="H53" s="70"/>
    </row>
    <row r="54" spans="1:8">
      <c r="B54" s="52"/>
      <c r="C54" s="52"/>
      <c r="D54" s="52"/>
      <c r="E54" s="52"/>
      <c r="F54" s="52"/>
      <c r="G54" s="52"/>
      <c r="H54" s="70"/>
    </row>
    <row r="55" spans="1:8">
      <c r="B55" s="52"/>
      <c r="C55" s="52"/>
      <c r="D55" s="52"/>
      <c r="E55" s="52"/>
      <c r="F55" s="52"/>
      <c r="G55" s="52"/>
      <c r="H55" s="70"/>
    </row>
    <row r="56" spans="1:8">
      <c r="B56" s="52"/>
      <c r="C56" s="52"/>
      <c r="D56" s="52"/>
      <c r="E56" s="52"/>
      <c r="F56" s="52"/>
      <c r="G56" s="52"/>
      <c r="H56" s="70"/>
    </row>
    <row r="57" spans="1:8">
      <c r="B57" s="52"/>
      <c r="C57" s="52"/>
      <c r="D57" s="52"/>
      <c r="E57" s="52"/>
      <c r="F57" s="52"/>
      <c r="G57" s="52"/>
      <c r="H57" s="70"/>
    </row>
    <row r="58" spans="1:8">
      <c r="B58" s="52"/>
      <c r="C58" s="52"/>
      <c r="D58" s="52"/>
      <c r="E58" s="52"/>
      <c r="F58" s="52"/>
      <c r="G58" s="52"/>
      <c r="H58" s="70"/>
    </row>
    <row r="59" spans="1:8">
      <c r="B59" s="52"/>
      <c r="C59" s="52"/>
      <c r="D59" s="52"/>
      <c r="E59" s="52"/>
      <c r="F59" s="52"/>
      <c r="G59" s="52"/>
      <c r="H59" s="70"/>
    </row>
    <row r="60" spans="1:8">
      <c r="B60" s="52"/>
      <c r="C60" s="52"/>
      <c r="D60" s="52"/>
      <c r="E60" s="52"/>
      <c r="F60" s="52"/>
      <c r="G60" s="52"/>
      <c r="H60" s="70"/>
    </row>
    <row r="61" spans="1:8">
      <c r="B61" s="52"/>
      <c r="C61" s="52"/>
      <c r="D61" s="52"/>
      <c r="E61" s="52"/>
      <c r="F61" s="52"/>
      <c r="G61" s="52"/>
      <c r="H61" s="70"/>
    </row>
    <row r="62" spans="1:8">
      <c r="B62" s="52"/>
      <c r="C62" s="52"/>
      <c r="D62" s="52"/>
      <c r="E62" s="52"/>
      <c r="F62" s="52"/>
      <c r="G62" s="52"/>
      <c r="H62" s="70"/>
    </row>
    <row r="63" spans="1:8">
      <c r="B63" s="52"/>
      <c r="C63" s="52"/>
      <c r="D63" s="52"/>
      <c r="E63" s="52"/>
      <c r="F63" s="52"/>
      <c r="G63" s="52"/>
      <c r="H63" s="70"/>
    </row>
    <row r="64" spans="1:8">
      <c r="B64" s="52"/>
      <c r="C64" s="52"/>
      <c r="D64" s="52"/>
      <c r="E64" s="52"/>
      <c r="F64" s="52"/>
      <c r="G64" s="52"/>
      <c r="H64" s="70"/>
    </row>
    <row r="65" spans="2:8">
      <c r="B65" s="52"/>
      <c r="C65" s="52"/>
      <c r="D65" s="52"/>
      <c r="E65" s="52"/>
      <c r="F65" s="52"/>
      <c r="G65" s="52"/>
      <c r="H65" s="70"/>
    </row>
    <row r="66" spans="2:8">
      <c r="B66" s="52"/>
      <c r="C66" s="52"/>
      <c r="D66" s="52"/>
      <c r="E66" s="52"/>
      <c r="F66" s="52"/>
      <c r="G66" s="52"/>
      <c r="H66" s="70"/>
    </row>
    <row r="67" spans="2:8">
      <c r="B67" s="52"/>
      <c r="C67" s="52"/>
      <c r="D67" s="52"/>
      <c r="E67" s="52"/>
      <c r="F67" s="52"/>
      <c r="G67" s="52"/>
      <c r="H67" s="70"/>
    </row>
    <row r="68" spans="2:8">
      <c r="B68" s="52"/>
      <c r="C68" s="52"/>
      <c r="D68" s="52"/>
      <c r="E68" s="52"/>
      <c r="F68" s="52"/>
      <c r="G68" s="52"/>
      <c r="H68" s="70"/>
    </row>
    <row r="69" spans="2:8">
      <c r="B69" s="52"/>
      <c r="C69" s="52"/>
      <c r="D69" s="52"/>
      <c r="E69" s="52"/>
      <c r="F69" s="52"/>
      <c r="G69" s="52"/>
      <c r="H69" s="70"/>
    </row>
    <row r="70" spans="2:8">
      <c r="B70" s="52"/>
      <c r="C70" s="52"/>
      <c r="D70" s="52"/>
      <c r="E70" s="52"/>
      <c r="F70" s="52"/>
      <c r="G70" s="52"/>
      <c r="H70" s="70"/>
    </row>
    <row r="71" spans="2:8">
      <c r="B71" s="52"/>
      <c r="C71" s="52"/>
      <c r="D71" s="52"/>
      <c r="E71" s="52"/>
      <c r="F71" s="52"/>
      <c r="G71" s="52"/>
      <c r="H71" s="70"/>
    </row>
    <row r="72" spans="2:8">
      <c r="B72" s="52"/>
      <c r="C72" s="52"/>
      <c r="D72" s="52"/>
      <c r="E72" s="52"/>
      <c r="F72" s="52"/>
      <c r="G72" s="52"/>
      <c r="H72" s="70"/>
    </row>
    <row r="73" spans="2:8">
      <c r="B73" s="52"/>
      <c r="C73" s="52"/>
      <c r="D73" s="52"/>
      <c r="E73" s="52"/>
      <c r="F73" s="52"/>
      <c r="G73" s="52"/>
      <c r="H73" s="70"/>
    </row>
    <row r="74" spans="2:8">
      <c r="B74" s="52"/>
      <c r="C74" s="52"/>
      <c r="D74" s="52"/>
      <c r="E74" s="52"/>
      <c r="F74" s="52"/>
      <c r="G74" s="52"/>
      <c r="H74" s="70"/>
    </row>
    <row r="75" spans="2:8">
      <c r="B75" s="52"/>
      <c r="C75" s="52"/>
      <c r="D75" s="52"/>
      <c r="E75" s="52"/>
      <c r="F75" s="52"/>
      <c r="G75" s="52"/>
      <c r="H75" s="70"/>
    </row>
    <row r="76" spans="2:8">
      <c r="B76" s="52"/>
      <c r="C76" s="52"/>
      <c r="D76" s="52"/>
      <c r="E76" s="52"/>
      <c r="F76" s="52"/>
      <c r="G76" s="52"/>
      <c r="H76" s="70"/>
    </row>
    <row r="77" spans="2:8">
      <c r="B77" s="52"/>
      <c r="C77" s="52"/>
      <c r="D77" s="52"/>
      <c r="E77" s="52"/>
      <c r="F77" s="52"/>
      <c r="G77" s="52"/>
      <c r="H77" s="70"/>
    </row>
    <row r="78" spans="2:8">
      <c r="B78" s="52"/>
      <c r="C78" s="52"/>
      <c r="D78" s="52"/>
      <c r="E78" s="52"/>
      <c r="F78" s="52"/>
      <c r="G78" s="52"/>
      <c r="H78" s="70"/>
    </row>
    <row r="79" spans="2:8">
      <c r="B79" s="52"/>
      <c r="C79" s="52"/>
      <c r="D79" s="52"/>
      <c r="E79" s="52"/>
      <c r="F79" s="52"/>
      <c r="G79" s="52"/>
      <c r="H79" s="70"/>
    </row>
    <row r="80" spans="2:8">
      <c r="B80" s="52"/>
      <c r="C80" s="52"/>
      <c r="D80" s="52"/>
      <c r="E80" s="52"/>
      <c r="F80" s="52"/>
      <c r="G80" s="52"/>
      <c r="H80" s="70"/>
    </row>
    <row r="81" spans="2:8">
      <c r="B81" s="52"/>
      <c r="C81" s="52"/>
      <c r="D81" s="52"/>
      <c r="E81" s="52"/>
      <c r="F81" s="52"/>
      <c r="G81" s="52"/>
      <c r="H81" s="70"/>
    </row>
    <row r="82" spans="2:8">
      <c r="B82" s="52"/>
      <c r="C82" s="52"/>
      <c r="D82" s="52"/>
      <c r="E82" s="52"/>
      <c r="F82" s="52"/>
      <c r="G82" s="52"/>
      <c r="H82" s="70"/>
    </row>
    <row r="83" spans="2:8">
      <c r="B83" s="52"/>
      <c r="C83" s="52"/>
      <c r="D83" s="52"/>
      <c r="E83" s="52"/>
      <c r="F83" s="52"/>
      <c r="G83" s="52"/>
      <c r="H83" s="70"/>
    </row>
    <row r="84" spans="2:8">
      <c r="B84" s="52"/>
      <c r="C84" s="52"/>
      <c r="D84" s="52"/>
      <c r="E84" s="52"/>
      <c r="F84" s="52"/>
      <c r="G84" s="52"/>
      <c r="H84" s="70"/>
    </row>
    <row r="85" spans="2:8">
      <c r="B85" s="52"/>
      <c r="C85" s="52"/>
      <c r="D85" s="52"/>
      <c r="E85" s="52"/>
      <c r="F85" s="52"/>
      <c r="G85" s="52"/>
      <c r="H85" s="70"/>
    </row>
    <row r="86" spans="2:8">
      <c r="B86" s="52"/>
      <c r="C86" s="52"/>
      <c r="D86" s="52"/>
      <c r="E86" s="52"/>
      <c r="F86" s="52"/>
      <c r="G86" s="52"/>
      <c r="H86" s="70"/>
    </row>
    <row r="87" spans="2:8">
      <c r="B87" s="52"/>
      <c r="C87" s="52"/>
      <c r="D87" s="52"/>
      <c r="E87" s="52"/>
      <c r="F87" s="52"/>
      <c r="G87" s="52"/>
      <c r="H87" s="70"/>
    </row>
    <row r="88" spans="2:8">
      <c r="B88" s="52"/>
      <c r="C88" s="52"/>
      <c r="D88" s="52"/>
      <c r="E88" s="52"/>
      <c r="F88" s="52"/>
      <c r="G88" s="52"/>
      <c r="H88" s="70"/>
    </row>
    <row r="89" spans="2:8">
      <c r="B89" s="52"/>
      <c r="C89" s="52"/>
      <c r="D89" s="52"/>
      <c r="E89" s="52"/>
      <c r="F89" s="52"/>
      <c r="G89" s="52"/>
      <c r="H89" s="70"/>
    </row>
    <row r="90" spans="2:8">
      <c r="B90" s="52"/>
      <c r="C90" s="52"/>
      <c r="D90" s="52"/>
      <c r="E90" s="52"/>
      <c r="F90" s="52"/>
      <c r="G90" s="52"/>
      <c r="H90" s="70"/>
    </row>
    <row r="91" spans="2:8">
      <c r="B91" s="52"/>
      <c r="C91" s="52"/>
      <c r="D91" s="52"/>
      <c r="E91" s="52"/>
      <c r="F91" s="52"/>
      <c r="G91" s="52"/>
      <c r="H91" s="70"/>
    </row>
  </sheetData>
  <dataValidations count="1">
    <dataValidation type="list" allowBlank="1" showInputMessage="1" showErrorMessage="1" sqref="C52:C108" xr:uid="{46CEBFA4-3419-4440-B2E0-EDB36A476C7F}">
      <formula1>"resellers,big customer,others"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"/>
  <sheetViews>
    <sheetView workbookViewId="0">
      <selection activeCell="C24" sqref="C24"/>
    </sheetView>
  </sheetViews>
  <sheetFormatPr baseColWidth="10" defaultColWidth="8.7265625" defaultRowHeight="14.5"/>
  <cols>
    <col min="1" max="2" width="11.453125" customWidth="1"/>
    <col min="3" max="3" width="23.453125" customWidth="1"/>
    <col min="4" max="256" width="11.453125" customWidth="1"/>
  </cols>
  <sheetData>
    <row r="1" spans="1:14">
      <c r="A1" t="s">
        <v>189</v>
      </c>
    </row>
    <row r="3" spans="1:14">
      <c r="A3" t="s">
        <v>190</v>
      </c>
      <c r="H3" t="s">
        <v>191</v>
      </c>
      <c r="K3" s="3" t="s">
        <v>192</v>
      </c>
    </row>
    <row r="4" spans="1:14">
      <c r="A4" s="3" t="s">
        <v>193</v>
      </c>
    </row>
    <row r="5" spans="1:14">
      <c r="H5" t="s">
        <v>194</v>
      </c>
      <c r="N5" s="24">
        <v>1</v>
      </c>
    </row>
    <row r="6" spans="1:14">
      <c r="C6" t="s">
        <v>195</v>
      </c>
      <c r="E6" s="24">
        <v>20.100000000000001</v>
      </c>
      <c r="H6" s="6" t="s">
        <v>196</v>
      </c>
    </row>
    <row r="7" spans="1:14">
      <c r="C7" t="s">
        <v>197</v>
      </c>
      <c r="E7" s="24">
        <v>1728</v>
      </c>
      <c r="H7" s="7" t="s">
        <v>198</v>
      </c>
    </row>
    <row r="8" spans="1:14" ht="29">
      <c r="C8" s="45" t="s">
        <v>199</v>
      </c>
      <c r="E8" s="49">
        <v>18</v>
      </c>
      <c r="H8" s="7" t="s">
        <v>200</v>
      </c>
    </row>
    <row r="9" spans="1:14">
      <c r="C9" t="s">
        <v>201</v>
      </c>
      <c r="E9" s="49">
        <f>E6/E8</f>
        <v>1.1166666666666667</v>
      </c>
    </row>
    <row r="10" spans="1:14">
      <c r="H10" s="6" t="s">
        <v>202</v>
      </c>
    </row>
    <row r="11" spans="1:14">
      <c r="H11" s="7" t="s">
        <v>203</v>
      </c>
    </row>
    <row r="12" spans="1:14">
      <c r="H12" s="7" t="s">
        <v>204</v>
      </c>
    </row>
    <row r="14" spans="1:14">
      <c r="H14" s="6" t="s">
        <v>205</v>
      </c>
    </row>
    <row r="15" spans="1:14">
      <c r="H15" s="7" t="s">
        <v>206</v>
      </c>
    </row>
    <row r="17" spans="8:8">
      <c r="H17" s="6" t="s">
        <v>207</v>
      </c>
    </row>
    <row r="18" spans="8:8">
      <c r="H18" s="7" t="s">
        <v>208</v>
      </c>
    </row>
    <row r="19" spans="8:8">
      <c r="H19" s="7" t="s">
        <v>209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&amp;L&amp;G&amp;ROutil calcul VER AMS III F v1.0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8"/>
  <sheetViews>
    <sheetView zoomScaleNormal="100" workbookViewId="0">
      <selection activeCell="H32" sqref="H32"/>
    </sheetView>
  </sheetViews>
  <sheetFormatPr baseColWidth="10" defaultColWidth="8.7265625" defaultRowHeight="14.5"/>
  <cols>
    <col min="1" max="1" width="27.7265625" customWidth="1"/>
    <col min="2" max="2" width="7.54296875" customWidth="1"/>
    <col min="3" max="5" width="11.453125" customWidth="1"/>
    <col min="6" max="6" width="7" bestFit="1" customWidth="1"/>
    <col min="7" max="7" width="25.1796875" bestFit="1" customWidth="1"/>
    <col min="8" max="8" width="14.453125" customWidth="1"/>
    <col min="9" max="9" width="13.26953125" customWidth="1"/>
    <col min="10" max="256" width="11.453125" customWidth="1"/>
  </cols>
  <sheetData>
    <row r="2" spans="1:15">
      <c r="G2" s="3"/>
    </row>
    <row r="3" spans="1:15">
      <c r="A3" s="6" t="s">
        <v>7</v>
      </c>
      <c r="G3" s="6"/>
      <c r="M3" s="6"/>
    </row>
    <row r="4" spans="1:15" ht="15" thickBot="1">
      <c r="A4" s="6"/>
      <c r="G4" s="6"/>
      <c r="M4" s="6"/>
      <c r="O4" s="6"/>
    </row>
    <row r="5" spans="1:15" ht="29.5" thickBot="1">
      <c r="A5" s="183" t="s">
        <v>8</v>
      </c>
      <c r="B5" s="185" t="s">
        <v>9</v>
      </c>
      <c r="G5" s="183" t="s">
        <v>8</v>
      </c>
      <c r="H5" s="190" t="s">
        <v>10</v>
      </c>
      <c r="I5" s="190" t="s">
        <v>11</v>
      </c>
    </row>
    <row r="6" spans="1:15">
      <c r="A6" s="146" t="s">
        <v>12</v>
      </c>
      <c r="B6" s="184">
        <f>Year1.2017!$D$50/1000</f>
        <v>0.39100000000000001</v>
      </c>
      <c r="G6" s="146" t="s">
        <v>12</v>
      </c>
      <c r="H6" s="191">
        <f>Year1.2017!D9</f>
        <v>2614.4494500000001</v>
      </c>
      <c r="I6" s="191">
        <f>Year1.2017!D12</f>
        <v>2940.4400000000005</v>
      </c>
      <c r="J6" s="208"/>
      <c r="M6" s="10"/>
      <c r="O6" s="27"/>
    </row>
    <row r="7" spans="1:15">
      <c r="A7" s="147" t="s">
        <v>13</v>
      </c>
      <c r="B7" s="184">
        <f>Year2.2018!D50/1000</f>
        <v>0.36399999999999999</v>
      </c>
      <c r="G7" s="147" t="s">
        <v>13</v>
      </c>
      <c r="H7" s="191">
        <f>Year2.2018!D9</f>
        <v>2848.5081913599997</v>
      </c>
      <c r="I7" s="191">
        <f>Year2.2018!D12</f>
        <v>3174.4582399999995</v>
      </c>
      <c r="J7" s="208"/>
      <c r="M7" s="10"/>
      <c r="O7" s="27"/>
    </row>
    <row r="8" spans="1:15">
      <c r="A8" s="147" t="s">
        <v>14</v>
      </c>
      <c r="B8" s="184">
        <f>Year3.2019!D50/1000</f>
        <v>0.66300000000000003</v>
      </c>
      <c r="G8" s="147" t="s">
        <v>14</v>
      </c>
      <c r="H8" s="191">
        <f>Year3.2019!D9</f>
        <v>1941.0430100000001</v>
      </c>
      <c r="I8" s="191">
        <f>Year3.2019!D12</f>
        <v>2175.29</v>
      </c>
      <c r="J8" s="208"/>
      <c r="M8" s="10"/>
      <c r="O8" s="27"/>
    </row>
    <row r="9" spans="1:15">
      <c r="A9" s="147" t="s">
        <v>15</v>
      </c>
      <c r="B9" s="199">
        <f>'Year4. 2020'!D50/1000</f>
        <v>0.82299999999999995</v>
      </c>
      <c r="G9" s="147" t="s">
        <v>15</v>
      </c>
      <c r="H9" s="191">
        <f>'Year4. 2020'!D9</f>
        <v>2722.3520800000001</v>
      </c>
      <c r="I9" s="191">
        <f>'Year4. 2020'!D12</f>
        <v>3128.44</v>
      </c>
      <c r="J9" s="208"/>
      <c r="M9" s="10"/>
      <c r="O9" s="27"/>
    </row>
    <row r="10" spans="1:15">
      <c r="A10" s="261" t="s">
        <v>16</v>
      </c>
      <c r="B10" s="199">
        <f>Year5.2021!D50/1000</f>
        <v>0.90900000000000003</v>
      </c>
      <c r="G10" s="261" t="s">
        <v>16</v>
      </c>
      <c r="H10" s="191">
        <f>Year5.2021!D9</f>
        <v>4643.8119268277369</v>
      </c>
      <c r="I10" s="191">
        <f>Year5.2021!D12</f>
        <v>4696.5594500000007</v>
      </c>
      <c r="M10" s="10"/>
      <c r="O10" s="27"/>
    </row>
    <row r="11" spans="1:15">
      <c r="A11" s="261" t="s">
        <v>17</v>
      </c>
      <c r="B11" s="328">
        <f>Year6.2022!D50/1000</f>
        <v>0.98599999999999999</v>
      </c>
      <c r="G11" s="261" t="s">
        <v>17</v>
      </c>
      <c r="H11" s="330">
        <f>Year6.2022!D9</f>
        <v>3919.928868815075</v>
      </c>
      <c r="I11" s="330">
        <f>Year6.2022!D12</f>
        <v>3956.895</v>
      </c>
      <c r="M11" s="10"/>
      <c r="O11" s="27"/>
    </row>
    <row r="12" spans="1:15">
      <c r="A12" s="261" t="s">
        <v>18</v>
      </c>
      <c r="B12" s="328">
        <f>Year7.2023!D50/1000</f>
        <v>0.58899999999999997</v>
      </c>
      <c r="G12" s="261" t="s">
        <v>18</v>
      </c>
      <c r="H12" s="330">
        <f>Year7.2023!D9</f>
        <v>4221.062703700225</v>
      </c>
      <c r="I12" s="330">
        <f>Year7.2023!D12</f>
        <v>4935.2053599999999</v>
      </c>
      <c r="M12" s="10"/>
      <c r="O12" s="27"/>
    </row>
    <row r="13" spans="1:15">
      <c r="A13" s="329" t="s">
        <v>19</v>
      </c>
      <c r="B13" s="376">
        <f>Year8.2024!D50/1000</f>
        <v>0.45700000000000002</v>
      </c>
      <c r="G13" s="329" t="s">
        <v>19</v>
      </c>
      <c r="H13" s="312">
        <f>Year8.2024!D9</f>
        <v>4387.9077217270569</v>
      </c>
      <c r="I13" s="312">
        <f>Year8.2024!D12</f>
        <v>5047.5040000000008</v>
      </c>
      <c r="M13" s="10"/>
      <c r="O13" s="27"/>
    </row>
    <row r="14" spans="1:15">
      <c r="A14" s="143" t="s">
        <v>20</v>
      </c>
      <c r="B14" s="377">
        <f>Year9!D29/1000</f>
        <v>0</v>
      </c>
      <c r="G14" s="143" t="s">
        <v>20</v>
      </c>
      <c r="H14" s="371">
        <f>Year9!T36</f>
        <v>0</v>
      </c>
      <c r="I14" s="371">
        <f>Year9!AB36</f>
        <v>0</v>
      </c>
      <c r="M14" s="10"/>
      <c r="O14" s="27"/>
    </row>
    <row r="15" spans="1:15">
      <c r="A15" s="143" t="s">
        <v>21</v>
      </c>
      <c r="B15" s="377">
        <f>Year10!D29/1000</f>
        <v>0</v>
      </c>
      <c r="G15" s="143" t="s">
        <v>21</v>
      </c>
      <c r="H15" s="371">
        <f>Year10!T36</f>
        <v>0</v>
      </c>
      <c r="I15" s="371">
        <f>Year10!AB36</f>
        <v>0</v>
      </c>
      <c r="M15" s="10"/>
      <c r="O15" s="27"/>
    </row>
    <row r="16" spans="1:15" ht="15" thickBot="1">
      <c r="A16" s="144" t="s">
        <v>22</v>
      </c>
      <c r="B16" s="378">
        <f>Year10!D30/1000</f>
        <v>0</v>
      </c>
      <c r="G16" s="144" t="s">
        <v>22</v>
      </c>
      <c r="H16" s="372">
        <f>'Year 11'!T36</f>
        <v>0</v>
      </c>
      <c r="I16" s="372"/>
    </row>
    <row r="19" spans="1:12">
      <c r="C19" s="189" t="s">
        <v>23</v>
      </c>
      <c r="D19" s="189" t="s">
        <v>24</v>
      </c>
      <c r="E19" s="189" t="s">
        <v>25</v>
      </c>
      <c r="F19" s="189" t="s">
        <v>26</v>
      </c>
      <c r="G19" s="189" t="s">
        <v>27</v>
      </c>
      <c r="H19" s="189" t="s">
        <v>28</v>
      </c>
      <c r="I19" s="189" t="s">
        <v>29</v>
      </c>
      <c r="J19" s="189" t="s">
        <v>30</v>
      </c>
      <c r="K19" s="189" t="s">
        <v>31</v>
      </c>
      <c r="L19" s="189" t="s">
        <v>32</v>
      </c>
    </row>
    <row r="20" spans="1:12">
      <c r="A20" t="s">
        <v>33</v>
      </c>
      <c r="C20" s="189">
        <v>2017</v>
      </c>
      <c r="D20" s="189">
        <v>2018</v>
      </c>
      <c r="E20" s="189">
        <v>2019</v>
      </c>
      <c r="F20" s="189">
        <v>2020</v>
      </c>
      <c r="G20" s="189">
        <v>2021</v>
      </c>
      <c r="H20" s="189">
        <v>2022</v>
      </c>
      <c r="I20" s="189">
        <v>2023</v>
      </c>
      <c r="J20" s="189">
        <v>2024</v>
      </c>
      <c r="K20" s="189">
        <v>2025</v>
      </c>
      <c r="L20" s="189">
        <v>2026</v>
      </c>
    </row>
    <row r="21" spans="1:12">
      <c r="A21" s="56" t="s">
        <v>34</v>
      </c>
      <c r="C21" s="331">
        <f>Year1.2017!V40</f>
        <v>1.8627432915829602E-2</v>
      </c>
      <c r="D21" s="331">
        <f>+Year2.2018!T40</f>
        <v>2.3133470220291795E-2</v>
      </c>
      <c r="E21" s="331">
        <f>+Year3.2019!T40</f>
        <v>1.6700484574169772E-2</v>
      </c>
      <c r="F21" s="198">
        <f>'Year4. 2020'!T40</f>
        <v>2.0242863175053506E-2</v>
      </c>
      <c r="G21" s="198">
        <f>Year5.2021!T40</f>
        <v>2.0886220276636662E-2</v>
      </c>
      <c r="H21" s="198">
        <f>Year6.2022!T40</f>
        <v>1.5563321477915785E-2</v>
      </c>
      <c r="I21" s="198">
        <f>Year7.2023!T40</f>
        <v>2.486091456557107E-2</v>
      </c>
      <c r="J21" s="311">
        <f>Year8.2024!T40</f>
        <v>2.9722809598669461E-2</v>
      </c>
      <c r="K21" s="375" t="e">
        <f>Year9!T16</f>
        <v>#DIV/0!</v>
      </c>
      <c r="L21" s="375" t="e">
        <f>Year10!T16</f>
        <v>#DIV/0!</v>
      </c>
    </row>
    <row r="22" spans="1:12">
      <c r="A22" s="56" t="s">
        <v>35</v>
      </c>
      <c r="C22" s="331">
        <f>Year1.2017!V41</f>
        <v>6.4474891971885412E-2</v>
      </c>
      <c r="D22" s="331">
        <f>+Year2.2018!T41</f>
        <v>6.3671602843484179E-2</v>
      </c>
      <c r="E22" s="331">
        <f>+Year3.2019!T41</f>
        <v>5.108993555716191E-2</v>
      </c>
      <c r="F22" s="198">
        <f>'Year4. 2020'!T41</f>
        <v>6.4215928476889214E-2</v>
      </c>
      <c r="G22" s="198">
        <f>Year5.2021!T41</f>
        <v>5.0587955706311208E-2</v>
      </c>
      <c r="H22" s="198">
        <f>Year6.2022!T41</f>
        <v>5.1494062489701065E-2</v>
      </c>
      <c r="I22" s="198">
        <f>Year7.2023!T41</f>
        <v>6.9416248101477132E-2</v>
      </c>
      <c r="J22" s="311">
        <f>Year8.2024!T41</f>
        <v>6.0384161566370692E-2</v>
      </c>
      <c r="K22" s="375" t="e">
        <f>Year9!T17</f>
        <v>#DIV/0!</v>
      </c>
      <c r="L22" s="375" t="e">
        <f>Year10!T17</f>
        <v>#DIV/0!</v>
      </c>
    </row>
    <row r="23" spans="1:12">
      <c r="A23" s="56" t="s">
        <v>36</v>
      </c>
      <c r="C23" s="331">
        <f>Year1.2017!V42</f>
        <v>6.2037329718737197E-2</v>
      </c>
      <c r="D23" s="331">
        <f>+Year2.2018!T42</f>
        <v>7.6290552099794712E-2</v>
      </c>
      <c r="E23" s="331">
        <f>+Year3.2019!T42</f>
        <v>7.3097908221576829E-2</v>
      </c>
      <c r="F23" s="198">
        <f>'Year4. 2020'!T42</f>
        <v>5.9710378688412287E-2</v>
      </c>
      <c r="G23" s="198">
        <f>Year5.2021!T42</f>
        <v>6.7891252628060131E-2</v>
      </c>
      <c r="H23" s="198">
        <f>Year6.2022!T42</f>
        <v>6.6916773662058865E-2</v>
      </c>
      <c r="I23" s="198">
        <f>Year7.2023!T42</f>
        <v>6.4099619859834686E-2</v>
      </c>
      <c r="J23" s="311">
        <f>Year8.2024!T42</f>
        <v>5.628631442299159E-2</v>
      </c>
      <c r="K23" s="375" t="e">
        <f>Year9!T18</f>
        <v>#DIV/0!</v>
      </c>
      <c r="L23" s="375" t="e">
        <f>Year10!T18</f>
        <v>#DIV/0!</v>
      </c>
    </row>
    <row r="24" spans="1:12" ht="29">
      <c r="A24" s="56" t="s">
        <v>37</v>
      </c>
      <c r="C24" s="331">
        <f>Year1.2017!V43</f>
        <v>0.47463833582476861</v>
      </c>
      <c r="D24" s="331">
        <f>+Year2.2018!T43</f>
        <v>0.55697007479451299</v>
      </c>
      <c r="E24" s="331">
        <f>+Year3.2019!T43</f>
        <v>0.60152418746676406</v>
      </c>
      <c r="F24" s="198">
        <f>'Year4. 2020'!T43</f>
        <v>0.55137718757460619</v>
      </c>
      <c r="G24" s="198">
        <f>Year5.2021!T43</f>
        <v>0.71648991021662956</v>
      </c>
      <c r="H24" s="198">
        <f>Year6.2022!T43</f>
        <v>0.74579102379602635</v>
      </c>
      <c r="I24" s="198">
        <f>Year7.2023!T43</f>
        <v>0.66173143070567353</v>
      </c>
      <c r="J24" s="311">
        <f>Year8.2024!T43</f>
        <v>0.69182622666667848</v>
      </c>
      <c r="K24" s="375" t="e">
        <f>Year9!T19</f>
        <v>#DIV/0!</v>
      </c>
      <c r="L24" s="375" t="e">
        <f>Year10!T19</f>
        <v>#DIV/0!</v>
      </c>
    </row>
    <row r="25" spans="1:12">
      <c r="A25" s="56" t="s">
        <v>38</v>
      </c>
      <c r="C25" s="331">
        <f>Year1.2017!V44</f>
        <v>0.26935722153795805</v>
      </c>
      <c r="D25" s="331">
        <f>+Year2.2018!T44</f>
        <v>0.17726777509707581</v>
      </c>
      <c r="E25" s="331">
        <f>+Year3.2019!T44</f>
        <v>0.14988681744371379</v>
      </c>
      <c r="F25" s="198">
        <f>'Year4. 2020'!T44</f>
        <v>0.1746458907181401</v>
      </c>
      <c r="G25" s="198">
        <f>Year5.2021!T44</f>
        <v>0.13291356237891175</v>
      </c>
      <c r="H25" s="198">
        <f>Year6.2022!T44</f>
        <v>0.11089261182255832</v>
      </c>
      <c r="I25" s="198">
        <f>Year7.2023!T44</f>
        <v>3.5188050204032435E-2</v>
      </c>
      <c r="J25" s="311">
        <f>Year8.2024!T44</f>
        <v>3.1102774904855551E-2</v>
      </c>
      <c r="K25" s="375" t="e">
        <f>Year9!T20</f>
        <v>#DIV/0!</v>
      </c>
      <c r="L25" s="375" t="e">
        <f>Year10!T20</f>
        <v>#DIV/0!</v>
      </c>
    </row>
    <row r="26" spans="1:12" ht="29">
      <c r="A26" s="56" t="s">
        <v>39</v>
      </c>
      <c r="C26" s="331">
        <f>Year1.2017!V45</f>
        <v>0.1108647880308211</v>
      </c>
      <c r="D26" s="331">
        <f>+Year2.2018!T45</f>
        <v>0.10266652494484033</v>
      </c>
      <c r="E26" s="331">
        <f>+Year3.2019!T45</f>
        <v>0.1077006667366136</v>
      </c>
      <c r="F26" s="198">
        <f>'Year4. 2020'!T45</f>
        <v>0.12980775136689854</v>
      </c>
      <c r="G26" s="198">
        <f>Year5.2021!T45</f>
        <v>1.1231098793450646E-2</v>
      </c>
      <c r="H26" s="198">
        <f>Year6.2022!T45</f>
        <v>9.3422067517396935E-3</v>
      </c>
      <c r="I26" s="198">
        <f>Year7.2023!T45</f>
        <v>0.14470373656341115</v>
      </c>
      <c r="J26" s="311">
        <f>Year8.2024!T45</f>
        <v>0.13067771284043406</v>
      </c>
      <c r="K26" s="375">
        <f>Year9!T21</f>
        <v>0</v>
      </c>
      <c r="L26" s="375">
        <f>Year10!T21</f>
        <v>0</v>
      </c>
    </row>
    <row r="27" spans="1:12">
      <c r="C27" s="4"/>
    </row>
    <row r="28" spans="1:12">
      <c r="A28" t="s">
        <v>40</v>
      </c>
      <c r="C28" s="5">
        <f>SUM(C21:C26)</f>
        <v>1</v>
      </c>
      <c r="D28" s="5">
        <f t="shared" ref="D28:K28" si="0">SUM(D21:D26)</f>
        <v>0.99999999999999978</v>
      </c>
      <c r="E28" s="5">
        <f t="shared" si="0"/>
        <v>1</v>
      </c>
      <c r="F28" s="5">
        <f t="shared" si="0"/>
        <v>0.99999999999999978</v>
      </c>
      <c r="G28" s="5">
        <f t="shared" si="0"/>
        <v>0.99999999999999989</v>
      </c>
      <c r="H28" s="5">
        <f t="shared" si="0"/>
        <v>1</v>
      </c>
      <c r="I28" s="5">
        <f>SUM(I21:I26)</f>
        <v>1</v>
      </c>
      <c r="J28" s="5">
        <f>SUM(J21:J26)</f>
        <v>0.99999999999999989</v>
      </c>
      <c r="K28" s="5" t="e">
        <f t="shared" si="0"/>
        <v>#DIV/0!</v>
      </c>
      <c r="L28" s="5" t="e">
        <f>SUM(L21:L26)</f>
        <v>#DIV/0!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4"/>
  <sheetViews>
    <sheetView topLeftCell="E1" zoomScale="80" zoomScaleNormal="80" workbookViewId="0">
      <selection activeCell="I49" sqref="I49"/>
    </sheetView>
  </sheetViews>
  <sheetFormatPr baseColWidth="10" defaultColWidth="11.453125" defaultRowHeight="14.5"/>
  <cols>
    <col min="1" max="1" width="9.1796875" style="10" customWidth="1"/>
    <col min="2" max="2" width="48" style="10" bestFit="1" customWidth="1"/>
    <col min="3" max="3" width="25.81640625" style="10" bestFit="1" customWidth="1"/>
    <col min="4" max="4" width="42.7265625" style="10" bestFit="1" customWidth="1"/>
    <col min="5" max="5" width="27.7265625" style="10" bestFit="1" customWidth="1"/>
    <col min="6" max="6" width="29" style="10" bestFit="1" customWidth="1"/>
    <col min="7" max="7" width="25.453125" style="10" bestFit="1" customWidth="1"/>
    <col min="8" max="10" width="26.453125" style="10" bestFit="1" customWidth="1"/>
    <col min="11" max="11" width="26.453125" style="10" customWidth="1"/>
    <col min="12" max="12" width="26.453125" style="10" bestFit="1" customWidth="1"/>
    <col min="13" max="13" width="25.81640625" style="10" bestFit="1" customWidth="1"/>
    <col min="14" max="14" width="28.81640625" style="10" customWidth="1"/>
    <col min="15" max="15" width="34.1796875" style="10" bestFit="1" customWidth="1"/>
    <col min="16" max="16384" width="11.453125" style="10"/>
  </cols>
  <sheetData>
    <row r="1" spans="1:16" s="309" customFormat="1" ht="75.75" customHeight="1">
      <c r="D1" s="310"/>
    </row>
    <row r="2" spans="1:16" ht="31">
      <c r="A2" s="402" t="s">
        <v>56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3" spans="1:16" ht="19" thickBot="1">
      <c r="A3" s="13"/>
    </row>
    <row r="4" spans="1:16" ht="15" thickBot="1">
      <c r="F4" s="397" t="s">
        <v>57</v>
      </c>
      <c r="G4" s="398"/>
      <c r="H4" s="398"/>
      <c r="I4" s="399"/>
      <c r="K4" s="180" t="s">
        <v>8</v>
      </c>
      <c r="L4" s="181" t="s">
        <v>43</v>
      </c>
      <c r="N4" s="25"/>
    </row>
    <row r="5" spans="1:16" ht="15" thickBot="1">
      <c r="A5" s="14"/>
      <c r="C5" s="403" t="s">
        <v>58</v>
      </c>
      <c r="D5" s="404"/>
      <c r="F5" s="183" t="s">
        <v>8</v>
      </c>
      <c r="G5" s="168" t="s">
        <v>59</v>
      </c>
      <c r="H5" s="168" t="s">
        <v>60</v>
      </c>
      <c r="I5" s="268" t="s">
        <v>61</v>
      </c>
      <c r="K5" s="282" t="s">
        <v>12</v>
      </c>
      <c r="L5" s="304">
        <f t="shared" ref="L5:L15" si="0">N32*I6</f>
        <v>2563.7114990839427</v>
      </c>
    </row>
    <row r="6" spans="1:16">
      <c r="C6" s="171" t="s">
        <v>62</v>
      </c>
      <c r="D6" s="172" t="str">
        <f>IF('fixé en amont'!E7&lt;1000,"0,8","0,85")</f>
        <v>0,85</v>
      </c>
      <c r="F6" s="339" t="s">
        <v>12</v>
      </c>
      <c r="G6" s="336">
        <f>PEy!I6</f>
        <v>25</v>
      </c>
      <c r="H6" s="337">
        <v>0</v>
      </c>
      <c r="I6" s="338">
        <f>$D$6*(1-H6)*PEy!I6*(1-$D$7)*$D$8/$D$9*$D$10*$D$11*$D$12</f>
        <v>6.375</v>
      </c>
      <c r="K6" s="283" t="s">
        <v>13</v>
      </c>
      <c r="L6" s="305">
        <f t="shared" si="0"/>
        <v>2675.143566618101</v>
      </c>
    </row>
    <row r="7" spans="1:16">
      <c r="C7" s="127" t="s">
        <v>63</v>
      </c>
      <c r="D7" s="128">
        <v>0.1</v>
      </c>
      <c r="F7" s="335" t="s">
        <v>13</v>
      </c>
      <c r="G7" s="336">
        <f>PEy!I7</f>
        <v>25</v>
      </c>
      <c r="H7" s="337">
        <v>0</v>
      </c>
      <c r="I7" s="338">
        <f>$D$6*(1-H7)*PEy!I7*(1-$D$7)*$D$8/$D$9*$D$10*$D$11*$D$12</f>
        <v>6.375</v>
      </c>
      <c r="K7" s="283" t="s">
        <v>14</v>
      </c>
      <c r="L7" s="305">
        <f t="shared" si="0"/>
        <v>1759.4091305730576</v>
      </c>
    </row>
    <row r="8" spans="1:16">
      <c r="C8" s="127" t="s">
        <v>64</v>
      </c>
      <c r="D8" s="128">
        <v>16</v>
      </c>
      <c r="F8" s="335" t="s">
        <v>14</v>
      </c>
      <c r="G8" s="336">
        <f>PEy!I8</f>
        <v>25</v>
      </c>
      <c r="H8" s="337">
        <v>0</v>
      </c>
      <c r="I8" s="338">
        <f>$D$6*(1-H8)*PEy!I8*(1-$D$7)*$D$8/$D$9*$D$10*$D$11*$D$12</f>
        <v>6.375</v>
      </c>
      <c r="K8" s="283" t="s">
        <v>15</v>
      </c>
      <c r="L8" s="305">
        <f t="shared" si="0"/>
        <v>2380.753329628441</v>
      </c>
      <c r="P8" s="17"/>
    </row>
    <row r="9" spans="1:16">
      <c r="C9" s="127" t="s">
        <v>64</v>
      </c>
      <c r="D9" s="128">
        <v>12</v>
      </c>
      <c r="F9" s="335" t="s">
        <v>15</v>
      </c>
      <c r="G9" s="336">
        <f>PEy!I9</f>
        <v>25</v>
      </c>
      <c r="H9" s="337">
        <v>0</v>
      </c>
      <c r="I9" s="338">
        <f>$D$6*(1-H9)*PEy!I9*(1-$D$7)*$D$8/$D$9*$D$10*$D$11*$D$12</f>
        <v>6.375</v>
      </c>
      <c r="K9" s="283" t="s">
        <v>16</v>
      </c>
      <c r="L9" s="305">
        <f>N36*I10</f>
        <v>4324.1281547918379</v>
      </c>
    </row>
    <row r="10" spans="1:16">
      <c r="C10" s="127" t="s">
        <v>65</v>
      </c>
      <c r="D10" s="128">
        <v>0.5</v>
      </c>
      <c r="F10" s="335" t="s">
        <v>16</v>
      </c>
      <c r="G10" s="336">
        <f>PEy!I10</f>
        <v>28</v>
      </c>
      <c r="H10" s="337">
        <v>0</v>
      </c>
      <c r="I10" s="338">
        <f>$D$6*(1-H10)*PEy!I10*(1-$D$7)*$D$8/$D$9*$D$10*$D$11*$D$12</f>
        <v>7.1400000000000006</v>
      </c>
      <c r="K10" s="343" t="s">
        <v>17</v>
      </c>
      <c r="L10" s="344">
        <f>N37*I11</f>
        <v>3427.7809331662888</v>
      </c>
      <c r="P10" s="15"/>
    </row>
    <row r="11" spans="1:16">
      <c r="C11" s="127" t="s">
        <v>66</v>
      </c>
      <c r="D11" s="128">
        <v>0.5</v>
      </c>
      <c r="F11" s="335" t="s">
        <v>17</v>
      </c>
      <c r="G11" s="336">
        <f>PEy!I11</f>
        <v>28</v>
      </c>
      <c r="H11" s="337">
        <v>0</v>
      </c>
      <c r="I11" s="338">
        <f>$D$6*(1-H11)*PEy!I11*(1-$D$7)*$D$8/$D$9*$D$10*$D$11*$D$12</f>
        <v>7.1400000000000006</v>
      </c>
      <c r="K11" s="343" t="s">
        <v>18</v>
      </c>
      <c r="L11" s="344">
        <f>N38*I12</f>
        <v>3334.3843393076845</v>
      </c>
      <c r="P11" s="15"/>
    </row>
    <row r="12" spans="1:16">
      <c r="C12" s="173" t="s">
        <v>67</v>
      </c>
      <c r="D12" s="174" t="str">
        <f>IF('fixé en amont'!N5=1,"1",IF('fixé en amont'!N5=2,"0,5",IF('fixé en amont'!N5=3,"0,8",IF('fixé en amont'!N5=4,"0,4"))))</f>
        <v>1</v>
      </c>
      <c r="F12" s="335" t="s">
        <v>18</v>
      </c>
      <c r="G12" s="336">
        <v>28</v>
      </c>
      <c r="H12" s="337">
        <v>0</v>
      </c>
      <c r="I12" s="338">
        <f>$D$6*(1-H12)*PEy!I12*(1-$D$7)*$D$8/$D$9*$D$10*$D$11*$D$12</f>
        <v>7.1400000000000006</v>
      </c>
      <c r="K12" s="320" t="s">
        <v>19</v>
      </c>
      <c r="L12" s="348">
        <f t="shared" si="0"/>
        <v>3006.0547769807481</v>
      </c>
      <c r="P12" s="15"/>
    </row>
    <row r="13" spans="1:16" ht="15" thickBot="1">
      <c r="C13" s="175" t="s">
        <v>68</v>
      </c>
      <c r="D13" s="176" t="s">
        <v>69</v>
      </c>
      <c r="F13" s="147" t="s">
        <v>19</v>
      </c>
      <c r="G13" s="271">
        <f>Year8.2024!D3</f>
        <v>28</v>
      </c>
      <c r="H13" s="272">
        <v>0</v>
      </c>
      <c r="I13" s="273">
        <f>$D$6*(1-H13)*PEy!I13*(1-$D$7)*$D$8/$D$9*$D$10*$D$11*$D$12</f>
        <v>7.1400000000000006</v>
      </c>
      <c r="K13" s="130" t="s">
        <v>20</v>
      </c>
      <c r="L13" s="345" t="e">
        <f t="shared" si="0"/>
        <v>#DIV/0!</v>
      </c>
      <c r="P13" s="15"/>
    </row>
    <row r="14" spans="1:16">
      <c r="F14" s="143" t="s">
        <v>20</v>
      </c>
      <c r="G14" s="274">
        <f>PEy!I14</f>
        <v>28</v>
      </c>
      <c r="H14" s="169">
        <v>0</v>
      </c>
      <c r="I14" s="275">
        <f>$D$6*(1-H14)*PEy!I14*(1-$D$7)*$D$8/$D$9*$D$10*$D$11*$D$12</f>
        <v>7.1400000000000006</v>
      </c>
      <c r="K14" s="130" t="s">
        <v>21</v>
      </c>
      <c r="L14" s="345" t="e">
        <f t="shared" si="0"/>
        <v>#DIV/0!</v>
      </c>
      <c r="P14" s="15"/>
    </row>
    <row r="15" spans="1:16" ht="15" thickBot="1">
      <c r="F15" s="143" t="s">
        <v>21</v>
      </c>
      <c r="G15" s="274">
        <f>PEy!I15</f>
        <v>28</v>
      </c>
      <c r="H15" s="169">
        <v>0</v>
      </c>
      <c r="I15" s="275">
        <f>$D$6*(1-H15)*PEy!I15*(1-$D$7)*$D$8/$D$9*$D$10*$D$11*$D$12</f>
        <v>7.1400000000000006</v>
      </c>
      <c r="K15" s="134" t="s">
        <v>22</v>
      </c>
      <c r="L15" s="345" t="e">
        <f t="shared" si="0"/>
        <v>#DIV/0!</v>
      </c>
      <c r="P15" s="15"/>
    </row>
    <row r="16" spans="1:16" ht="15" thickBot="1">
      <c r="F16" s="144" t="s">
        <v>22</v>
      </c>
      <c r="G16" s="274">
        <f>PEy!I16</f>
        <v>28</v>
      </c>
      <c r="H16" s="170">
        <v>0</v>
      </c>
      <c r="I16" s="276">
        <f>$D$6*(1-H16)*PEy!I16*(1-$D$7)*$D$8/$D$9*$D$10*$D$11*$D$12</f>
        <v>7.1400000000000006</v>
      </c>
      <c r="K16" s="131" t="s">
        <v>70</v>
      </c>
      <c r="L16" s="346" t="e">
        <f>SUM(L5:L14)</f>
        <v>#DIV/0!</v>
      </c>
      <c r="P16" s="15"/>
    </row>
    <row r="17" spans="1:33">
      <c r="A17" s="16"/>
      <c r="L17" s="347"/>
      <c r="P17" s="15"/>
    </row>
    <row r="18" spans="1:33">
      <c r="K18" s="17"/>
      <c r="L18" s="17"/>
      <c r="M18" s="15"/>
    </row>
    <row r="19" spans="1:33" ht="15" thickBot="1">
      <c r="H19" s="25"/>
      <c r="K19" s="15"/>
      <c r="L19" s="15"/>
      <c r="M19" s="18"/>
    </row>
    <row r="20" spans="1:33" ht="15.5" thickBot="1">
      <c r="B20" s="136"/>
      <c r="C20" s="400" t="s">
        <v>71</v>
      </c>
      <c r="D20" s="400"/>
      <c r="E20" s="400"/>
      <c r="F20" s="400"/>
      <c r="G20" s="400"/>
      <c r="H20" s="400"/>
      <c r="I20" s="400"/>
      <c r="J20" s="400"/>
      <c r="K20" s="400"/>
      <c r="L20" s="400"/>
      <c r="M20" s="401"/>
      <c r="N20" s="178" t="s">
        <v>72</v>
      </c>
      <c r="O20" s="179" t="s">
        <v>73</v>
      </c>
    </row>
    <row r="21" spans="1:33" ht="15" thickBot="1">
      <c r="B21" s="140"/>
      <c r="C21" s="277" t="s">
        <v>12</v>
      </c>
      <c r="D21" s="277" t="s">
        <v>13</v>
      </c>
      <c r="E21" s="277" t="s">
        <v>14</v>
      </c>
      <c r="F21" s="277" t="s">
        <v>15</v>
      </c>
      <c r="G21" s="314" t="s">
        <v>16</v>
      </c>
      <c r="H21" s="340" t="s">
        <v>17</v>
      </c>
      <c r="I21" s="340" t="s">
        <v>18</v>
      </c>
      <c r="J21" s="316" t="s">
        <v>19</v>
      </c>
      <c r="K21" s="129" t="s">
        <v>20</v>
      </c>
      <c r="L21" s="129" t="s">
        <v>21</v>
      </c>
      <c r="M21" s="134" t="s">
        <v>22</v>
      </c>
      <c r="N21" s="138"/>
      <c r="O21" s="139"/>
    </row>
    <row r="22" spans="1:33">
      <c r="B22" s="141" t="s">
        <v>34</v>
      </c>
      <c r="C22" s="278">
        <f>'Monitored Datas'!C21</f>
        <v>1.8627432915829602E-2</v>
      </c>
      <c r="D22" s="279">
        <f>'Monitored Datas'!D21</f>
        <v>2.3133470220291795E-2</v>
      </c>
      <c r="E22" s="279">
        <f>'Monitored Datas'!E21</f>
        <v>1.6700484574169772E-2</v>
      </c>
      <c r="F22" s="279">
        <f>'Monitored Datas'!F21</f>
        <v>2.0242863175053506E-2</v>
      </c>
      <c r="G22" s="315">
        <f>'Monitored Datas'!G21</f>
        <v>2.0886220276636662E-2</v>
      </c>
      <c r="H22" s="341">
        <f>'Monitored Datas'!H21</f>
        <v>1.5563321477915785E-2</v>
      </c>
      <c r="I22" s="341">
        <f>'Monitored Datas'!I21</f>
        <v>2.486091456557107E-2</v>
      </c>
      <c r="J22" s="317">
        <f>'Monitored Datas'!J21</f>
        <v>2.9722809598669461E-2</v>
      </c>
      <c r="K22" s="349" t="e">
        <f>'Monitored Datas'!K21</f>
        <v>#DIV/0!</v>
      </c>
      <c r="L22" s="349" t="e">
        <f>'Monitored Datas'!L21</f>
        <v>#DIV/0!</v>
      </c>
      <c r="M22" s="350">
        <f>'Monitored Datas'!M21</f>
        <v>0</v>
      </c>
      <c r="N22" s="351">
        <v>0.43</v>
      </c>
      <c r="O22" s="352" t="str">
        <f>IF(AND('fixé en amont'!E6&gt;20,'fixé en amont'!E7&lt;1000),"0,025",IF(AND('fixé en amont'!E6&gt;20,'fixé en amont'!E7&gt;1000),"0,035",IF(AND('fixé en amont'!E6&lt;20,'fixé en amont'!E9&lt;1),"0,02","0,03")))</f>
        <v>0,035</v>
      </c>
      <c r="U22" s="9"/>
      <c r="V22" s="11"/>
      <c r="W22" s="11"/>
      <c r="X22" s="88"/>
      <c r="Y22" s="88"/>
      <c r="Z22" s="88"/>
      <c r="AA22" s="88"/>
      <c r="AB22" s="88"/>
      <c r="AC22" s="88"/>
      <c r="AD22" s="88"/>
      <c r="AE22" s="88"/>
      <c r="AF22" s="87"/>
      <c r="AG22" s="89"/>
    </row>
    <row r="23" spans="1:33">
      <c r="B23" s="142" t="s">
        <v>74</v>
      </c>
      <c r="C23" s="278">
        <f>'Monitored Datas'!C22</f>
        <v>6.4474891971885412E-2</v>
      </c>
      <c r="D23" s="279">
        <f>'Monitored Datas'!D22</f>
        <v>6.3671602843484179E-2</v>
      </c>
      <c r="E23" s="279">
        <f>'Monitored Datas'!E22</f>
        <v>5.108993555716191E-2</v>
      </c>
      <c r="F23" s="279">
        <f>'Monitored Datas'!F22</f>
        <v>6.4215928476889214E-2</v>
      </c>
      <c r="G23" s="315">
        <f>'Monitored Datas'!G22</f>
        <v>5.0587955706311208E-2</v>
      </c>
      <c r="H23" s="341">
        <f>'Monitored Datas'!H22</f>
        <v>5.1494062489701065E-2</v>
      </c>
      <c r="I23" s="341">
        <f>'Monitored Datas'!I22</f>
        <v>6.9416248101477132E-2</v>
      </c>
      <c r="J23" s="317">
        <f>'Monitored Datas'!J22</f>
        <v>6.0384161566370692E-2</v>
      </c>
      <c r="K23" s="349" t="e">
        <f>'Monitored Datas'!K22</f>
        <v>#DIV/0!</v>
      </c>
      <c r="L23" s="349" t="e">
        <f>'Monitored Datas'!L22</f>
        <v>#DIV/0!</v>
      </c>
      <c r="M23" s="350">
        <f>'Monitored Datas'!M22</f>
        <v>0</v>
      </c>
      <c r="N23" s="353">
        <v>0.4</v>
      </c>
      <c r="O23" s="352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3" s="9"/>
      <c r="V23" s="11"/>
      <c r="W23" s="11"/>
      <c r="X23" s="88"/>
      <c r="Y23" s="88"/>
      <c r="Z23" s="88"/>
      <c r="AA23" s="88"/>
      <c r="AB23" s="88"/>
      <c r="AC23" s="88"/>
      <c r="AD23" s="88"/>
      <c r="AE23" s="88"/>
      <c r="AF23" s="90"/>
      <c r="AG23" s="89"/>
    </row>
    <row r="24" spans="1:33">
      <c r="B24" s="142" t="s">
        <v>36</v>
      </c>
      <c r="C24" s="278">
        <f>'Monitored Datas'!C23</f>
        <v>6.2037329718737197E-2</v>
      </c>
      <c r="D24" s="279">
        <f>'Monitored Datas'!D23</f>
        <v>7.6290552099794712E-2</v>
      </c>
      <c r="E24" s="279">
        <f>'Monitored Datas'!E23</f>
        <v>7.3097908221576829E-2</v>
      </c>
      <c r="F24" s="279">
        <f>'Monitored Datas'!F23</f>
        <v>5.9710378688412287E-2</v>
      </c>
      <c r="G24" s="315">
        <f>'Monitored Datas'!G23</f>
        <v>6.7891252628060131E-2</v>
      </c>
      <c r="H24" s="341">
        <f>'Monitored Datas'!H23</f>
        <v>6.6916773662058865E-2</v>
      </c>
      <c r="I24" s="341">
        <f>'Monitored Datas'!I23</f>
        <v>6.4099619859834686E-2</v>
      </c>
      <c r="J24" s="317">
        <f>'Monitored Datas'!J23</f>
        <v>5.628631442299159E-2</v>
      </c>
      <c r="K24" s="349" t="e">
        <f>'Monitored Datas'!K23</f>
        <v>#DIV/0!</v>
      </c>
      <c r="L24" s="349" t="e">
        <f>'Monitored Datas'!L23</f>
        <v>#DIV/0!</v>
      </c>
      <c r="M24" s="350">
        <f>'Monitored Datas'!M23</f>
        <v>0</v>
      </c>
      <c r="N24" s="351">
        <v>0.24</v>
      </c>
      <c r="O24" s="352" t="str">
        <f>IF(AND('fixé en amont'!E6&gt;20,'fixé en amont'!E7&lt;1000),"0,045",IF(AND('fixé en amont'!E6&gt;20,'fixé en amont'!E7&gt;1000),"0,07",IF(AND('fixé en amont'!E6&lt;20,'fixé en amont'!E9&lt;1),"0,04","0,06")))</f>
        <v>0,07</v>
      </c>
      <c r="U24" s="9"/>
      <c r="V24" s="11"/>
      <c r="W24" s="11"/>
      <c r="X24" s="88"/>
      <c r="Y24" s="88"/>
      <c r="Z24" s="88"/>
      <c r="AA24" s="88"/>
      <c r="AB24" s="88"/>
      <c r="AC24" s="88"/>
      <c r="AD24" s="88"/>
      <c r="AE24" s="88"/>
      <c r="AF24" s="87"/>
      <c r="AG24" s="89"/>
    </row>
    <row r="25" spans="1:33">
      <c r="B25" s="142" t="s">
        <v>75</v>
      </c>
      <c r="C25" s="278">
        <f>'Monitored Datas'!C24</f>
        <v>0.47463833582476861</v>
      </c>
      <c r="D25" s="279">
        <f>'Monitored Datas'!D24</f>
        <v>0.55697007479451299</v>
      </c>
      <c r="E25" s="279">
        <f>'Monitored Datas'!E24</f>
        <v>0.60152418746676406</v>
      </c>
      <c r="F25" s="279">
        <f>'Monitored Datas'!F24</f>
        <v>0.55137718757460619</v>
      </c>
      <c r="G25" s="315">
        <f>'Monitored Datas'!G24</f>
        <v>0.71648991021662956</v>
      </c>
      <c r="H25" s="341">
        <f>'Monitored Datas'!H24</f>
        <v>0.74579102379602635</v>
      </c>
      <c r="I25" s="341">
        <f>'Monitored Datas'!I24</f>
        <v>0.66173143070567353</v>
      </c>
      <c r="J25" s="317">
        <f>'Monitored Datas'!J24</f>
        <v>0.69182622666667848</v>
      </c>
      <c r="K25" s="349" t="e">
        <f>'Monitored Datas'!K24</f>
        <v>#DIV/0!</v>
      </c>
      <c r="L25" s="349" t="e">
        <f>'Monitored Datas'!L24</f>
        <v>#DIV/0!</v>
      </c>
      <c r="M25" s="350">
        <f>'Monitored Datas'!M24</f>
        <v>0</v>
      </c>
      <c r="N25" s="351">
        <v>0.15</v>
      </c>
      <c r="O25" s="352" t="str">
        <f>IF(AND('fixé en amont'!E6&gt;20,'fixé en amont'!E7&lt;1000),"0,085",IF(AND('fixé en amont'!E6&gt;20,'fixé en amont'!E7&gt;1000),"0,4",IF(AND('fixé en amont'!E6&lt;20,'fixé en amont'!E9&lt;1),"0,06","0,185")))</f>
        <v>0,4</v>
      </c>
      <c r="U25" s="9"/>
      <c r="V25" s="11"/>
      <c r="W25" s="11"/>
      <c r="X25" s="88"/>
      <c r="Y25" s="88"/>
      <c r="Z25" s="88"/>
      <c r="AA25" s="88"/>
      <c r="AB25" s="88"/>
      <c r="AC25" s="88"/>
      <c r="AD25" s="88"/>
      <c r="AE25" s="88"/>
      <c r="AF25" s="87"/>
      <c r="AG25" s="89"/>
    </row>
    <row r="26" spans="1:33">
      <c r="B26" s="142" t="s">
        <v>76</v>
      </c>
      <c r="C26" s="278">
        <f>'Monitored Datas'!C25</f>
        <v>0.26935722153795805</v>
      </c>
      <c r="D26" s="279">
        <f>'Monitored Datas'!D25</f>
        <v>0.17726777509707581</v>
      </c>
      <c r="E26" s="279">
        <f>'Monitored Datas'!E25</f>
        <v>0.14988681744371379</v>
      </c>
      <c r="F26" s="279">
        <f>'Monitored Datas'!F25</f>
        <v>0.1746458907181401</v>
      </c>
      <c r="G26" s="315">
        <f>'Monitored Datas'!G25</f>
        <v>0.13291356237891175</v>
      </c>
      <c r="H26" s="341">
        <f>'Monitored Datas'!H25</f>
        <v>0.11089261182255832</v>
      </c>
      <c r="I26" s="341">
        <f>'Monitored Datas'!I25</f>
        <v>3.5188050204032435E-2</v>
      </c>
      <c r="J26" s="317">
        <f>'Monitored Datas'!J25</f>
        <v>3.1102774904855551E-2</v>
      </c>
      <c r="K26" s="349" t="e">
        <f>'Monitored Datas'!K25</f>
        <v>#DIV/0!</v>
      </c>
      <c r="L26" s="349" t="e">
        <f>'Monitored Datas'!L25</f>
        <v>#DIV/0!</v>
      </c>
      <c r="M26" s="350">
        <f>'Monitored Datas'!M25</f>
        <v>0</v>
      </c>
      <c r="N26" s="353">
        <v>0.2</v>
      </c>
      <c r="O26" s="352" t="str">
        <f>IF(AND('fixé en amont'!E6&gt;20,'fixé en amont'!E7&lt;1000),"0,065",IF(AND('fixé en amont'!E6&gt;20,'fixé en amont'!E7&gt;1000),"0,17",IF(AND('fixé en amont'!E6&lt;20,'fixé en amont'!E9&lt;1),"0,05","0,1")))</f>
        <v>0,17</v>
      </c>
      <c r="U26" s="9"/>
      <c r="V26" s="11"/>
      <c r="W26" s="11"/>
      <c r="X26" s="88"/>
      <c r="Y26" s="88"/>
      <c r="Z26" s="88"/>
      <c r="AA26" s="88"/>
      <c r="AB26" s="88"/>
      <c r="AC26" s="88"/>
      <c r="AD26" s="88"/>
      <c r="AE26" s="88"/>
      <c r="AF26" s="90"/>
      <c r="AG26" s="89"/>
    </row>
    <row r="27" spans="1:33" ht="15" thickBot="1">
      <c r="B27" s="182" t="s">
        <v>77</v>
      </c>
      <c r="C27" s="280">
        <f t="shared" ref="C27:G27" si="1">SUM(C26,C25,C24,C23,C22)</f>
        <v>0.88913521196917877</v>
      </c>
      <c r="D27" s="281">
        <f t="shared" si="1"/>
        <v>0.89733347505515948</v>
      </c>
      <c r="E27" s="281">
        <f t="shared" si="1"/>
        <v>0.89229933326338629</v>
      </c>
      <c r="F27" s="281">
        <f t="shared" si="1"/>
        <v>0.8701922486331013</v>
      </c>
      <c r="G27" s="315">
        <f t="shared" si="1"/>
        <v>0.98876890120654937</v>
      </c>
      <c r="H27" s="342">
        <f>SUM(H26,H25,H24,H23,H22)</f>
        <v>0.99065779324826031</v>
      </c>
      <c r="I27" s="342">
        <f>SUM(I26,I25,I24,I23,I22)</f>
        <v>0.85529626343658893</v>
      </c>
      <c r="J27" s="318">
        <f t="shared" ref="J27:M27" si="2">SUM(J26,J25,J24,J23,J22)</f>
        <v>0.86932228715956583</v>
      </c>
      <c r="K27" s="354" t="e">
        <f t="shared" si="2"/>
        <v>#DIV/0!</v>
      </c>
      <c r="L27" s="354" t="e">
        <f t="shared" si="2"/>
        <v>#DIV/0!</v>
      </c>
      <c r="M27" s="354">
        <f t="shared" si="2"/>
        <v>0</v>
      </c>
      <c r="N27" s="137"/>
      <c r="O27" s="135"/>
    </row>
    <row r="28" spans="1:33">
      <c r="F28" s="11"/>
    </row>
    <row r="29" spans="1:33" ht="15" thickBot="1"/>
    <row r="30" spans="1:33" ht="15" thickBot="1">
      <c r="B30" s="132" t="s">
        <v>8</v>
      </c>
      <c r="C30" s="177" t="s">
        <v>10</v>
      </c>
      <c r="D30" s="177" t="s">
        <v>78</v>
      </c>
      <c r="F30" s="132" t="s">
        <v>8</v>
      </c>
      <c r="G30" s="149" t="s">
        <v>79</v>
      </c>
      <c r="H30" s="149" t="s">
        <v>80</v>
      </c>
      <c r="I30" s="150" t="s">
        <v>81</v>
      </c>
      <c r="J30" s="150" t="s">
        <v>81</v>
      </c>
      <c r="K30" s="150" t="s">
        <v>81</v>
      </c>
      <c r="L30" s="150" t="s">
        <v>81</v>
      </c>
      <c r="M30" s="150" t="s">
        <v>81</v>
      </c>
      <c r="N30" s="151"/>
    </row>
    <row r="31" spans="1:33">
      <c r="B31" s="282" t="s">
        <v>12</v>
      </c>
      <c r="C31" s="284">
        <f>'Monitored Datas'!H6</f>
        <v>2614.4494500000001</v>
      </c>
      <c r="D31" s="285">
        <f>'Monitored Datas'!I6</f>
        <v>2940.4400000000005</v>
      </c>
      <c r="F31" s="148"/>
      <c r="G31" s="287" t="s">
        <v>82</v>
      </c>
      <c r="H31" s="287" t="s">
        <v>83</v>
      </c>
      <c r="I31" s="288" t="s">
        <v>34</v>
      </c>
      <c r="J31" s="288" t="s">
        <v>74</v>
      </c>
      <c r="K31" s="288" t="s">
        <v>36</v>
      </c>
      <c r="L31" s="288" t="s">
        <v>75</v>
      </c>
      <c r="M31" s="288" t="s">
        <v>76</v>
      </c>
      <c r="N31" s="289" t="s">
        <v>84</v>
      </c>
      <c r="R31" s="14"/>
      <c r="S31" s="9"/>
      <c r="T31" s="9"/>
      <c r="U31" s="9"/>
      <c r="V31" s="9"/>
      <c r="W31" s="9"/>
    </row>
    <row r="32" spans="1:33">
      <c r="B32" s="283" t="s">
        <v>13</v>
      </c>
      <c r="C32" s="284">
        <f>'Monitored Datas'!H7</f>
        <v>2848.5081913599997</v>
      </c>
      <c r="D32" s="285">
        <f>'Monitored Datas'!I7</f>
        <v>3174.4582399999995</v>
      </c>
      <c r="F32" s="283" t="s">
        <v>12</v>
      </c>
      <c r="G32" s="269">
        <v>1</v>
      </c>
      <c r="H32" s="269">
        <v>1</v>
      </c>
      <c r="I32" s="290">
        <f>($D31*$C$22*$N$22*(1-EXP(-$O$22)))*(EXP(-$O$22*($G$41-$H32))+EXP(-$O$22*($G$41-$H33))+EXP(-$O$22*($G$41-$H34))+EXP(-$O$22*($G$41-$H35))+EXP(-$O$22*($G$41-$H36))+EXP(-$O$22*($G$41-$H37))+EXP(-$O$22*($G$41-$H38))+EXP(-$O$22*($G$41-$H39))+EXP(-$O$22*($G$41-$H40))+EXP(-$O$22*($G$41-$H41)))</f>
        <v>6.9552820880538269</v>
      </c>
      <c r="J32" s="290">
        <f>($D31*$C$23*$N$23*(1-EXP(-$O$23)))*(EXP(-$O$23*($G$41-$H32))+EXP(-$O$23*($G$41-$H33))+EXP(-$O$23*($G$41-$H34))+EXP(-$O$23*($G$41-$H35))+EXP(-$O$23*($G$41-$H36))+EXP(-$O$23*($G$41-$H37))+EXP(-$O$23*($G$41-$H38))+EXP(-$O$23*($G$41-$H39))+EXP(-$O$23*($G$41-$H40))+EXP(-$O$23*($G$41-$H41)))</f>
        <v>38.175859729442735</v>
      </c>
      <c r="K32" s="290">
        <f>($D31*$C$24*$N$24*(1-EXP(-$O$24)))*(EXP(-$O$24*($G$41-$H32))+EXP(-$O$24*($G$41-$H33))+EXP(-$O$24*($G$41-$H34))+EXP(-$O$24*($G$41-$H35))+EXP(-$O$24*($G$41-$H36))+EXP(-$O$24*($G$41-$H37))+EXP(-$O$24*($G$41-$H38))+EXP(-$O$24*($G$41-$H39))+EXP(-$O$24*($G$41-$H40))+EXP(-$O$24*($G$41-$H41)))</f>
        <v>22.039541206500243</v>
      </c>
      <c r="L32" s="290">
        <f>($D31*$C$25*$N$25*(1-EXP(-$O$25)))*(EXP(-$O$25*($G$41-$H32))+EXP(-$O$25*($G$41-$H33))+EXP(-$O$25*($G$41-$H34))+EXP(-$O$25*($G$41-$H35))+EXP(-$O$25*($G$41-$H36))+EXP(-$O$25*($G$41-$H37))+EXP(-$O$25*($G$41-$H38))+EXP(-$O$25*($G$41-$H39))+EXP(-$O$25*($G$41-$H40))+EXP(-$O$25*($G$41-$H41)))</f>
        <v>205.51251124728265</v>
      </c>
      <c r="M32" s="290">
        <f>($D31*$C$26*$N$26*(1-EXP(-$O$26)))*(EXP(-$O$26*($G$41-$H32))+EXP(-$O$26*($G$41-$H33))+EXP(-$O$26*($G$41-$H34))+EXP(-$O$26*($G$41-$H35))+EXP(-$O$26*($G$41-$H36))+EXP(-$O$26*($G$41-$H37))+EXP(-$O$26*($G$41-$H38))+EXP(-$O$26*($G$41-$H39))+EXP(-$O$26*($G$41-$H40))+EXP(-$O$26*($G$41-$H41)))</f>
        <v>129.4676291144371</v>
      </c>
      <c r="N32" s="291">
        <f>SUM(I32,J32,K32,L32,M32)</f>
        <v>402.15082338571654</v>
      </c>
      <c r="S32" s="11"/>
    </row>
    <row r="33" spans="2:18">
      <c r="B33" s="283" t="s">
        <v>14</v>
      </c>
      <c r="C33" s="284">
        <f>'Monitored Datas'!H8</f>
        <v>1941.0430100000001</v>
      </c>
      <c r="D33" s="285">
        <f>'Monitored Datas'!I8</f>
        <v>2175.29</v>
      </c>
      <c r="F33" s="283" t="s">
        <v>13</v>
      </c>
      <c r="G33" s="269">
        <v>2</v>
      </c>
      <c r="H33" s="269">
        <v>2</v>
      </c>
      <c r="I33" s="290">
        <f>($D32*$D$22*$N$22*(1-EXP(-$O$22)))*(EXP(-$O$22*($G$41-$H33))+EXP(-$O$22*($G$41-$H34))+EXP(-$O$22*($G$41-$H35))+EXP(-$O$22*($G$41-$H36))+EXP(-$O$22*($G$41-$H37))+EXP(-$O$22*($G$41-$H38))+EXP(-$O$22*($G$41-$H39))+EXP(-$O$22*($G$41-$H40))+EXP(-$O$22*($G$41-$H41)))</f>
        <v>8.5326137420408301</v>
      </c>
      <c r="J33" s="290">
        <f>($D32*$D$23*$N$23*(1-EXP(-$O$23)))*(EXP(-$O$23*($G$41-$H33))+EXP(-$O$23*($G$41-$H34))+EXP(-$O$23*($G$41-$H35))+EXP(-$O$23*($G$41-$H36))+EXP(-$O$23*($G$41-$H37))+EXP(-$O$23*($G$41-$H38))+EXP(-$O$23*($G$41-$H39))+EXP(-$O$23*($G$41-$H40))+EXP(-$O$23*($G$41-$H41)))</f>
        <v>37.789549851945075</v>
      </c>
      <c r="K33" s="290">
        <f>($D32*$D$24*$N$24*(1-EXP(-$O$24)))*(EXP(-$O$24*($G$41-$H33))+EXP(-$O$24*($G$41-$H34))+EXP(-$O$24*($G$41-$H35))+EXP(-$O$24*($G$41-$H36))+EXP(-$O$24*($G$41-$H37))+EXP(-$O$24*($G$41-$H38))+EXP(-$O$24*($G$41-$H39))+EXP(-$O$24*($G$41-$H40))+EXP(-$O$24*($G$41-$H41)))</f>
        <v>27.167391675951514</v>
      </c>
      <c r="L33" s="290">
        <f>($D32*$D$25*$N$25*(1-EXP(-$O$25)))*(EXP(-$O$25*($G$41-$H33))+EXP(-$O$25*($G$41-$H34))+EXP(-$O$25*($G$41-$H35))+EXP(-$O$25*($G$41-$H36))+EXP(-$O$25*($G$41-$H37))+EXP(-$O$25*($G$41-$H38))+EXP(-$O$25*($G$41-$H39))+EXP(-$O$25*($G$41-$H40))+EXP(-$O$25*($G$41-$H41)))</f>
        <v>257.96516462670894</v>
      </c>
      <c r="M33" s="290">
        <f>($D32*$D$26*$N$26*(1-EXP(-$O$26)))*(EXP(-$O$26*($G$41-$H33))+EXP(-$O$26*($G$41-$H34))+EXP(-$O$26*($G$41-$H35))+EXP(-$O$26*($G$41-$H36))+EXP(-$O$26*($G$41-$H37))+EXP(-$O$26*($G$41-$H38))+EXP(-$O$26*($G$41-$H39))+EXP(-$O$26*($G$41-$H40))+EXP(-$O$26*($G$41-$H41)))</f>
        <v>88.175643494428272</v>
      </c>
      <c r="N33" s="291">
        <f t="shared" ref="N33:N40" si="3">SUM(I33,J33,K33,L33,M33)</f>
        <v>419.63036339107464</v>
      </c>
    </row>
    <row r="34" spans="2:18">
      <c r="B34" s="283" t="s">
        <v>15</v>
      </c>
      <c r="C34" s="284">
        <f>'Monitored Datas'!H9</f>
        <v>2722.3520800000001</v>
      </c>
      <c r="D34" s="286">
        <f>'Monitored Datas'!I9</f>
        <v>3128.44</v>
      </c>
      <c r="E34" s="91"/>
      <c r="F34" s="283" t="s">
        <v>14</v>
      </c>
      <c r="G34" s="269">
        <v>3</v>
      </c>
      <c r="H34" s="269">
        <v>3</v>
      </c>
      <c r="I34" s="290">
        <f>($D33*$E$22*$N$22*(1-EXP(-$O$22)))*(EXP(-$O$22*($G$41-$H34))+EXP(-$O$22*($G$41-$H35))+EXP(-$O$22*($G$41-$H36))+EXP(-$O$22*($G$41-$H37))+EXP(-$O$22*($G$41-$H38))+EXP(-$O$22*($G$41-$H39))+EXP(-$O$22*($G$41-$H40))+EXP(-$O$22*($G$41-$H41)))</f>
        <v>3.8149536429104183</v>
      </c>
      <c r="J34" s="290">
        <f>($D33*$E$23*$N$23*(1-EXP(-$O$23)))*(EXP(-$O$23*($G$41-$H34))+EXP(-$O$23*($G$41-$H35))+EXP(-$O$23*($G$41-$H36))+EXP(-$O$23*($G$41-$H37))+EXP(-$O$23*($G$41-$H38))+EXP(-$O$23*($G$41-$H39))+EXP(-$O$23*($G$41-$H40))+EXP(-$O$23*($G$41-$H41)))</f>
        <v>19.061545327599745</v>
      </c>
      <c r="K34" s="290">
        <f>($D33*$E$24*$N$24*(1-EXP(-$O$24)))*(EXP(-$O$24*($G$41-$H34))+EXP(-$O$24*($G$41-$H35))+EXP(-$O$24*($G$41-$H36))+EXP(-$O$24*($G$41-$H37))+EXP(-$O$24*($G$41-$H38))+EXP(-$O$24*($G$41-$H39))+EXP(-$O$24*($G$41-$H40))+EXP(-$O$24*($G$41-$H41)))</f>
        <v>16.363603622392766</v>
      </c>
      <c r="L34" s="290">
        <f>($D33*$E$25*$N$25*(1-EXP(-$O$25)))*(EXP(-$O$25*($G$41-$H34))+EXP(-$O$25*($G$41-$H35))+EXP(-$O$25*($G$41-$H36))+EXP(-$O$25*($G$41-$H37))+EXP(-$O$25*($G$41-$H38))+EXP(-$O$25*($G$41-$H39))+EXP(-$O$25*($G$41-$H40))+EXP(-$O$25*($G$41-$H41)))</f>
        <v>188.27289477358804</v>
      </c>
      <c r="M34" s="290">
        <f>($D33*$E$26*$N$26*(1-EXP(-$O$26)))*(EXP(-$O$26*($G$41-$H34))+EXP(-$O$26*($G$41-$H35))+EXP(-$O$26*($G$41-$H36))+EXP(-$O$26*($G$41-$H37))+EXP(-$O$26*($G$41-$H38))+EXP(-$O$26*($G$41-$H39))+EXP(-$O$26*($G$41-$H40))+EXP(-$O$26*($G$41-$H41)))</f>
        <v>48.472748605753338</v>
      </c>
      <c r="N34" s="291">
        <f t="shared" si="3"/>
        <v>275.98574597224433</v>
      </c>
    </row>
    <row r="35" spans="2:18">
      <c r="B35" s="319" t="s">
        <v>16</v>
      </c>
      <c r="C35" s="284">
        <f>'Monitored Datas'!H10</f>
        <v>4643.8119268277369</v>
      </c>
      <c r="D35" s="286">
        <f>'Monitored Datas'!I10</f>
        <v>4696.5594500000007</v>
      </c>
      <c r="E35" s="91"/>
      <c r="F35" s="283" t="s">
        <v>15</v>
      </c>
      <c r="G35" s="269">
        <v>4</v>
      </c>
      <c r="H35" s="269">
        <v>4</v>
      </c>
      <c r="I35" s="290">
        <f>($D34*$F$22*$N$22*(1-EXP(-$O$22)))*(EXP(-$O$22*($G$41-$H35))+EXP(-$O$22*($G$41-$H36))+EXP(-$O$22*($G$41-$H37))+EXP(-$O$22*($G$41-$H38))+EXP(-$O$22*($G$41-$H39))+EXP(-$O$22*($G$41-$H40))+EXP(-$O$22*($G$41-$H41)))</f>
        <v>5.9172358727341372</v>
      </c>
      <c r="J35" s="290">
        <f>($D34*$F$23*$N$23*(1-EXP(-$O$23)))*(EXP(-$O$23*($G$41-$H35))+EXP(-$O$23*($G$41-$H36))+EXP(-$O$23*($G$41-$H37))+EXP(-$O$23*($G$41-$H38))+EXP(-$O$23*($G$41-$H39))+EXP(-$O$23*($G$41-$H40))+EXP(-$O$23*($G$41-$H41)))</f>
        <v>31.128673470842735</v>
      </c>
      <c r="K35" s="290">
        <f>($D34*$F$24*$N$24*(1-EXP(-$O$24)))*(EXP(-$O$24*($G$41-$H35))+EXP(-$O$24*($G$41-$H36))+EXP(-$O$24*($G$41-$H37))+EXP(-$O$24*($G$41-$H38))+EXP(-$O$24*($G$41-$H39))+EXP(-$O$24*($G$41-$H40))+EXP(-$O$24*($G$41-$H41)))</f>
        <v>17.366764836368148</v>
      </c>
      <c r="L35" s="290">
        <f>($D34*$F$25*$N$25*(1-EXP(-$O$25)))*(EXP(-$O$25*($G$41-$H35))+EXP(-$O$25*($G$41-$H36))+EXP(-$O$25*($G$41-$H37))+EXP(-$O$25*($G$41-$H38))+EXP(-$O$25*($G$41-$H39))+EXP(-$O$25*($G$41-$H40))+EXP(-$O$25*($G$41-$H41)))</f>
        <v>243.00841558279578</v>
      </c>
      <c r="M35" s="290">
        <f>($D34*$F$26*$N$26*(1-EXP(-$O$26)))*(EXP(-$O$26*($G$41-$H35))+EXP(-$O$26*($G$41-$H36))+EXP(-$O$26*($G$41-$H37))+EXP(-$O$26*($G$41-$H38))+EXP(-$O$26*($G$41-$H39))+EXP(-$O$26*($G$41-$H40))+EXP(-$O$26*($G$41-$H41)))</f>
        <v>76.030412924073431</v>
      </c>
      <c r="N35" s="291">
        <f t="shared" si="3"/>
        <v>373.45150268681425</v>
      </c>
      <c r="R35" s="91"/>
    </row>
    <row r="36" spans="2:18">
      <c r="B36" s="283" t="s">
        <v>17</v>
      </c>
      <c r="C36" s="284">
        <f>'Monitored Datas'!H11</f>
        <v>3919.928868815075</v>
      </c>
      <c r="D36" s="286">
        <f>'Monitored Datas'!I11</f>
        <v>3956.895</v>
      </c>
      <c r="E36" s="91"/>
      <c r="F36" s="319" t="s">
        <v>16</v>
      </c>
      <c r="G36" s="321">
        <v>5</v>
      </c>
      <c r="H36" s="321">
        <v>5</v>
      </c>
      <c r="I36" s="322">
        <f>($D35*$G$22*$N$22*(1-EXP(-$O$22)))*(EXP(-$O$22*($G$41-$H36))+EXP(-$O$22*($G$41-$H37))+EXP(-$O$22*($G$41-$H38))+EXP(-$O$22*($G$41-$H39))+EXP(-$O$22*($G$41-$H40))+EXP(-$O$22*($G$41-$H41)))</f>
        <v>7.9895851716233883</v>
      </c>
      <c r="J36" s="322">
        <f>($D35*$G$23*$N$23*(1-EXP(-$O$23)))*(EXP(-$O$23*($G$41-$H36))+EXP(-$O$23*($G$41-$H37))+EXP(-$O$23*($G$41-$H38))+EXP(-$O$23*($G$41-$H39))+EXP(-$O$23*($G$41-$H40))+EXP(-$O$23*($G$41-$H41)))</f>
        <v>32.592808088401704</v>
      </c>
      <c r="K36" s="322">
        <f>($D35*$G$24*$N$24*(1-EXP(-$O$24)))*(EXP(-$O$24*($G$41-$H36))+EXP(-$O$24*($G$41-$H37))+EXP(-$O$24*($G$41-$H38))+EXP(-$O$24*($G$41-$H39))+EXP(-$O$24*($G$41-$H40))+EXP(-$O$24*($G$41-$H41)))</f>
        <v>26.244585734602079</v>
      </c>
      <c r="L36" s="322">
        <f>($D35*$G$25*$N$25*(1-EXP(-$O$25)))*(EXP(-$O$25*($G$41-$H36))+EXP(-$O$25*($G$41-$H37))+EXP(-$O$25*($G$41-$H38))+EXP(-$O$25*($G$41-$H39))+EXP(-$O$25*($G$41-$H40))+EXP(-$O$25*($G$41-$H41)))</f>
        <v>458.96522214989142</v>
      </c>
      <c r="M36" s="322">
        <f>($D35*$G$26*$N$26*(1-EXP(-$O$26)))*(EXP(-$O$26*($G$41-$H36))+EXP(-$O$26*($G$41-$H37))+EXP(-$O$26*($G$41-$H38))+EXP(-$O$26*($G$41-$H39))+EXP(-$O$26*($G$41-$H40))+EXP(-$O$26*($G$41-$H41)))</f>
        <v>79.827988602237411</v>
      </c>
      <c r="N36" s="323">
        <f>SUM(I36,J36,K36,L36,M36)</f>
        <v>605.62018974675595</v>
      </c>
      <c r="R36" s="91"/>
    </row>
    <row r="37" spans="2:18">
      <c r="B37" s="320" t="s">
        <v>18</v>
      </c>
      <c r="C37" s="165">
        <f>'Monitored Datas'!H12</f>
        <v>4221.062703700225</v>
      </c>
      <c r="D37" s="195">
        <f>'Monitored Datas'!I12</f>
        <v>4935.2053599999999</v>
      </c>
      <c r="E37" s="91"/>
      <c r="F37" s="283" t="s">
        <v>17</v>
      </c>
      <c r="G37" s="269">
        <v>6</v>
      </c>
      <c r="H37" s="269">
        <v>6</v>
      </c>
      <c r="I37" s="290">
        <f>($D36*$H$22*$N$22*(1-EXP(-$O$22)))*(EXP(-$O$22*($G$41-$H37))+EXP(-$O$22*($G$41-$H38))+EXP(-$O$22*($G$41-$H39))+EXP(-$O$22*($G$41-$H40))+EXP(-$O$22*($G$41-$H41)))</f>
        <v>4.2512494423830125</v>
      </c>
      <c r="J37" s="290">
        <f>($D36*$H$23*$N$23*(1-EXP(-$O$23)))*(EXP(-$O$23*($G$41-$H37))+EXP(-$O$23*($G$41-$H38))+EXP(-$O$23*($G$41-$H39))+EXP(-$O$23*($G$41-$H40))+EXP(-$O$23*($G$41-$H41)))</f>
        <v>24.068700121799672</v>
      </c>
      <c r="K37" s="290">
        <f>($D36*$H$24*$N$24*(1-EXP(-$O$24)))*(EXP(-$O$24*($G$41-$H37))+EXP(-$O$24*($G$41-$H38))+EXP(-$O$24*($G$41-$H39))+EXP(-$O$24*($G$41-$H40))+EXP(-$O$24*($G$41-$H41)))</f>
        <v>18.766432639249164</v>
      </c>
      <c r="L37" s="290">
        <f>($D36*$H$25*$N$25*(1-EXP(-$O$25)))*(EXP(-$O$25*($G$41-$H37))+EXP(-$O$25*($G$41-$H38))+EXP(-$O$25*($G$41-$H39))+EXP(-$O$25*($G$41-$H40))+EXP(-$O$25*($G$41-$H41)))</f>
        <v>382.7460123419155</v>
      </c>
      <c r="M37" s="290">
        <f>($D36*$H$26*$N$26*(1-EXP(-$O$26)))*(EXP(-$O$26*($G$41-$H37))+EXP(-$O$26*($G$41-$H38))+EXP(-$O$26*($G$41-$H39))+EXP(-$O$26*($G$41-$H40))+EXP(-$O$26*($G$41-$H41)))</f>
        <v>50.248968643208464</v>
      </c>
      <c r="N37" s="291">
        <f>SUM(I37,J37,K37,L37,M37)</f>
        <v>480.08136318855583</v>
      </c>
      <c r="R37" s="91"/>
    </row>
    <row r="38" spans="2:18">
      <c r="B38" s="130" t="s">
        <v>19</v>
      </c>
      <c r="C38" s="166">
        <f>'Monitored Datas'!H13</f>
        <v>4387.9077217270569</v>
      </c>
      <c r="D38" s="167">
        <f>'Monitored Datas'!I13</f>
        <v>5047.5040000000008</v>
      </c>
      <c r="E38" s="91"/>
      <c r="F38" s="283" t="s">
        <v>18</v>
      </c>
      <c r="G38" s="269">
        <v>7</v>
      </c>
      <c r="H38" s="269">
        <v>7</v>
      </c>
      <c r="I38" s="290">
        <f>($D37*$I$22*$N$22*(1-EXP(-$O$22)))*(EXP(-$O$22*($G$41-$H38))+EXP(-$O$22*($G$41-$H39))+EXP(-$O$22*($G$41-$H40))+EXP(-$O$22*($G$41-$H41)))</f>
        <v>6.892437290731058</v>
      </c>
      <c r="J38" s="290">
        <f>($D37*$I$23*$N$23*(1-EXP(-$O$23)))*(EXP(-$O$23*($G$41-$H38))+EXP(-$O$23*($G$41-$H39))+EXP(-$O$23*($G$41-$H40))+EXP(-$O$23*($G$41-$H41)))</f>
        <v>33.465778353251309</v>
      </c>
      <c r="K38" s="290">
        <f>($D37*$I$24*$N$24*(1-EXP(-$O$24)))*(EXP(-$O$24*($G$41-$H38))+EXP(-$O$24*($G$41-$H39))+EXP(-$O$24*($G$41-$H40))+EXP(-$O$24*($G$41-$H41)))</f>
        <v>18.541569699540531</v>
      </c>
      <c r="L38" s="290">
        <f>($D37*$I$25*$N$25*(1-EXP(-$O$25)))*(EXP(-$O$25*($G$41-$H38))+EXP(-$O$25*($G$41-$H39))+EXP(-$O$25*($G$41-$H40))+EXP(-$O$25*($G$41-$H41)))</f>
        <v>390.96461872011395</v>
      </c>
      <c r="M38" s="290">
        <f>($D37*$I$26*$N$26*(1-EXP(-$O$26)))*(EXP(-$O$26*($G$41-$H38))+EXP(-$O$26*($G$41-$H39))+EXP(-$O$26*($G$41-$H40))+EXP(-$O$26*($G$41-$H41)))</f>
        <v>17.136203682537356</v>
      </c>
      <c r="N38" s="291">
        <f>SUM(I38,J38,K38,L38,M38)</f>
        <v>467.00060774617424</v>
      </c>
      <c r="R38" s="91"/>
    </row>
    <row r="39" spans="2:18">
      <c r="B39" s="130" t="s">
        <v>20</v>
      </c>
      <c r="C39" s="166">
        <f>'Monitored Datas'!H14</f>
        <v>0</v>
      </c>
      <c r="D39" s="167">
        <f>'Monitored Datas'!I14</f>
        <v>0</v>
      </c>
      <c r="E39" s="91"/>
      <c r="F39" s="320" t="s">
        <v>19</v>
      </c>
      <c r="G39" s="272">
        <v>8</v>
      </c>
      <c r="H39" s="272">
        <v>8</v>
      </c>
      <c r="I39" s="324">
        <f>($D38*$J$22*$N$22*(1-EXP(-$O$22)))*(EXP(-$O$22*($G$41-$H39))+EXP(-$O$22*($G$41-$H40))+EXP(-$O$22*($G$41-$H41)))</f>
        <v>6.4301826796183077</v>
      </c>
      <c r="J39" s="324">
        <f>($D38*$J$23*$N$23*(1-EXP(-$O$23)))*(EXP(-$O$23*($G$41-$H39))+EXP(-$O$23*($G$41-$H40))+EXP(-$O$23*($G$41-$H41)))</f>
        <v>23.092757807839178</v>
      </c>
      <c r="K39" s="324">
        <f>($D38*$J$24*$N$24*(1-EXP(-$O$24)))*(EXP(-$O$24*($G$41-$H39))+EXP(-$O$24*($G$41-$H40))+EXP(-$O$24*($G$41-$H41)))</f>
        <v>12.915369128085283</v>
      </c>
      <c r="L39" s="324">
        <f>($D38*$J$25*$N$25*(1-EXP(-$O$25)))*(EXP(-$O$25*($G$41-$H39))+EXP(-$O$25*($G$41-$H40))+EXP(-$O$25*($G$41-$H41)))</f>
        <v>366.03401545277717</v>
      </c>
      <c r="M39" s="324">
        <f>($D38*$J$26*$N$26*(1-EXP(-$O$26)))*(EXP(-$O$26*($G$41-$H39))+EXP(-$O$26*($G$41-$H40))+EXP(-$O$26*($G$41-$H41)))</f>
        <v>12.543750139067685</v>
      </c>
      <c r="N39" s="325">
        <f t="shared" si="3"/>
        <v>421.01607520738764</v>
      </c>
      <c r="R39" s="91"/>
    </row>
    <row r="40" spans="2:18">
      <c r="B40" s="130" t="s">
        <v>21</v>
      </c>
      <c r="C40" s="166">
        <f>'Monitored Datas'!H15</f>
        <v>0</v>
      </c>
      <c r="D40" s="167">
        <f>'Monitored Datas'!I15</f>
        <v>0</v>
      </c>
      <c r="E40" s="91"/>
      <c r="F40" s="130" t="s">
        <v>20</v>
      </c>
      <c r="G40" s="169">
        <v>9</v>
      </c>
      <c r="H40" s="169">
        <v>9</v>
      </c>
      <c r="I40" s="292" t="e">
        <f>($D39*$K$22*$N$22*(1-EXP(-$O$22)))*(EXP(-$O$22*($G$41-$H40))+EXP(-$O$22*($G$41-$H41)))</f>
        <v>#DIV/0!</v>
      </c>
      <c r="J40" s="292" t="e">
        <f>($D39*$K$23*$N$23*(1-EXP(-$O$23)))*(EXP(-$O$23*($G$41-$H40))+EXP(-$O$23*($G$41-$H41)))</f>
        <v>#DIV/0!</v>
      </c>
      <c r="K40" s="292" t="e">
        <f>($D39*$K$24*$N$24*(1-EXP(-$O$24)))*(EXP(-$O$24*($G$41-$H40))+EXP(-$O$24*($G$41-$H41)))</f>
        <v>#DIV/0!</v>
      </c>
      <c r="L40" s="292" t="e">
        <f>($D39*$K$25*$N$25*(1-EXP(-$O$25)))*(EXP(-$O$25*($G$41-$H40))+EXP(-$O$25*($G$41-$H41)))</f>
        <v>#DIV/0!</v>
      </c>
      <c r="M40" s="292" t="e">
        <f>($D39*$K$26*$N$26*(1-EXP(-$O$26)))*(EXP(-$O$26*($G$41-$H40))+EXP(-$O$26*($G$41-$H41)))</f>
        <v>#DIV/0!</v>
      </c>
      <c r="N40" s="293" t="e">
        <f t="shared" si="3"/>
        <v>#DIV/0!</v>
      </c>
      <c r="R40" s="91"/>
    </row>
    <row r="41" spans="2:18" ht="15" thickBot="1">
      <c r="B41" s="133" t="s">
        <v>22</v>
      </c>
      <c r="C41" s="166">
        <f>'Monitored Datas'!H16</f>
        <v>0</v>
      </c>
      <c r="D41" s="167">
        <f>'Monitored Datas'!P16</f>
        <v>0</v>
      </c>
      <c r="E41" s="91"/>
      <c r="F41" s="130" t="s">
        <v>21</v>
      </c>
      <c r="G41" s="169">
        <v>10</v>
      </c>
      <c r="H41" s="169">
        <v>10</v>
      </c>
      <c r="I41" s="292" t="e">
        <f>($D40*$L$22*$N$22*(1-EXP(-$O$22)))*(EXP(-$O$22*($G$41-$H41)))</f>
        <v>#DIV/0!</v>
      </c>
      <c r="J41" s="292" t="e">
        <f>($D40*$L$23*$N$23*(1-EXP(-$O$23)))*(EXP(-$O$23*($G$41-$H41)))</f>
        <v>#DIV/0!</v>
      </c>
      <c r="K41" s="292" t="e">
        <f>($D40*$L$24*$N$24*(1-EXP(-$O$24)))*(EXP(-$O$24*($G$41-$H41)))</f>
        <v>#DIV/0!</v>
      </c>
      <c r="L41" s="292" t="e">
        <f>($D40*$L$25*$N$25*(1-EXP(-$O$25)))*(EXP(-$O$25*($G$41-$H41)))</f>
        <v>#DIV/0!</v>
      </c>
      <c r="M41" s="292" t="e">
        <f>($D40*$L$26*$N$26*(1-EXP(-$O$26)))*(EXP(-$O$26*($G$41-$H41)))</f>
        <v>#DIV/0!</v>
      </c>
      <c r="N41" s="293" t="e">
        <f>SUM(I41,J41,K41,L41,M41)</f>
        <v>#DIV/0!</v>
      </c>
      <c r="R41" s="91"/>
    </row>
    <row r="42" spans="2:18" ht="15" thickBot="1">
      <c r="B42" s="132" t="s">
        <v>40</v>
      </c>
      <c r="C42" s="145">
        <f>SUM(C31:C41)</f>
        <v>27299.063952430097</v>
      </c>
      <c r="D42" s="145"/>
      <c r="E42" s="91"/>
      <c r="F42" s="134" t="s">
        <v>22</v>
      </c>
      <c r="G42" s="170">
        <v>11</v>
      </c>
      <c r="H42" s="170">
        <v>11</v>
      </c>
      <c r="I42" s="294" t="e">
        <f>($D41*$K$22*$N$22*(1-EXP(-$O$22)))*(EXP(-$O$22*($G$41-$H42))+EXP(-$O$22*($G$41-$H43)))</f>
        <v>#DIV/0!</v>
      </c>
      <c r="J42" s="294" t="e">
        <f>($D41*$K$23*$N$23*(1-EXP(-$O$23)))*(EXP(-$O$23*($G$41-$H42))+EXP(-$O$23*($G$41-$H43)))</f>
        <v>#DIV/0!</v>
      </c>
      <c r="K42" s="294" t="e">
        <f>($D41*$K$24*$N$24*(1-EXP(-$O$24)))*(EXP(-$O$24*($G$41-$H42))+EXP(-$O$24*($G$41-$H43)))</f>
        <v>#DIV/0!</v>
      </c>
      <c r="L42" s="294" t="e">
        <f>($D41*$K$25*$N$25*(1-EXP(-$O$25)))*(EXP(-$O$25*($G$41-$H42))+EXP(-$O$25*($G$41-$H43)))</f>
        <v>#DIV/0!</v>
      </c>
      <c r="M42" s="294" t="e">
        <f>($D41*$K$26*$N$26*(1-EXP(-$O$26)))*(EXP(-$O$26*($G$41-$H42))+EXP(-$O$26*($G$41-$H43)))</f>
        <v>#DIV/0!</v>
      </c>
      <c r="N42" s="295" t="e">
        <f>SUM(I42,J42,K42,L42,M42)</f>
        <v>#DIV/0!</v>
      </c>
      <c r="R42" s="91"/>
    </row>
    <row r="43" spans="2:18">
      <c r="L43" s="15"/>
    </row>
    <row r="44" spans="2:18">
      <c r="K44" s="15"/>
      <c r="L44" s="15"/>
    </row>
    <row r="57" spans="6:13">
      <c r="F57" s="11"/>
      <c r="H57" s="12"/>
      <c r="K57" s="15"/>
      <c r="L57" s="15"/>
      <c r="M57" s="15"/>
    </row>
    <row r="58" spans="6:13">
      <c r="F58" s="11"/>
      <c r="H58" s="12"/>
      <c r="K58" s="15"/>
      <c r="L58" s="15"/>
      <c r="M58" s="15"/>
    </row>
    <row r="59" spans="6:13">
      <c r="F59" s="11"/>
      <c r="H59" s="12"/>
      <c r="K59" s="15"/>
      <c r="L59" s="15"/>
      <c r="M59" s="15"/>
    </row>
    <row r="60" spans="6:13">
      <c r="F60" s="11"/>
      <c r="H60" s="12"/>
      <c r="K60" s="15"/>
      <c r="L60" s="15"/>
      <c r="M60" s="15"/>
    </row>
    <row r="61" spans="6:13">
      <c r="F61" s="11"/>
      <c r="H61" s="12"/>
      <c r="K61" s="15"/>
      <c r="L61" s="15"/>
      <c r="M61" s="18"/>
    </row>
    <row r="62" spans="6:13">
      <c r="F62" s="11"/>
      <c r="H62" s="12"/>
    </row>
    <row r="63" spans="6:13">
      <c r="F63" s="11"/>
      <c r="H63" s="12"/>
      <c r="M63" s="18"/>
    </row>
    <row r="64" spans="6:13">
      <c r="F64" s="11"/>
      <c r="H64" s="12"/>
      <c r="M64" s="15"/>
    </row>
    <row r="65" spans="6:13">
      <c r="F65" s="11"/>
      <c r="H65" s="12"/>
      <c r="I65" s="15"/>
      <c r="M65" s="15"/>
    </row>
    <row r="66" spans="6:13">
      <c r="M66" s="15"/>
    </row>
    <row r="67" spans="6:13">
      <c r="F67" s="11"/>
      <c r="H67" s="12"/>
      <c r="M67" s="15"/>
    </row>
    <row r="68" spans="6:13">
      <c r="F68" s="11"/>
      <c r="H68" s="12"/>
      <c r="M68" s="15"/>
    </row>
    <row r="69" spans="6:13">
      <c r="F69" s="11"/>
      <c r="H69" s="12"/>
      <c r="M69" s="15"/>
    </row>
    <row r="70" spans="6:13">
      <c r="F70" s="11"/>
      <c r="H70" s="12"/>
      <c r="M70" s="15"/>
    </row>
    <row r="71" spans="6:13">
      <c r="F71" s="11"/>
      <c r="H71" s="12"/>
    </row>
    <row r="72" spans="6:13">
      <c r="F72" s="11"/>
      <c r="H72" s="12"/>
      <c r="M72" s="18"/>
    </row>
    <row r="73" spans="6:13">
      <c r="F73" s="11"/>
      <c r="H73" s="12"/>
    </row>
    <row r="74" spans="6:13">
      <c r="F74" s="11"/>
      <c r="H74" s="12"/>
    </row>
    <row r="75" spans="6:13">
      <c r="F75" s="11"/>
      <c r="H75" s="12"/>
    </row>
    <row r="76" spans="6:13">
      <c r="F76" s="11"/>
    </row>
    <row r="89" spans="1:13">
      <c r="F89" s="17"/>
    </row>
    <row r="90" spans="1:13">
      <c r="A90" s="19"/>
      <c r="B90" s="19"/>
      <c r="E90" s="20"/>
      <c r="J90" s="19"/>
      <c r="K90" s="19"/>
      <c r="L90" s="19"/>
      <c r="M90" s="19"/>
    </row>
    <row r="91" spans="1:13">
      <c r="E91" s="14"/>
    </row>
    <row r="92" spans="1:13">
      <c r="E92" s="17"/>
      <c r="K92" s="17"/>
      <c r="M92" s="17"/>
    </row>
    <row r="93" spans="1:13">
      <c r="E93" s="17"/>
      <c r="K93" s="17"/>
      <c r="M93" s="17"/>
    </row>
    <row r="94" spans="1:13">
      <c r="E94" s="17"/>
      <c r="K94" s="17"/>
      <c r="M94" s="17"/>
    </row>
    <row r="95" spans="1:13">
      <c r="E95" s="17"/>
      <c r="K95" s="17"/>
      <c r="M95" s="17"/>
    </row>
    <row r="96" spans="1:13">
      <c r="E96" s="17"/>
      <c r="K96" s="17"/>
      <c r="M96" s="17"/>
    </row>
    <row r="97" spans="1:13">
      <c r="E97" s="17"/>
      <c r="K97" s="17"/>
      <c r="M97" s="17"/>
    </row>
    <row r="98" spans="1:13">
      <c r="E98" s="17"/>
      <c r="K98" s="17"/>
      <c r="M98" s="17"/>
    </row>
    <row r="99" spans="1:13">
      <c r="E99" s="17"/>
      <c r="K99" s="17"/>
      <c r="M99" s="17"/>
    </row>
    <row r="100" spans="1:13">
      <c r="E100" s="17"/>
      <c r="K100" s="17"/>
      <c r="M100" s="17"/>
    </row>
    <row r="101" spans="1:13">
      <c r="E101" s="17"/>
      <c r="K101" s="17"/>
      <c r="M101" s="17"/>
    </row>
    <row r="103" spans="1:13" ht="15.5">
      <c r="A103" s="19"/>
      <c r="B103" s="19"/>
      <c r="E103" s="21"/>
      <c r="M103" s="22"/>
    </row>
    <row r="104" spans="1:13">
      <c r="A104" s="19"/>
      <c r="E104" s="17"/>
    </row>
  </sheetData>
  <mergeCells count="4">
    <mergeCell ref="F4:I4"/>
    <mergeCell ref="C20:M20"/>
    <mergeCell ref="A2:M2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9"/>
  <sheetViews>
    <sheetView topLeftCell="A3" zoomScaleNormal="100" workbookViewId="0">
      <selection activeCell="B33" sqref="B33"/>
    </sheetView>
  </sheetViews>
  <sheetFormatPr baseColWidth="10" defaultColWidth="8.7265625" defaultRowHeight="14.5"/>
  <cols>
    <col min="1" max="1" width="25.1796875" bestFit="1" customWidth="1"/>
    <col min="2" max="2" width="18.453125" customWidth="1"/>
    <col min="3" max="3" width="15.1796875" bestFit="1" customWidth="1"/>
    <col min="4" max="4" width="11.453125" customWidth="1"/>
    <col min="5" max="6" width="12.54296875" bestFit="1" customWidth="1"/>
    <col min="7" max="10" width="11.453125" customWidth="1"/>
    <col min="11" max="11" width="15.1796875" bestFit="1" customWidth="1"/>
    <col min="12" max="13" width="11.453125" customWidth="1"/>
    <col min="14" max="14" width="14.453125" bestFit="1" customWidth="1"/>
    <col min="15" max="256" width="11.453125" customWidth="1"/>
  </cols>
  <sheetData>
    <row r="2" spans="1:14" ht="21">
      <c r="A2" s="408" t="s">
        <v>85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4" spans="1:14" ht="15" thickBot="1"/>
    <row r="5" spans="1:14" s="8" customFormat="1" ht="44" thickBot="1">
      <c r="A5" s="162" t="s">
        <v>86</v>
      </c>
      <c r="B5" s="161" t="s">
        <v>87</v>
      </c>
      <c r="C5" s="158" t="s">
        <v>88</v>
      </c>
      <c r="D5" s="159" t="s">
        <v>89</v>
      </c>
      <c r="E5" s="159" t="s">
        <v>90</v>
      </c>
      <c r="F5" s="159" t="s">
        <v>91</v>
      </c>
      <c r="G5" s="160" t="s">
        <v>92</v>
      </c>
      <c r="I5" s="186" t="s">
        <v>59</v>
      </c>
      <c r="J5" s="187" t="s">
        <v>93</v>
      </c>
      <c r="L5" s="405" t="s">
        <v>94</v>
      </c>
      <c r="M5" s="406"/>
      <c r="N5" s="407"/>
    </row>
    <row r="6" spans="1:14">
      <c r="A6" s="296" t="s">
        <v>12</v>
      </c>
      <c r="B6" s="298">
        <f>'Monitored Datas'!H6</f>
        <v>2614.4494500000001</v>
      </c>
      <c r="C6" s="299">
        <f>'Monitored Datas'!B6</f>
        <v>0.39100000000000001</v>
      </c>
      <c r="D6" s="300">
        <f t="shared" ref="D6:D16" si="0">C6*$M$7*(1+$M$6)</f>
        <v>0.60996000000000006</v>
      </c>
      <c r="E6" s="300">
        <f>B6*$M$8*PEy!I6</f>
        <v>130.72247250000001</v>
      </c>
      <c r="F6" s="300">
        <f>B6*$M$9*PEy!J6</f>
        <v>155.82118722000001</v>
      </c>
      <c r="G6" s="306">
        <f t="shared" ref="G6:G14" si="1">D6+E6+F6</f>
        <v>287.15361972000005</v>
      </c>
      <c r="I6" s="356">
        <f>Year1.2017!D3</f>
        <v>25</v>
      </c>
      <c r="J6" s="357">
        <f>Year1.2017!D4</f>
        <v>298</v>
      </c>
      <c r="L6" s="152" t="s">
        <v>95</v>
      </c>
      <c r="M6" s="168">
        <v>0.2</v>
      </c>
      <c r="N6" s="153"/>
    </row>
    <row r="7" spans="1:14">
      <c r="A7" s="267" t="s">
        <v>13</v>
      </c>
      <c r="B7" s="301">
        <f>'Monitored Datas'!H7</f>
        <v>2848.5081913599997</v>
      </c>
      <c r="C7" s="302">
        <f>'Monitored Datas'!B7</f>
        <v>0.36399999999999999</v>
      </c>
      <c r="D7" s="303">
        <f t="shared" si="0"/>
        <v>0.56784000000000001</v>
      </c>
      <c r="E7" s="303">
        <f>B7*$M$8*PEy!I7</f>
        <v>142.42540956799999</v>
      </c>
      <c r="F7" s="303">
        <f>B7*$M$9*PEy!J7</f>
        <v>169.77108820505597</v>
      </c>
      <c r="G7" s="307">
        <f t="shared" si="1"/>
        <v>312.76433777305596</v>
      </c>
      <c r="I7" s="358">
        <f>Year2.2018!D3</f>
        <v>25</v>
      </c>
      <c r="J7" s="270">
        <f>Year2.2018!D4</f>
        <v>298</v>
      </c>
      <c r="L7" s="154" t="s">
        <v>96</v>
      </c>
      <c r="M7" s="169">
        <v>1.3</v>
      </c>
      <c r="N7" s="155" t="s">
        <v>97</v>
      </c>
    </row>
    <row r="8" spans="1:14">
      <c r="A8" s="267" t="s">
        <v>14</v>
      </c>
      <c r="B8" s="301">
        <f>'Monitored Datas'!H8</f>
        <v>1941.0430100000001</v>
      </c>
      <c r="C8" s="302">
        <f>'Monitored Datas'!B8</f>
        <v>0.66300000000000003</v>
      </c>
      <c r="D8" s="303">
        <f t="shared" si="0"/>
        <v>1.0342800000000001</v>
      </c>
      <c r="E8" s="303">
        <f>B8*$M$8*PEy!I8</f>
        <v>97.05215050000001</v>
      </c>
      <c r="F8" s="303">
        <f>B8*$M$9*PEy!J8</f>
        <v>115.686163396</v>
      </c>
      <c r="G8" s="307">
        <f t="shared" si="1"/>
        <v>213.77259389599999</v>
      </c>
      <c r="I8" s="358">
        <f>Year3.2019!D3</f>
        <v>25</v>
      </c>
      <c r="J8" s="270">
        <f>Year3.2019!D4</f>
        <v>298</v>
      </c>
      <c r="L8" s="224" t="s">
        <v>98</v>
      </c>
      <c r="M8" s="258">
        <v>2E-3</v>
      </c>
      <c r="N8" s="225" t="s">
        <v>99</v>
      </c>
    </row>
    <row r="9" spans="1:14" s="208" customFormat="1" ht="15" thickBot="1">
      <c r="A9" s="326" t="s">
        <v>15</v>
      </c>
      <c r="B9" s="301">
        <f>'Monitored Datas'!H9</f>
        <v>2722.3520800000001</v>
      </c>
      <c r="C9" s="302">
        <f>'Monitored Datas'!B9</f>
        <v>0.82299999999999995</v>
      </c>
      <c r="D9" s="303">
        <f t="shared" si="0"/>
        <v>1.2838800000000001</v>
      </c>
      <c r="E9" s="303">
        <f>B9*$M$8*PEy!I9</f>
        <v>136.11760400000003</v>
      </c>
      <c r="F9" s="303">
        <f>B9*$M$9*PEy!J9</f>
        <v>162.252183968</v>
      </c>
      <c r="G9" s="307">
        <f t="shared" si="1"/>
        <v>299.65366796800004</v>
      </c>
      <c r="I9" s="358">
        <f>Year4!D3</f>
        <v>25</v>
      </c>
      <c r="J9" s="270">
        <f>Year4!D4</f>
        <v>298</v>
      </c>
      <c r="L9" s="156" t="s">
        <v>100</v>
      </c>
      <c r="M9" s="170">
        <v>2.0000000000000001E-4</v>
      </c>
      <c r="N9" s="157" t="s">
        <v>101</v>
      </c>
    </row>
    <row r="10" spans="1:14" s="6" customFormat="1">
      <c r="A10" s="267" t="s">
        <v>16</v>
      </c>
      <c r="B10" s="302">
        <f>'Monitored Datas'!H10</f>
        <v>4643.8119268277369</v>
      </c>
      <c r="C10" s="302">
        <f>'Monitored Datas'!B10</f>
        <v>0.90900000000000003</v>
      </c>
      <c r="D10" s="303">
        <f t="shared" si="0"/>
        <v>1.41804</v>
      </c>
      <c r="E10" s="303">
        <f>B10*$M$8*PEy!I10</f>
        <v>260.05346790235325</v>
      </c>
      <c r="F10" s="303">
        <f>B10*$M$9*PEy!J10</f>
        <v>246.12203212187006</v>
      </c>
      <c r="G10" s="307">
        <f>D10+E10+F10</f>
        <v>507.59354002422333</v>
      </c>
      <c r="I10" s="358">
        <v>28</v>
      </c>
      <c r="J10" s="270">
        <v>265</v>
      </c>
    </row>
    <row r="11" spans="1:14">
      <c r="A11" s="355" t="s">
        <v>17</v>
      </c>
      <c r="B11" s="302">
        <f>'Monitored Datas'!H11</f>
        <v>3919.928868815075</v>
      </c>
      <c r="C11" s="302">
        <f>'Monitored Datas'!B11</f>
        <v>0.98599999999999999</v>
      </c>
      <c r="D11" s="303">
        <f t="shared" si="0"/>
        <v>1.53816</v>
      </c>
      <c r="E11" s="303">
        <f>B11*$M$8*PEy!I11</f>
        <v>219.51601665364421</v>
      </c>
      <c r="F11" s="303">
        <f>B11*$M$9*PEy!J11</f>
        <v>207.75623004719898</v>
      </c>
      <c r="G11" s="307">
        <f>D11+E11+F11</f>
        <v>428.8104067008432</v>
      </c>
      <c r="I11" s="358">
        <v>28</v>
      </c>
      <c r="J11" s="270">
        <v>265</v>
      </c>
    </row>
    <row r="12" spans="1:14">
      <c r="A12" s="355" t="s">
        <v>18</v>
      </c>
      <c r="B12" s="302">
        <f>'Monitored Datas'!H12</f>
        <v>4221.062703700225</v>
      </c>
      <c r="C12" s="302">
        <f>'Monitored Datas'!B12</f>
        <v>0.58899999999999997</v>
      </c>
      <c r="D12" s="303">
        <f>C12*$M$7*(1+$M$6)</f>
        <v>0.91883999999999988</v>
      </c>
      <c r="E12" s="303">
        <f>B12*$M$8*PEy!I12</f>
        <v>236.37951140721259</v>
      </c>
      <c r="F12" s="303">
        <f>B12*$M$9*PEy!J12</f>
        <v>223.71632329611194</v>
      </c>
      <c r="G12" s="307">
        <f>D12+E12+F12</f>
        <v>461.01467470332454</v>
      </c>
      <c r="I12" s="358">
        <v>28</v>
      </c>
      <c r="J12" s="270">
        <v>265</v>
      </c>
    </row>
    <row r="13" spans="1:14">
      <c r="A13" s="147" t="s">
        <v>19</v>
      </c>
      <c r="B13" s="359">
        <f>'Monitored Datas'!H13</f>
        <v>4387.9077217270569</v>
      </c>
      <c r="C13" s="395">
        <f>'Monitored Datas'!B13</f>
        <v>0.45700000000000002</v>
      </c>
      <c r="D13" s="396">
        <f>C13*$M$7*(1+$M$6)</f>
        <v>0.71292000000000011</v>
      </c>
      <c r="E13" s="396">
        <f>B13*$M$8*PEy!I13</f>
        <v>245.72283241671519</v>
      </c>
      <c r="F13" s="396">
        <f>B13*$M$9*PEy!J13</f>
        <v>232.55910925153404</v>
      </c>
      <c r="G13" s="360">
        <f t="shared" si="1"/>
        <v>478.9948616682492</v>
      </c>
      <c r="I13" s="327">
        <v>28</v>
      </c>
      <c r="J13" s="273">
        <v>265</v>
      </c>
    </row>
    <row r="14" spans="1:14">
      <c r="A14" s="143" t="s">
        <v>20</v>
      </c>
      <c r="B14" s="361">
        <f>'Monitored Datas'!H14</f>
        <v>0</v>
      </c>
      <c r="C14" s="362">
        <f>'Monitored Datas'!B14</f>
        <v>0</v>
      </c>
      <c r="D14" s="363">
        <f t="shared" si="0"/>
        <v>0</v>
      </c>
      <c r="E14" s="363">
        <f>B14*$M$8*PEy!I14</f>
        <v>0</v>
      </c>
      <c r="F14" s="363">
        <f>B14*$M$9*PEy!J14</f>
        <v>0</v>
      </c>
      <c r="G14" s="364">
        <f t="shared" si="1"/>
        <v>0</v>
      </c>
      <c r="I14" s="297">
        <v>28</v>
      </c>
      <c r="J14" s="275">
        <v>265</v>
      </c>
    </row>
    <row r="15" spans="1:14">
      <c r="A15" s="143" t="s">
        <v>21</v>
      </c>
      <c r="B15" s="361">
        <f>'Monitored Datas'!H15</f>
        <v>0</v>
      </c>
      <c r="C15" s="362">
        <f>'Monitored Datas'!B15</f>
        <v>0</v>
      </c>
      <c r="D15" s="363">
        <f t="shared" si="0"/>
        <v>0</v>
      </c>
      <c r="E15" s="363">
        <f>B15*$M$8*PEy!I15</f>
        <v>0</v>
      </c>
      <c r="F15" s="363">
        <f>B15*$M$9*PEy!J15</f>
        <v>0</v>
      </c>
      <c r="G15" s="364">
        <f>D15+E15+F15</f>
        <v>0</v>
      </c>
      <c r="I15" s="297">
        <v>28</v>
      </c>
      <c r="J15" s="275">
        <v>265</v>
      </c>
    </row>
    <row r="16" spans="1:14" ht="15" thickBot="1">
      <c r="A16" s="163" t="s">
        <v>22</v>
      </c>
      <c r="B16" s="365">
        <f>'Monitored Datas'!H16</f>
        <v>0</v>
      </c>
      <c r="C16" s="366">
        <f>'Monitored Datas'!B16</f>
        <v>0</v>
      </c>
      <c r="D16" s="367">
        <f t="shared" si="0"/>
        <v>0</v>
      </c>
      <c r="E16" s="367">
        <f>B16*$M$8*'Monitored Datas'!K16</f>
        <v>0</v>
      </c>
      <c r="F16" s="367">
        <f>B16*$M$9*'Monitored Datas'!L16</f>
        <v>0</v>
      </c>
      <c r="G16" s="368">
        <f>D16+E16+F16</f>
        <v>0</v>
      </c>
      <c r="I16" s="297">
        <v>28</v>
      </c>
      <c r="J16" s="275">
        <v>265</v>
      </c>
    </row>
    <row r="17" spans="1:7" ht="15" thickBot="1">
      <c r="A17" s="164" t="s">
        <v>40</v>
      </c>
      <c r="B17" s="369">
        <f t="shared" ref="B17:G17" si="2">SUM(B6:B15)</f>
        <v>27299.063952430097</v>
      </c>
      <c r="C17" s="369">
        <f t="shared" si="2"/>
        <v>5.1819999999999995</v>
      </c>
      <c r="D17" s="369">
        <f t="shared" si="2"/>
        <v>8.0839199999999991</v>
      </c>
      <c r="E17" s="369">
        <f t="shared" si="2"/>
        <v>1467.9894649479252</v>
      </c>
      <c r="F17" s="369">
        <f t="shared" si="2"/>
        <v>1513.6843175057709</v>
      </c>
      <c r="G17" s="370">
        <f t="shared" si="2"/>
        <v>2989.7577024536963</v>
      </c>
    </row>
    <row r="19" spans="1:7">
      <c r="G19" s="1"/>
    </row>
  </sheetData>
  <mergeCells count="2">
    <mergeCell ref="L5:N5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tabSelected="1" zoomScale="115" zoomScaleNormal="115" workbookViewId="0">
      <selection activeCell="C13" sqref="C13"/>
    </sheetView>
  </sheetViews>
  <sheetFormatPr baseColWidth="10" defaultColWidth="8.7265625" defaultRowHeight="14.5"/>
  <cols>
    <col min="1" max="4" width="23.7265625" customWidth="1"/>
    <col min="5" max="5" width="25.1796875" bestFit="1" customWidth="1"/>
    <col min="6" max="6" width="11.453125" customWidth="1"/>
    <col min="7" max="7" width="12" bestFit="1" customWidth="1"/>
    <col min="8" max="8" width="18.26953125" bestFit="1" customWidth="1"/>
    <col min="9" max="256" width="11.453125" customWidth="1"/>
  </cols>
  <sheetData>
    <row r="1" spans="1:5" ht="74.25" customHeight="1"/>
    <row r="2" spans="1:5" ht="18.5">
      <c r="A2" s="2" t="s">
        <v>41</v>
      </c>
    </row>
    <row r="7" spans="1:5">
      <c r="A7" s="86" t="s">
        <v>42</v>
      </c>
      <c r="B7" s="86" t="s">
        <v>8</v>
      </c>
      <c r="C7" s="86" t="s">
        <v>43</v>
      </c>
      <c r="D7" s="86" t="s">
        <v>44</v>
      </c>
      <c r="E7" s="86" t="s">
        <v>45</v>
      </c>
    </row>
    <row r="8" spans="1:5">
      <c r="A8" s="332">
        <v>1</v>
      </c>
      <c r="B8" s="332" t="s">
        <v>46</v>
      </c>
      <c r="C8" s="425">
        <f>BECH4y!L5</f>
        <v>2563.7114990839427</v>
      </c>
      <c r="D8" s="425">
        <f>PEy!G6</f>
        <v>287.15361972000005</v>
      </c>
      <c r="E8" s="333">
        <f t="shared" ref="E8:E11" si="0">C8-D8</f>
        <v>2276.5578793639424</v>
      </c>
    </row>
    <row r="9" spans="1:5">
      <c r="A9" s="332">
        <v>2</v>
      </c>
      <c r="B9" s="332" t="s">
        <v>47</v>
      </c>
      <c r="C9" s="425">
        <f>BECH4y!L6</f>
        <v>2675.143566618101</v>
      </c>
      <c r="D9" s="425">
        <f>PEy!G7</f>
        <v>312.76433777305596</v>
      </c>
      <c r="E9" s="333">
        <f t="shared" si="0"/>
        <v>2362.379228845045</v>
      </c>
    </row>
    <row r="10" spans="1:5">
      <c r="A10" s="334">
        <v>3</v>
      </c>
      <c r="B10" s="332" t="s">
        <v>48</v>
      </c>
      <c r="C10" s="425">
        <f>BECH4y!L7</f>
        <v>1759.4091305730576</v>
      </c>
      <c r="D10" s="425">
        <f>PEy!G8</f>
        <v>213.77259389599999</v>
      </c>
      <c r="E10" s="333">
        <f t="shared" si="0"/>
        <v>1545.6365366770576</v>
      </c>
    </row>
    <row r="11" spans="1:5">
      <c r="A11" s="334">
        <v>4</v>
      </c>
      <c r="B11" s="332" t="s">
        <v>49</v>
      </c>
      <c r="C11" s="425">
        <f>BECH4y!L8</f>
        <v>2380.753329628441</v>
      </c>
      <c r="D11" s="425">
        <f>PEy!G9</f>
        <v>299.65366796800004</v>
      </c>
      <c r="E11" s="333">
        <f t="shared" si="0"/>
        <v>2081.0996616604407</v>
      </c>
    </row>
    <row r="12" spans="1:5">
      <c r="A12" s="334">
        <v>5</v>
      </c>
      <c r="B12" s="332" t="s">
        <v>50</v>
      </c>
      <c r="C12" s="425">
        <f>BECH4y!L9</f>
        <v>4324.1281547918379</v>
      </c>
      <c r="D12" s="425">
        <f>PEy!G10</f>
        <v>507.59354002422333</v>
      </c>
      <c r="E12" s="333">
        <f>C12-D12</f>
        <v>3816.5346147676146</v>
      </c>
    </row>
    <row r="13" spans="1:5">
      <c r="A13" s="334">
        <v>6</v>
      </c>
      <c r="B13" s="332" t="s">
        <v>51</v>
      </c>
      <c r="C13" s="425">
        <f>BECH4y!L10</f>
        <v>3427.7809331662888</v>
      </c>
      <c r="D13" s="425">
        <f>PEy!G11</f>
        <v>428.8104067008432</v>
      </c>
      <c r="E13" s="333">
        <f>C13-D13</f>
        <v>2998.9705264654458</v>
      </c>
    </row>
    <row r="14" spans="1:5">
      <c r="A14" s="334">
        <v>7</v>
      </c>
      <c r="B14" s="332" t="s">
        <v>52</v>
      </c>
      <c r="C14" s="425">
        <f>BECH4y!L11</f>
        <v>3334.3843393076845</v>
      </c>
      <c r="D14" s="425">
        <f>PEy!G12</f>
        <v>461.01467470332454</v>
      </c>
      <c r="E14" s="333">
        <f>C14-D14</f>
        <v>2873.36966460436</v>
      </c>
    </row>
    <row r="15" spans="1:5" s="6" customFormat="1">
      <c r="A15" s="391">
        <v>8</v>
      </c>
      <c r="B15" s="391" t="s">
        <v>53</v>
      </c>
      <c r="C15" s="392">
        <f>BECH4y!L12</f>
        <v>3006.0547769807481</v>
      </c>
      <c r="D15" s="392">
        <f>PEy!G13</f>
        <v>478.9948616682492</v>
      </c>
      <c r="E15" s="392">
        <f>C15-D15</f>
        <v>2527.059915312499</v>
      </c>
    </row>
    <row r="16" spans="1:5">
      <c r="A16" s="196">
        <v>9</v>
      </c>
      <c r="B16" s="188" t="s">
        <v>54</v>
      </c>
      <c r="C16" s="197" t="e">
        <f>BECH4y!L13</f>
        <v>#DIV/0!</v>
      </c>
      <c r="D16" s="92">
        <f>PEy!G14</f>
        <v>0</v>
      </c>
      <c r="E16" s="197" t="e">
        <f t="shared" ref="E16:E17" si="1">C16-D16</f>
        <v>#DIV/0!</v>
      </c>
    </row>
    <row r="17" spans="1:5">
      <c r="A17" s="196">
        <v>10</v>
      </c>
      <c r="B17" s="188" t="s">
        <v>55</v>
      </c>
      <c r="C17" s="197" t="e">
        <f>BECH4y!L14</f>
        <v>#DIV/0!</v>
      </c>
      <c r="D17" s="92">
        <f>PEy!G15</f>
        <v>0</v>
      </c>
      <c r="E17" s="197" t="e">
        <f t="shared" si="1"/>
        <v>#DIV/0!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5"/>
  <sheetViews>
    <sheetView zoomScale="90" zoomScaleNormal="90" workbookViewId="0">
      <pane xSplit="3" ySplit="5" topLeftCell="D6" activePane="bottomRight" state="frozen"/>
      <selection activeCell="M38" sqref="M38"/>
      <selection pane="topRight" activeCell="M38" sqref="M38"/>
      <selection pane="bottomLeft" activeCell="M38" sqref="M38"/>
      <selection pane="bottomRight" activeCell="M38" sqref="M38"/>
    </sheetView>
  </sheetViews>
  <sheetFormatPr baseColWidth="10" defaultColWidth="8.7265625" defaultRowHeight="14.5"/>
  <cols>
    <col min="1" max="1" width="12.7265625" customWidth="1"/>
    <col min="2" max="2" width="24.81640625" customWidth="1"/>
    <col min="3" max="16" width="11.81640625" customWidth="1"/>
    <col min="17" max="17" width="5.1796875" customWidth="1"/>
    <col min="18" max="19" width="11.453125" customWidth="1"/>
    <col min="20" max="20" width="12" bestFit="1" customWidth="1"/>
    <col min="21" max="21" width="12" customWidth="1"/>
    <col min="22" max="22" width="25.453125" customWidth="1"/>
    <col min="23" max="23" width="27" customWidth="1"/>
    <col min="24" max="256" width="11.453125" customWidth="1"/>
  </cols>
  <sheetData>
    <row r="1" spans="1:23" ht="24" customHeight="1">
      <c r="A1" s="26"/>
      <c r="B1" s="27"/>
      <c r="D1" s="28"/>
      <c r="E1" s="409"/>
      <c r="F1" s="410"/>
      <c r="G1" s="416">
        <v>2017</v>
      </c>
      <c r="H1" s="416"/>
      <c r="I1" s="416"/>
      <c r="J1" s="416"/>
      <c r="K1" s="416"/>
      <c r="L1" s="416"/>
      <c r="M1" s="416"/>
      <c r="N1" s="416"/>
      <c r="O1" s="416"/>
      <c r="P1" s="416"/>
    </row>
    <row r="2" spans="1:23">
      <c r="A2" s="29" t="s">
        <v>102</v>
      </c>
      <c r="B2" s="29" t="s">
        <v>103</v>
      </c>
      <c r="D2" s="28" t="s">
        <v>104</v>
      </c>
      <c r="E2" s="69" t="s">
        <v>105</v>
      </c>
      <c r="F2" s="69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Q2" s="69"/>
      <c r="R2" s="69" t="s">
        <v>40</v>
      </c>
    </row>
    <row r="3" spans="1:23" ht="34.5">
      <c r="A3" s="30" t="s">
        <v>117</v>
      </c>
      <c r="B3" s="30" t="s">
        <v>118</v>
      </c>
      <c r="C3" s="30" t="s">
        <v>119</v>
      </c>
      <c r="D3" s="51">
        <v>25</v>
      </c>
    </row>
    <row r="4" spans="1:23" ht="34.5">
      <c r="A4" s="30" t="s">
        <v>120</v>
      </c>
      <c r="B4" s="30" t="s">
        <v>121</v>
      </c>
      <c r="C4" s="30"/>
      <c r="D4" s="51">
        <v>298</v>
      </c>
    </row>
    <row r="5" spans="1:23" ht="34.5">
      <c r="A5" s="50" t="s">
        <v>60</v>
      </c>
      <c r="B5" s="30" t="s">
        <v>122</v>
      </c>
      <c r="C5" s="30"/>
      <c r="D5" s="51">
        <v>0</v>
      </c>
    </row>
    <row r="6" spans="1:23" ht="48" customHeight="1">
      <c r="A6" s="43" t="s">
        <v>123</v>
      </c>
      <c r="B6" s="31"/>
      <c r="C6" s="31"/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3" ht="53.25" customHeight="1">
      <c r="A7" s="43" t="s">
        <v>124</v>
      </c>
      <c r="B7" s="43" t="s">
        <v>125</v>
      </c>
      <c r="C7" s="31"/>
      <c r="D7" s="78">
        <f t="shared" ref="D7:D12" si="0">SUM(G7:P7)</f>
        <v>1358.3965300000002</v>
      </c>
      <c r="E7" s="32"/>
      <c r="F7" s="32"/>
      <c r="G7" s="77">
        <f>G10*(1-G23)</f>
        <v>133.46704</v>
      </c>
      <c r="H7" s="77">
        <f t="shared" ref="H7:P7" si="1">H10*(1-H23)</f>
        <v>129.82829999999998</v>
      </c>
      <c r="I7" s="77">
        <f t="shared" si="1"/>
        <v>144.8931</v>
      </c>
      <c r="J7" s="77">
        <f t="shared" si="1"/>
        <v>119.21382999999999</v>
      </c>
      <c r="K7" s="77">
        <f t="shared" si="1"/>
        <v>146.70110000000003</v>
      </c>
      <c r="L7" s="77">
        <f t="shared" si="1"/>
        <v>142.28480000000002</v>
      </c>
      <c r="M7" s="77">
        <f t="shared" si="1"/>
        <v>102.11759999999998</v>
      </c>
      <c r="N7" s="77">
        <f t="shared" si="1"/>
        <v>145.5831</v>
      </c>
      <c r="O7" s="77">
        <f t="shared" si="1"/>
        <v>147.54336000000001</v>
      </c>
      <c r="P7" s="77">
        <f t="shared" si="1"/>
        <v>146.76429999999999</v>
      </c>
      <c r="Q7" s="32"/>
      <c r="R7" s="32"/>
    </row>
    <row r="8" spans="1:23" ht="48.75" customHeight="1">
      <c r="A8" s="43" t="s">
        <v>126</v>
      </c>
      <c r="B8" s="43" t="s">
        <v>127</v>
      </c>
      <c r="C8" s="31"/>
      <c r="D8" s="78">
        <f t="shared" si="0"/>
        <v>1256.0529200000001</v>
      </c>
      <c r="E8" s="32"/>
      <c r="F8" s="32"/>
      <c r="G8" s="126">
        <f>G11*(1-G34)</f>
        <v>152.02844999999999</v>
      </c>
      <c r="H8" s="126">
        <f t="shared" ref="H8:P8" si="2">H11*(1-H34)</f>
        <v>122.90817000000001</v>
      </c>
      <c r="I8" s="126">
        <f t="shared" si="2"/>
        <v>111.34740000000001</v>
      </c>
      <c r="J8" s="126">
        <f t="shared" si="2"/>
        <v>98.770740000000004</v>
      </c>
      <c r="K8" s="126">
        <f t="shared" si="2"/>
        <v>138.672</v>
      </c>
      <c r="L8" s="126">
        <f t="shared" si="2"/>
        <v>137.6388</v>
      </c>
      <c r="M8" s="126">
        <f t="shared" si="2"/>
        <v>109.56010000000001</v>
      </c>
      <c r="N8" s="126">
        <f t="shared" si="2"/>
        <v>133.50609999999998</v>
      </c>
      <c r="O8" s="126">
        <f t="shared" si="2"/>
        <v>132.45215999999999</v>
      </c>
      <c r="P8" s="126">
        <f t="shared" si="2"/>
        <v>119.169</v>
      </c>
      <c r="Q8" s="32"/>
      <c r="R8" s="32"/>
    </row>
    <row r="9" spans="1:23" ht="48.75" customHeight="1">
      <c r="A9" s="43" t="s">
        <v>123</v>
      </c>
      <c r="B9" s="43"/>
      <c r="C9" s="31"/>
      <c r="D9" s="85">
        <f t="shared" si="0"/>
        <v>2614.4494500000001</v>
      </c>
      <c r="E9" s="32"/>
      <c r="F9" s="32"/>
      <c r="G9" s="41">
        <f t="shared" ref="G9:P9" si="3">SUM(G7:G8)</f>
        <v>285.49549000000002</v>
      </c>
      <c r="H9" s="41">
        <f t="shared" si="3"/>
        <v>252.73647</v>
      </c>
      <c r="I9" s="41">
        <f t="shared" si="3"/>
        <v>256.2405</v>
      </c>
      <c r="J9" s="41">
        <f t="shared" si="3"/>
        <v>217.98456999999999</v>
      </c>
      <c r="K9" s="41">
        <f t="shared" si="3"/>
        <v>285.37310000000002</v>
      </c>
      <c r="L9" s="41">
        <f t="shared" si="3"/>
        <v>279.92360000000002</v>
      </c>
      <c r="M9" s="41">
        <f t="shared" si="3"/>
        <v>211.67769999999999</v>
      </c>
      <c r="N9" s="41">
        <f t="shared" si="3"/>
        <v>279.08920000000001</v>
      </c>
      <c r="O9" s="41">
        <f t="shared" si="3"/>
        <v>279.99552</v>
      </c>
      <c r="P9" s="41">
        <f t="shared" si="3"/>
        <v>265.93329999999997</v>
      </c>
      <c r="Q9" s="32"/>
      <c r="R9" s="32"/>
    </row>
    <row r="10" spans="1:23" ht="43.5">
      <c r="A10" s="31"/>
      <c r="B10" s="42" t="s">
        <v>128</v>
      </c>
      <c r="C10" s="32"/>
      <c r="D10" s="78">
        <f t="shared" si="0"/>
        <v>1504.94</v>
      </c>
      <c r="E10" s="32"/>
      <c r="F10" s="32"/>
      <c r="G10" s="77">
        <v>150.63999999999999</v>
      </c>
      <c r="H10" s="77">
        <v>147.69999999999999</v>
      </c>
      <c r="I10" s="77">
        <v>158.69999999999999</v>
      </c>
      <c r="J10" s="77">
        <v>135.01</v>
      </c>
      <c r="K10" s="77">
        <v>161.21</v>
      </c>
      <c r="L10" s="77">
        <v>158.80000000000001</v>
      </c>
      <c r="M10" s="77">
        <v>109.1</v>
      </c>
      <c r="N10" s="77">
        <v>162.30000000000001</v>
      </c>
      <c r="O10" s="77">
        <v>161.78</v>
      </c>
      <c r="P10" s="77">
        <v>159.69999999999999</v>
      </c>
      <c r="Q10" s="32"/>
      <c r="R10" s="32"/>
    </row>
    <row r="11" spans="1:23" ht="43.5">
      <c r="A11" s="31"/>
      <c r="B11" s="42" t="s">
        <v>129</v>
      </c>
      <c r="C11" s="32"/>
      <c r="D11" s="32">
        <f t="shared" si="0"/>
        <v>1435.5000000000002</v>
      </c>
      <c r="E11" s="32"/>
      <c r="F11" s="32"/>
      <c r="G11" s="52">
        <v>175.35</v>
      </c>
      <c r="H11" s="52">
        <v>145.11000000000001</v>
      </c>
      <c r="I11" s="52">
        <v>122.9</v>
      </c>
      <c r="J11" s="52">
        <v>113.01</v>
      </c>
      <c r="K11" s="52">
        <v>160.5</v>
      </c>
      <c r="L11" s="52">
        <v>155.69999999999999</v>
      </c>
      <c r="M11" s="52">
        <v>118.7</v>
      </c>
      <c r="N11" s="52">
        <v>154.69999999999999</v>
      </c>
      <c r="O11" s="52">
        <v>157.12</v>
      </c>
      <c r="P11" s="52">
        <v>132.41</v>
      </c>
      <c r="Q11" s="32"/>
      <c r="R11" s="32"/>
    </row>
    <row r="12" spans="1:23">
      <c r="A12" s="32"/>
      <c r="B12" s="40" t="s">
        <v>130</v>
      </c>
      <c r="C12" s="40"/>
      <c r="D12" s="85">
        <f t="shared" si="0"/>
        <v>2940.4400000000005</v>
      </c>
      <c r="E12" s="41"/>
      <c r="F12" s="41"/>
      <c r="G12" s="41">
        <f t="shared" ref="G12:P12" si="4">SUM(G10:G11)</f>
        <v>325.99</v>
      </c>
      <c r="H12" s="41">
        <f t="shared" si="4"/>
        <v>292.81</v>
      </c>
      <c r="I12" s="41">
        <f t="shared" si="4"/>
        <v>281.60000000000002</v>
      </c>
      <c r="J12" s="41">
        <f t="shared" si="4"/>
        <v>248.01999999999998</v>
      </c>
      <c r="K12" s="41">
        <f t="shared" si="4"/>
        <v>321.71000000000004</v>
      </c>
      <c r="L12" s="41">
        <f t="shared" si="4"/>
        <v>314.5</v>
      </c>
      <c r="M12" s="41">
        <f t="shared" si="4"/>
        <v>227.8</v>
      </c>
      <c r="N12" s="41">
        <f t="shared" si="4"/>
        <v>317</v>
      </c>
      <c r="O12" s="41">
        <f t="shared" si="4"/>
        <v>318.89999999999998</v>
      </c>
      <c r="P12" s="41">
        <f t="shared" si="4"/>
        <v>292.11</v>
      </c>
      <c r="Q12" s="32"/>
      <c r="R12" s="32"/>
    </row>
    <row r="14" spans="1:23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3" ht="15" thickBot="1">
      <c r="A15" s="31"/>
      <c r="B15" s="33" t="s">
        <v>132</v>
      </c>
      <c r="C15" s="32"/>
      <c r="D15" s="40">
        <f>SUM(G15:P15)</f>
        <v>0</v>
      </c>
      <c r="E15" s="52"/>
      <c r="F15" s="52"/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3" ht="43.5">
      <c r="A16" s="31"/>
      <c r="B16" s="56" t="s">
        <v>133</v>
      </c>
      <c r="C16" s="31" t="s">
        <v>134</v>
      </c>
      <c r="D16" s="32"/>
      <c r="E16" s="23"/>
      <c r="F16" s="23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93" t="s">
        <v>137</v>
      </c>
      <c r="U16" s="101" t="s">
        <v>138</v>
      </c>
      <c r="V16" s="100" t="s">
        <v>133</v>
      </c>
      <c r="W16" s="417" t="s">
        <v>139</v>
      </c>
    </row>
    <row r="17" spans="1:23" ht="15" thickBot="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1504.8354600000002</v>
      </c>
      <c r="S17" s="23">
        <f>SUM(S18:S23)</f>
        <v>0</v>
      </c>
      <c r="T17" s="97">
        <f>SUM(T18:T23)</f>
        <v>0</v>
      </c>
      <c r="U17" s="99">
        <f t="shared" ref="U17:U23" si="5">R17-T17</f>
        <v>1504.8354600000002</v>
      </c>
      <c r="V17" s="98">
        <f>S17+U17</f>
        <v>1504.8354600000002</v>
      </c>
      <c r="W17" s="418"/>
    </row>
    <row r="18" spans="1:23">
      <c r="A18" s="31"/>
      <c r="B18" s="56" t="s">
        <v>34</v>
      </c>
      <c r="C18" s="32"/>
      <c r="D18" s="36"/>
      <c r="E18" s="53"/>
      <c r="F18" s="53"/>
      <c r="G18" s="53">
        <v>1.7000000000000001E-2</v>
      </c>
      <c r="H18" s="53">
        <v>1.7000000000000001E-2</v>
      </c>
      <c r="I18" s="53">
        <v>8.0000000000000002E-3</v>
      </c>
      <c r="J18" s="53">
        <v>1.4999999999999999E-2</v>
      </c>
      <c r="K18" s="53">
        <v>1.2E-2</v>
      </c>
      <c r="L18" s="54">
        <v>2.5000000000000001E-2</v>
      </c>
      <c r="M18" s="54">
        <v>1.2E-2</v>
      </c>
      <c r="N18" s="53">
        <v>1.9E-2</v>
      </c>
      <c r="O18" s="54">
        <v>0.02</v>
      </c>
      <c r="P18" s="53">
        <v>1.2E-2</v>
      </c>
      <c r="Q18" s="34"/>
      <c r="R18" s="23">
        <f t="shared" ref="R18:R23" si="6">G18*$G$10+H18*$H$10+I18*$I$10+J18*$J$10+K18*$K$10+L18*$L$10+M18*$M$10+N18*$N$10+O18*$O$10+P18*$P$10+$E$10*E18+$F$10*F18</f>
        <v>23.815950000000004</v>
      </c>
      <c r="S18" s="51"/>
      <c r="T18" s="96">
        <f t="shared" ref="T18:T23" si="7">$E$10*E18+$F$10*F18</f>
        <v>0</v>
      </c>
      <c r="U18" s="99">
        <f t="shared" si="5"/>
        <v>23.815950000000004</v>
      </c>
      <c r="V18" s="119">
        <f t="shared" ref="V18:V23" si="8">(R18+S18)/$V$17</f>
        <v>1.5826281765050913E-2</v>
      </c>
      <c r="W18" s="414" t="s">
        <v>140</v>
      </c>
    </row>
    <row r="19" spans="1:23">
      <c r="A19" s="31"/>
      <c r="B19" s="56" t="s">
        <v>35</v>
      </c>
      <c r="C19" s="32"/>
      <c r="D19" s="36"/>
      <c r="E19" s="53"/>
      <c r="F19" s="53"/>
      <c r="G19" s="53">
        <v>7.9000000000000001E-2</v>
      </c>
      <c r="H19" s="53">
        <v>8.5999999999999993E-2</v>
      </c>
      <c r="I19" s="53">
        <v>5.1999999999999998E-2</v>
      </c>
      <c r="J19" s="53">
        <v>5.0999999999999997E-2</v>
      </c>
      <c r="K19" s="53">
        <v>4.3999999999999997E-2</v>
      </c>
      <c r="L19" s="54">
        <v>5.7000000000000002E-2</v>
      </c>
      <c r="M19" s="54">
        <v>3.5000000000000003E-2</v>
      </c>
      <c r="N19" s="53">
        <v>0.04</v>
      </c>
      <c r="O19" s="54">
        <v>9.1999999999999998E-2</v>
      </c>
      <c r="P19" s="53">
        <v>5.8000000000000003E-2</v>
      </c>
      <c r="Q19" s="34"/>
      <c r="R19" s="23">
        <f t="shared" si="6"/>
        <v>90.342369999999988</v>
      </c>
      <c r="S19" s="51"/>
      <c r="T19" s="96">
        <f t="shared" si="7"/>
        <v>0</v>
      </c>
      <c r="U19" s="99">
        <f t="shared" si="5"/>
        <v>90.342369999999988</v>
      </c>
      <c r="V19" s="119">
        <f t="shared" si="8"/>
        <v>6.0034716353640397E-2</v>
      </c>
      <c r="W19" s="414"/>
    </row>
    <row r="20" spans="1:23">
      <c r="A20" s="31"/>
      <c r="B20" s="56" t="s">
        <v>36</v>
      </c>
      <c r="C20" s="32"/>
      <c r="D20" s="36"/>
      <c r="E20" s="53"/>
      <c r="F20" s="53"/>
      <c r="G20" s="53">
        <v>3.2000000000000001E-2</v>
      </c>
      <c r="H20" s="53">
        <v>6.0999999999999999E-2</v>
      </c>
      <c r="I20" s="53">
        <v>5.3999999999999999E-2</v>
      </c>
      <c r="J20" s="53">
        <v>4.2000000000000003E-2</v>
      </c>
      <c r="K20" s="53">
        <v>2.5000000000000001E-2</v>
      </c>
      <c r="L20" s="54">
        <v>6.4000000000000001E-2</v>
      </c>
      <c r="M20" s="54">
        <v>3.6999999999999998E-2</v>
      </c>
      <c r="N20" s="53">
        <v>5.8000000000000003E-2</v>
      </c>
      <c r="O20" s="54">
        <v>4.5999999999999999E-2</v>
      </c>
      <c r="P20" s="53">
        <v>6.3E-2</v>
      </c>
      <c r="Q20" s="34"/>
      <c r="R20" s="23">
        <f t="shared" si="6"/>
        <v>73.216930000000005</v>
      </c>
      <c r="S20" s="51"/>
      <c r="T20" s="96">
        <f t="shared" si="7"/>
        <v>0</v>
      </c>
      <c r="U20" s="99">
        <f t="shared" si="5"/>
        <v>73.216930000000005</v>
      </c>
      <c r="V20" s="119">
        <f t="shared" si="8"/>
        <v>4.865444226041829E-2</v>
      </c>
      <c r="W20" s="414"/>
    </row>
    <row r="21" spans="1:23" ht="29">
      <c r="A21" s="31"/>
      <c r="B21" s="56" t="s">
        <v>37</v>
      </c>
      <c r="C21" s="32"/>
      <c r="D21" s="36"/>
      <c r="E21" s="53"/>
      <c r="F21" s="53"/>
      <c r="G21" s="53">
        <v>0.52900000000000003</v>
      </c>
      <c r="H21" s="53">
        <v>0.41499999999999998</v>
      </c>
      <c r="I21" s="53">
        <v>0.58099999999999996</v>
      </c>
      <c r="J21" s="53">
        <v>0.44500000000000001</v>
      </c>
      <c r="K21" s="53">
        <v>0.5</v>
      </c>
      <c r="L21" s="54">
        <v>0.54900000000000004</v>
      </c>
      <c r="M21" s="54">
        <v>0.53800000000000003</v>
      </c>
      <c r="N21" s="53">
        <v>0.46600000000000003</v>
      </c>
      <c r="O21" s="54">
        <v>0.51100000000000001</v>
      </c>
      <c r="P21" s="53">
        <v>0.375</v>
      </c>
      <c r="Q21" s="34"/>
      <c r="R21" s="23">
        <f t="shared" si="6"/>
        <v>737.93909000000008</v>
      </c>
      <c r="S21" s="51"/>
      <c r="T21" s="96">
        <f t="shared" si="7"/>
        <v>0</v>
      </c>
      <c r="U21" s="99">
        <f t="shared" si="5"/>
        <v>737.93909000000008</v>
      </c>
      <c r="V21" s="119">
        <f t="shared" si="8"/>
        <v>0.49037858929772959</v>
      </c>
      <c r="W21" s="414"/>
    </row>
    <row r="22" spans="1:23" ht="29">
      <c r="A22" s="31"/>
      <c r="B22" s="56" t="s">
        <v>38</v>
      </c>
      <c r="C22" s="32"/>
      <c r="D22" s="36"/>
      <c r="E22" s="53"/>
      <c r="F22" s="53"/>
      <c r="G22" s="53">
        <v>0.22800000000000001</v>
      </c>
      <c r="H22" s="53">
        <v>0.3</v>
      </c>
      <c r="I22" s="53">
        <v>0.219</v>
      </c>
      <c r="J22" s="53">
        <v>0.33</v>
      </c>
      <c r="K22" s="53">
        <v>0.32900000000000001</v>
      </c>
      <c r="L22" s="54">
        <v>0.20200000000000001</v>
      </c>
      <c r="M22" s="54">
        <v>0.313</v>
      </c>
      <c r="N22" s="53">
        <v>0.313</v>
      </c>
      <c r="O22" s="54">
        <v>0.24299999999999999</v>
      </c>
      <c r="P22" s="53">
        <v>0.41099999999999998</v>
      </c>
      <c r="Q22" s="34"/>
      <c r="R22" s="23">
        <f t="shared" si="6"/>
        <v>432.97765000000004</v>
      </c>
      <c r="S22" s="51"/>
      <c r="T22" s="96">
        <f t="shared" si="7"/>
        <v>0</v>
      </c>
      <c r="U22" s="99">
        <f t="shared" si="5"/>
        <v>432.97765000000004</v>
      </c>
      <c r="V22" s="119">
        <f t="shared" si="8"/>
        <v>0.28772424727418372</v>
      </c>
      <c r="W22" s="414"/>
    </row>
    <row r="23" spans="1:23" ht="29.5" thickBot="1">
      <c r="A23" s="31"/>
      <c r="B23" s="56" t="s">
        <v>39</v>
      </c>
      <c r="C23" s="32"/>
      <c r="D23" s="36"/>
      <c r="E23" s="53"/>
      <c r="F23" s="53"/>
      <c r="G23" s="53">
        <v>0.114</v>
      </c>
      <c r="H23" s="53">
        <v>0.121</v>
      </c>
      <c r="I23" s="53">
        <v>8.6999999999999994E-2</v>
      </c>
      <c r="J23" s="53">
        <v>0.11700000000000001</v>
      </c>
      <c r="K23" s="53">
        <v>0.09</v>
      </c>
      <c r="L23" s="54">
        <v>0.104</v>
      </c>
      <c r="M23" s="54">
        <v>6.4000000000000001E-2</v>
      </c>
      <c r="N23" s="53">
        <v>0.10299999999999999</v>
      </c>
      <c r="O23" s="54">
        <v>8.7999999999999995E-2</v>
      </c>
      <c r="P23" s="53">
        <v>8.1000000000000003E-2</v>
      </c>
      <c r="Q23" s="34"/>
      <c r="R23" s="23">
        <f t="shared" si="6"/>
        <v>146.54346999999999</v>
      </c>
      <c r="S23" s="51"/>
      <c r="T23" s="96">
        <f t="shared" si="7"/>
        <v>0</v>
      </c>
      <c r="U23" s="99">
        <f t="shared" si="5"/>
        <v>146.54346999999999</v>
      </c>
      <c r="V23" s="120">
        <f t="shared" si="8"/>
        <v>9.7381723048977034E-2</v>
      </c>
      <c r="W23" s="415"/>
    </row>
    <row r="24" spans="1:23">
      <c r="A24" s="59"/>
      <c r="B24" s="60"/>
      <c r="C24" s="60"/>
      <c r="D24" s="72"/>
      <c r="E24" s="76"/>
      <c r="F24" s="76"/>
      <c r="G24" s="76"/>
      <c r="H24" s="73"/>
      <c r="I24" s="62"/>
      <c r="J24" s="62"/>
      <c r="K24" s="62"/>
      <c r="Q24" s="62"/>
      <c r="R24" s="63"/>
      <c r="V24" s="48"/>
      <c r="W24" s="48"/>
    </row>
    <row r="25" spans="1:23">
      <c r="A25" s="43"/>
      <c r="B25" s="68" t="s">
        <v>141</v>
      </c>
      <c r="C25" s="32"/>
      <c r="D25" s="37"/>
      <c r="E25" s="75"/>
      <c r="F25" s="75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3" ht="15" thickBot="1">
      <c r="A26" s="31"/>
      <c r="B26" s="33" t="s">
        <v>132</v>
      </c>
      <c r="C26" s="32"/>
      <c r="D26" s="37"/>
      <c r="E26" s="52"/>
      <c r="F26" s="52"/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3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93" t="s">
        <v>137</v>
      </c>
      <c r="U27" s="101" t="s">
        <v>138</v>
      </c>
      <c r="V27" s="100" t="s">
        <v>133</v>
      </c>
      <c r="W27" s="417" t="s">
        <v>139</v>
      </c>
    </row>
    <row r="28" spans="1:23" ht="15" thickBot="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1435.59816</v>
      </c>
      <c r="S28" s="23">
        <f>SUM(S29:S34)</f>
        <v>0</v>
      </c>
      <c r="T28" s="97">
        <f>SUM(T29:T34)</f>
        <v>0</v>
      </c>
      <c r="U28" s="117">
        <f t="shared" ref="U28:U34" si="9">R28-T28</f>
        <v>1435.59816</v>
      </c>
      <c r="V28" s="118">
        <f>S28+U28</f>
        <v>1435.59816</v>
      </c>
      <c r="W28" s="418"/>
    </row>
    <row r="29" spans="1:23" ht="15" customHeight="1">
      <c r="A29" s="31"/>
      <c r="B29" s="56" t="s">
        <v>34</v>
      </c>
      <c r="C29" s="32"/>
      <c r="D29" s="37"/>
      <c r="E29" s="53"/>
      <c r="F29" s="53"/>
      <c r="G29" s="53">
        <v>1.0999999999999999E-2</v>
      </c>
      <c r="H29" s="53">
        <v>8.9999999999999993E-3</v>
      </c>
      <c r="I29" s="53">
        <v>8.9999999999999993E-3</v>
      </c>
      <c r="J29" s="53">
        <v>2.5999999999999999E-2</v>
      </c>
      <c r="K29" s="53">
        <v>6.0000000000000001E-3</v>
      </c>
      <c r="L29" s="53">
        <v>7.0000000000000001E-3</v>
      </c>
      <c r="M29" s="53">
        <v>4.3999999999999997E-2</v>
      </c>
      <c r="N29" s="53">
        <v>2.8000000000000001E-2</v>
      </c>
      <c r="O29" s="53">
        <v>3.3000000000000002E-2</v>
      </c>
      <c r="P29" s="53">
        <v>5.1999999999999998E-2</v>
      </c>
      <c r="Q29" s="34"/>
      <c r="R29" s="23">
        <f t="shared" ref="R29:R34" si="10">G29*$G$11+H29*$H$11+I29*$I$11+J29*$J$11+K29*$K$11+L29*$L$11+M29*$M$11+N29*$N$11+O29*$O$11+P29*$P$11+$E$11*E29+$F$11*F29</f>
        <v>30.956779999999998</v>
      </c>
      <c r="S29" s="51"/>
      <c r="T29" s="94">
        <f t="shared" ref="T29:T34" si="11">$E$11*E29+$F$11*F29</f>
        <v>0</v>
      </c>
      <c r="U29" s="117">
        <f t="shared" si="9"/>
        <v>30.956779999999998</v>
      </c>
      <c r="V29" s="119">
        <f t="shared" ref="V29:V34" si="12">(R29+S29)/$V$28</f>
        <v>2.1563680466127094E-2</v>
      </c>
      <c r="W29" s="414" t="s">
        <v>142</v>
      </c>
    </row>
    <row r="30" spans="1:23">
      <c r="A30" s="31"/>
      <c r="B30" s="56" t="s">
        <v>35</v>
      </c>
      <c r="C30" s="32"/>
      <c r="D30" s="37"/>
      <c r="E30" s="53"/>
      <c r="F30" s="53"/>
      <c r="G30" s="53">
        <v>6.7000000000000004E-2</v>
      </c>
      <c r="H30" s="53">
        <v>7.4999999999999997E-2</v>
      </c>
      <c r="I30" s="53">
        <v>6.2E-2</v>
      </c>
      <c r="J30" s="53">
        <v>4.3999999999999997E-2</v>
      </c>
      <c r="K30" s="53">
        <v>3.5000000000000003E-2</v>
      </c>
      <c r="L30" s="53">
        <v>5.6000000000000001E-2</v>
      </c>
      <c r="M30" s="53">
        <v>0.08</v>
      </c>
      <c r="N30" s="53">
        <v>7.6999999999999999E-2</v>
      </c>
      <c r="O30" s="53">
        <v>0.11</v>
      </c>
      <c r="P30" s="53">
        <v>8.3000000000000004E-2</v>
      </c>
      <c r="Q30" s="34"/>
      <c r="R30" s="23">
        <f t="shared" si="10"/>
        <v>99.241770000000017</v>
      </c>
      <c r="S30" s="51"/>
      <c r="T30" s="94">
        <f t="shared" si="11"/>
        <v>0</v>
      </c>
      <c r="U30" s="117">
        <f t="shared" si="9"/>
        <v>99.241770000000017</v>
      </c>
      <c r="V30" s="119">
        <f t="shared" si="12"/>
        <v>6.9129212313841379E-2</v>
      </c>
      <c r="W30" s="414"/>
    </row>
    <row r="31" spans="1:23">
      <c r="A31" s="31"/>
      <c r="B31" s="56" t="s">
        <v>36</v>
      </c>
      <c r="C31" s="32"/>
      <c r="D31" s="37"/>
      <c r="E31" s="53"/>
      <c r="F31" s="53"/>
      <c r="G31" s="53">
        <v>8.7999999999999995E-2</v>
      </c>
      <c r="H31" s="53">
        <v>7.6999999999999999E-2</v>
      </c>
      <c r="I31" s="53">
        <v>5.8999999999999997E-2</v>
      </c>
      <c r="J31" s="53">
        <v>4.8000000000000001E-2</v>
      </c>
      <c r="K31" s="53">
        <v>6.9000000000000006E-2</v>
      </c>
      <c r="L31" s="53">
        <v>8.3000000000000004E-2</v>
      </c>
      <c r="M31" s="53">
        <v>5.8000000000000003E-2</v>
      </c>
      <c r="N31" s="53">
        <v>0.104</v>
      </c>
      <c r="O31" s="53">
        <v>6.6000000000000003E-2</v>
      </c>
      <c r="P31" s="53">
        <v>9.5000000000000001E-2</v>
      </c>
      <c r="Q31" s="34"/>
      <c r="R31" s="23">
        <f t="shared" si="10"/>
        <v>109.19972000000001</v>
      </c>
      <c r="S31" s="51"/>
      <c r="T31" s="94">
        <f t="shared" si="11"/>
        <v>0</v>
      </c>
      <c r="U31" s="117">
        <f t="shared" si="9"/>
        <v>109.19972000000001</v>
      </c>
      <c r="V31" s="119">
        <f t="shared" si="12"/>
        <v>7.6065658930630012E-2</v>
      </c>
      <c r="W31" s="414"/>
    </row>
    <row r="32" spans="1:23" ht="29">
      <c r="A32" s="31"/>
      <c r="B32" s="56" t="s">
        <v>37</v>
      </c>
      <c r="C32" s="32"/>
      <c r="D32" s="37"/>
      <c r="E32" s="53"/>
      <c r="F32" s="53"/>
      <c r="G32" s="53">
        <v>0.60099999999999998</v>
      </c>
      <c r="H32" s="53">
        <v>0.49399999999999999</v>
      </c>
      <c r="I32" s="53">
        <v>0.441</v>
      </c>
      <c r="J32" s="53">
        <v>0.41299999999999998</v>
      </c>
      <c r="K32" s="53">
        <v>0.47299999999999998</v>
      </c>
      <c r="L32" s="53">
        <v>0.39700000000000002</v>
      </c>
      <c r="M32" s="53">
        <v>0.443</v>
      </c>
      <c r="N32" s="53">
        <v>0.44</v>
      </c>
      <c r="O32" s="53">
        <v>0.41099999999999998</v>
      </c>
      <c r="P32" s="53">
        <v>0.42899999999999999</v>
      </c>
      <c r="Q32" s="34"/>
      <c r="R32" s="23">
        <f t="shared" si="10"/>
        <v>657.70343000000003</v>
      </c>
      <c r="S32" s="51"/>
      <c r="T32" s="94">
        <f t="shared" si="11"/>
        <v>0</v>
      </c>
      <c r="U32" s="117">
        <f t="shared" si="9"/>
        <v>657.70343000000003</v>
      </c>
      <c r="V32" s="119">
        <f t="shared" si="12"/>
        <v>0.458138947461454</v>
      </c>
      <c r="W32" s="414"/>
    </row>
    <row r="33" spans="1:23" ht="17.5" customHeight="1">
      <c r="A33" s="31"/>
      <c r="B33" s="56" t="s">
        <v>38</v>
      </c>
      <c r="C33" s="32"/>
      <c r="D33" s="37"/>
      <c r="E33" s="53"/>
      <c r="F33" s="53"/>
      <c r="G33" s="53">
        <v>9.9000000000000005E-2</v>
      </c>
      <c r="H33" s="53">
        <v>0.192</v>
      </c>
      <c r="I33" s="53">
        <v>0.33500000000000002</v>
      </c>
      <c r="J33" s="53">
        <v>0.34399999999999997</v>
      </c>
      <c r="K33" s="53">
        <v>0.28199999999999997</v>
      </c>
      <c r="L33" s="53">
        <v>0.34100000000000003</v>
      </c>
      <c r="M33" s="53">
        <v>0.29799999999999999</v>
      </c>
      <c r="N33" s="53">
        <v>0.214</v>
      </c>
      <c r="O33" s="53">
        <v>0.223</v>
      </c>
      <c r="P33" s="53">
        <v>0.24099999999999999</v>
      </c>
      <c r="Q33" s="34"/>
      <c r="R33" s="23">
        <f t="shared" si="10"/>
        <v>359.04937999999993</v>
      </c>
      <c r="S33" s="51"/>
      <c r="T33" s="94">
        <f t="shared" si="11"/>
        <v>0</v>
      </c>
      <c r="U33" s="117">
        <f t="shared" si="9"/>
        <v>359.04937999999993</v>
      </c>
      <c r="V33" s="119">
        <f t="shared" si="12"/>
        <v>0.2501043746113466</v>
      </c>
      <c r="W33" s="414"/>
    </row>
    <row r="34" spans="1:23" ht="29.5" thickBot="1">
      <c r="A34" s="31"/>
      <c r="B34" s="56" t="s">
        <v>39</v>
      </c>
      <c r="C34" s="32"/>
      <c r="D34" s="36"/>
      <c r="E34" s="53"/>
      <c r="F34" s="53"/>
      <c r="G34" s="53">
        <v>0.13300000000000001</v>
      </c>
      <c r="H34" s="53">
        <v>0.153</v>
      </c>
      <c r="I34" s="53">
        <v>9.4E-2</v>
      </c>
      <c r="J34" s="53">
        <v>0.126</v>
      </c>
      <c r="K34" s="53">
        <v>0.13600000000000001</v>
      </c>
      <c r="L34" s="53">
        <v>0.11600000000000001</v>
      </c>
      <c r="M34" s="53">
        <v>7.6999999999999999E-2</v>
      </c>
      <c r="N34" s="53">
        <v>0.13700000000000001</v>
      </c>
      <c r="O34" s="53">
        <v>0.157</v>
      </c>
      <c r="P34" s="53">
        <v>0.1</v>
      </c>
      <c r="Q34" s="34"/>
      <c r="R34" s="23">
        <f t="shared" si="10"/>
        <v>179.44708000000003</v>
      </c>
      <c r="S34" s="51"/>
      <c r="T34" s="94">
        <f t="shared" si="11"/>
        <v>0</v>
      </c>
      <c r="U34" s="117">
        <f t="shared" si="9"/>
        <v>179.44708000000003</v>
      </c>
      <c r="V34" s="120">
        <f t="shared" si="12"/>
        <v>0.1249981262166009</v>
      </c>
      <c r="W34" s="415"/>
    </row>
    <row r="35" spans="1:23">
      <c r="A35" s="59"/>
      <c r="B35" s="60"/>
      <c r="C35" s="60"/>
      <c r="D35" s="61"/>
      <c r="E35" s="64"/>
      <c r="F35" s="64"/>
      <c r="G35" s="64"/>
      <c r="H35" s="64"/>
      <c r="I35" s="64"/>
      <c r="J35" s="64"/>
      <c r="K35" s="64"/>
      <c r="Q35" s="66"/>
      <c r="R35" s="63"/>
      <c r="S35" s="67"/>
      <c r="T35" s="67"/>
      <c r="U35" s="67"/>
      <c r="V35" s="48"/>
      <c r="W35" s="79"/>
    </row>
    <row r="36" spans="1:23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3" ht="15" thickBot="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3" ht="44" thickBot="1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93" t="s">
        <v>137</v>
      </c>
      <c r="U38" s="101" t="s">
        <v>138</v>
      </c>
      <c r="V38" s="84" t="s">
        <v>133</v>
      </c>
      <c r="W38" s="411" t="s">
        <v>145</v>
      </c>
    </row>
    <row r="39" spans="1:23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5" si="13">R28+R17</f>
        <v>2940.4336200000002</v>
      </c>
      <c r="S39" s="83">
        <f>S28+S17</f>
        <v>0</v>
      </c>
      <c r="T39" s="95">
        <f>T17+T28</f>
        <v>0</v>
      </c>
      <c r="U39" s="113">
        <f>U17+U28</f>
        <v>2940.4336200000002</v>
      </c>
      <c r="V39" s="114">
        <f>S39+U39</f>
        <v>2940.4336200000002</v>
      </c>
      <c r="W39" s="412"/>
    </row>
    <row r="40" spans="1:23">
      <c r="A40" s="31"/>
      <c r="B40" s="56" t="s">
        <v>34</v>
      </c>
      <c r="C40" s="32"/>
      <c r="D40" s="37"/>
      <c r="E40" s="53"/>
      <c r="F40" s="53"/>
      <c r="G40" s="53">
        <f>((G$10*G18)+(G$11*G29))/G$12</f>
        <v>1.3772600386514922E-2</v>
      </c>
      <c r="H40" s="53">
        <f t="shared" ref="H40:P40" si="14">((H$10*H18)+(H$11*H29))/H$12</f>
        <v>1.3035381305283289E-2</v>
      </c>
      <c r="I40" s="53">
        <f t="shared" si="14"/>
        <v>8.4364346590909082E-3</v>
      </c>
      <c r="J40" s="53">
        <f t="shared" si="14"/>
        <v>2.0012136118054996E-2</v>
      </c>
      <c r="K40" s="53">
        <f t="shared" si="14"/>
        <v>9.0066208697273942E-3</v>
      </c>
      <c r="L40" s="53">
        <f t="shared" si="14"/>
        <v>1.6088712241653421E-2</v>
      </c>
      <c r="M40" s="53">
        <f t="shared" si="14"/>
        <v>2.8674275680421416E-2</v>
      </c>
      <c r="N40" s="53">
        <f t="shared" si="14"/>
        <v>2.3392113564668769E-2</v>
      </c>
      <c r="O40" s="53">
        <f t="shared" si="14"/>
        <v>2.6405017246785827E-2</v>
      </c>
      <c r="P40" s="53">
        <f t="shared" si="14"/>
        <v>3.0131525795077194E-2</v>
      </c>
      <c r="Q40" s="34"/>
      <c r="R40" s="23">
        <f>R29+R18</f>
        <v>54.772730000000003</v>
      </c>
      <c r="S40" s="83">
        <f>S29+S18</f>
        <v>0</v>
      </c>
      <c r="T40" s="95">
        <f t="shared" ref="T40:U45" si="15">T18+T29</f>
        <v>0</v>
      </c>
      <c r="U40" s="113">
        <f t="shared" si="15"/>
        <v>54.772730000000003</v>
      </c>
      <c r="V40" s="115">
        <f t="shared" ref="V40:V45" si="16">(R40+S40)/$V$39</f>
        <v>1.8627432915829602E-2</v>
      </c>
      <c r="W40" s="412"/>
    </row>
    <row r="41" spans="1:23">
      <c r="A41" s="31"/>
      <c r="B41" s="56" t="s">
        <v>35</v>
      </c>
      <c r="C41" s="32"/>
      <c r="D41" s="37"/>
      <c r="E41" s="53"/>
      <c r="F41" s="53"/>
      <c r="G41" s="53">
        <f>((G$10*G19)+(G$11*G30))/G$12</f>
        <v>7.2545200773029839E-2</v>
      </c>
      <c r="H41" s="53">
        <f t="shared" ref="H41:P41" si="17">((H$10*H19)+(H$11*H30))/H$12</f>
        <v>8.0548649294764518E-2</v>
      </c>
      <c r="I41" s="53">
        <f t="shared" si="17"/>
        <v>5.6364346590909081E-2</v>
      </c>
      <c r="J41" s="53">
        <f t="shared" si="17"/>
        <v>4.7810458833965001E-2</v>
      </c>
      <c r="K41" s="53">
        <f t="shared" si="17"/>
        <v>3.9509931304591094E-2</v>
      </c>
      <c r="L41" s="53">
        <f t="shared" si="17"/>
        <v>5.6504928457869641E-2</v>
      </c>
      <c r="M41" s="53">
        <f t="shared" si="17"/>
        <v>5.8448200175592623E-2</v>
      </c>
      <c r="N41" s="53">
        <f t="shared" si="17"/>
        <v>5.8056466876971607E-2</v>
      </c>
      <c r="O41" s="53">
        <f t="shared" si="17"/>
        <v>0.10086848541862654</v>
      </c>
      <c r="P41" s="53">
        <f t="shared" si="17"/>
        <v>6.9332203621923244E-2</v>
      </c>
      <c r="Q41" s="34"/>
      <c r="R41" s="23">
        <f t="shared" si="13"/>
        <v>189.58413999999999</v>
      </c>
      <c r="S41" s="83">
        <f t="shared" si="13"/>
        <v>0</v>
      </c>
      <c r="T41" s="95">
        <f t="shared" si="15"/>
        <v>0</v>
      </c>
      <c r="U41" s="113">
        <f t="shared" si="15"/>
        <v>189.58413999999999</v>
      </c>
      <c r="V41" s="115">
        <f t="shared" si="16"/>
        <v>6.4474891971885412E-2</v>
      </c>
      <c r="W41" s="412"/>
    </row>
    <row r="42" spans="1:23">
      <c r="A42" s="31"/>
      <c r="B42" s="56" t="s">
        <v>36</v>
      </c>
      <c r="C42" s="32"/>
      <c r="D42" s="37"/>
      <c r="E42" s="53"/>
      <c r="F42" s="53"/>
      <c r="G42" s="53">
        <f t="shared" ref="G42:P45" si="18">((G$10*G20)+(G$11*G31))/G$12</f>
        <v>6.2122396392527368E-2</v>
      </c>
      <c r="H42" s="53">
        <f t="shared" si="18"/>
        <v>6.892923738943342E-2</v>
      </c>
      <c r="I42" s="53">
        <f t="shared" si="18"/>
        <v>5.6182173295454538E-2</v>
      </c>
      <c r="J42" s="53">
        <f t="shared" si="18"/>
        <v>4.4733892428029998E-2</v>
      </c>
      <c r="K42" s="53">
        <f t="shared" si="18"/>
        <v>4.6951446955332439E-2</v>
      </c>
      <c r="L42" s="53">
        <f t="shared" si="18"/>
        <v>7.3406359300476953E-2</v>
      </c>
      <c r="M42" s="53">
        <f t="shared" si="18"/>
        <v>4.7942493415276559E-2</v>
      </c>
      <c r="N42" s="53">
        <f t="shared" si="18"/>
        <v>8.0448580441640383E-2</v>
      </c>
      <c r="O42" s="53">
        <f t="shared" si="18"/>
        <v>5.5853872687362818E-2</v>
      </c>
      <c r="P42" s="53">
        <f t="shared" si="18"/>
        <v>7.7505220636061745E-2</v>
      </c>
      <c r="Q42" s="34"/>
      <c r="R42" s="23">
        <f t="shared" si="13"/>
        <v>182.41665</v>
      </c>
      <c r="S42" s="83">
        <f t="shared" si="13"/>
        <v>0</v>
      </c>
      <c r="T42" s="95">
        <f t="shared" si="15"/>
        <v>0</v>
      </c>
      <c r="U42" s="113">
        <f t="shared" si="15"/>
        <v>182.41665</v>
      </c>
      <c r="V42" s="115">
        <f t="shared" si="16"/>
        <v>6.2037329718737197E-2</v>
      </c>
      <c r="W42" s="412"/>
    </row>
    <row r="43" spans="1:23" ht="29">
      <c r="A43" s="31"/>
      <c r="B43" s="56" t="s">
        <v>37</v>
      </c>
      <c r="C43" s="32"/>
      <c r="D43" s="37"/>
      <c r="E43" s="53"/>
      <c r="F43" s="53"/>
      <c r="G43" s="53">
        <f t="shared" si="18"/>
        <v>0.56772879536182086</v>
      </c>
      <c r="H43" s="53">
        <f t="shared" si="18"/>
        <v>0.45415060961032749</v>
      </c>
      <c r="I43" s="53">
        <f t="shared" si="18"/>
        <v>0.51989914772727264</v>
      </c>
      <c r="J43" s="53">
        <f t="shared" si="18"/>
        <v>0.43041924038384</v>
      </c>
      <c r="K43" s="53">
        <f t="shared" si="18"/>
        <v>0.48652979391377321</v>
      </c>
      <c r="L43" s="53">
        <f t="shared" si="18"/>
        <v>0.47374912559618443</v>
      </c>
      <c r="M43" s="53">
        <f t="shared" si="18"/>
        <v>0.48849824407374887</v>
      </c>
      <c r="N43" s="53">
        <f t="shared" si="18"/>
        <v>0.45331167192429023</v>
      </c>
      <c r="O43" s="53">
        <f t="shared" si="18"/>
        <v>0.46173063656318603</v>
      </c>
      <c r="P43" s="53">
        <f t="shared" si="18"/>
        <v>0.39947755982335414</v>
      </c>
      <c r="Q43" s="34"/>
      <c r="R43" s="23">
        <f t="shared" si="13"/>
        <v>1395.6425200000001</v>
      </c>
      <c r="S43" s="83">
        <f t="shared" si="13"/>
        <v>0</v>
      </c>
      <c r="T43" s="95">
        <f t="shared" si="15"/>
        <v>0</v>
      </c>
      <c r="U43" s="113">
        <f t="shared" si="15"/>
        <v>1395.6425200000001</v>
      </c>
      <c r="V43" s="115">
        <f t="shared" si="16"/>
        <v>0.47463833582476861</v>
      </c>
      <c r="W43" s="412"/>
    </row>
    <row r="44" spans="1:23" ht="17.5" customHeight="1">
      <c r="A44" s="31"/>
      <c r="B44" s="56" t="s">
        <v>38</v>
      </c>
      <c r="C44" s="32"/>
      <c r="D44" s="37"/>
      <c r="E44" s="53"/>
      <c r="F44" s="53"/>
      <c r="G44" s="53">
        <f t="shared" si="18"/>
        <v>0.15861090831007085</v>
      </c>
      <c r="H44" s="53">
        <f t="shared" si="18"/>
        <v>0.2464776476213244</v>
      </c>
      <c r="I44" s="53">
        <f t="shared" si="18"/>
        <v>0.26962642045454543</v>
      </c>
      <c r="J44" s="53">
        <f t="shared" si="18"/>
        <v>0.33637908233207003</v>
      </c>
      <c r="K44" s="53">
        <f t="shared" si="18"/>
        <v>0.30555186347953123</v>
      </c>
      <c r="L44" s="53">
        <f t="shared" si="18"/>
        <v>0.27081494435612086</v>
      </c>
      <c r="M44" s="53">
        <f t="shared" si="18"/>
        <v>0.30518393327480242</v>
      </c>
      <c r="N44" s="53">
        <f t="shared" si="18"/>
        <v>0.26468675078864351</v>
      </c>
      <c r="O44" s="53">
        <f t="shared" si="18"/>
        <v>0.23314612731263723</v>
      </c>
      <c r="P44" s="53">
        <f t="shared" si="18"/>
        <v>0.33394101537092186</v>
      </c>
      <c r="Q44" s="34"/>
      <c r="R44" s="23">
        <f t="shared" si="13"/>
        <v>792.02702999999997</v>
      </c>
      <c r="S44" s="83">
        <f t="shared" si="13"/>
        <v>0</v>
      </c>
      <c r="T44" s="95">
        <f t="shared" si="15"/>
        <v>0</v>
      </c>
      <c r="U44" s="113">
        <f t="shared" si="15"/>
        <v>792.02702999999997</v>
      </c>
      <c r="V44" s="115">
        <f t="shared" si="16"/>
        <v>0.26935722153795805</v>
      </c>
      <c r="W44" s="412"/>
    </row>
    <row r="45" spans="1:23" ht="29.5" thickBot="1">
      <c r="A45" s="31"/>
      <c r="B45" s="56" t="s">
        <v>39</v>
      </c>
      <c r="C45" s="32"/>
      <c r="D45" s="36"/>
      <c r="E45" s="53"/>
      <c r="F45" s="53"/>
      <c r="G45" s="53">
        <f t="shared" si="18"/>
        <v>0.12422009877603608</v>
      </c>
      <c r="H45" s="53">
        <f t="shared" si="18"/>
        <v>0.13685847477886684</v>
      </c>
      <c r="I45" s="53">
        <f t="shared" si="18"/>
        <v>9.0055042613636352E-2</v>
      </c>
      <c r="J45" s="53">
        <f t="shared" si="18"/>
        <v>0.12110083864204502</v>
      </c>
      <c r="K45" s="53">
        <f t="shared" si="18"/>
        <v>0.11294923999875663</v>
      </c>
      <c r="L45" s="53">
        <f t="shared" si="18"/>
        <v>0.10994085850556438</v>
      </c>
      <c r="M45" s="53">
        <f t="shared" si="18"/>
        <v>7.0773924495171212E-2</v>
      </c>
      <c r="N45" s="53">
        <f t="shared" si="18"/>
        <v>0.119592429022082</v>
      </c>
      <c r="O45" s="53">
        <f t="shared" si="18"/>
        <v>0.1219958607714017</v>
      </c>
      <c r="P45" s="53">
        <f t="shared" si="18"/>
        <v>8.9612474752661653E-2</v>
      </c>
      <c r="Q45" s="34"/>
      <c r="R45" s="23">
        <f t="shared" si="13"/>
        <v>325.99054999999998</v>
      </c>
      <c r="S45" s="83">
        <f t="shared" si="13"/>
        <v>0</v>
      </c>
      <c r="T45" s="95">
        <f t="shared" si="15"/>
        <v>0</v>
      </c>
      <c r="U45" s="113">
        <f t="shared" si="15"/>
        <v>325.99054999999998</v>
      </c>
      <c r="V45" s="116">
        <f t="shared" si="16"/>
        <v>0.1108647880308211</v>
      </c>
      <c r="W45" s="413"/>
    </row>
    <row r="46" spans="1:23">
      <c r="A46" s="59"/>
      <c r="B46" s="60"/>
      <c r="C46" s="60"/>
      <c r="D46" s="61"/>
      <c r="E46" s="64"/>
      <c r="F46" s="64"/>
      <c r="G46" s="64">
        <f t="shared" ref="G46:P46" si="19">SUM(G40:G45)</f>
        <v>0.999</v>
      </c>
      <c r="H46" s="64">
        <f t="shared" si="19"/>
        <v>1</v>
      </c>
      <c r="I46" s="64">
        <f t="shared" si="19"/>
        <v>1.0005635653409088</v>
      </c>
      <c r="J46" s="64">
        <f t="shared" si="19"/>
        <v>1.0004556487380052</v>
      </c>
      <c r="K46" s="64">
        <f t="shared" si="19"/>
        <v>1.0004988965217121</v>
      </c>
      <c r="L46" s="64">
        <f t="shared" si="19"/>
        <v>1.0005049284578698</v>
      </c>
      <c r="M46" s="64">
        <f t="shared" si="19"/>
        <v>0.99952107111501309</v>
      </c>
      <c r="N46" s="64">
        <f t="shared" si="19"/>
        <v>0.99948801261829656</v>
      </c>
      <c r="O46" s="64">
        <f t="shared" si="19"/>
        <v>1.0000000000000002</v>
      </c>
      <c r="P46" s="64">
        <f t="shared" si="19"/>
        <v>0.99999999999999978</v>
      </c>
      <c r="Q46" s="66"/>
      <c r="R46" s="63"/>
      <c r="V46" s="48"/>
      <c r="W46" s="79">
        <f>R39-R45</f>
        <v>2614.4430700000003</v>
      </c>
    </row>
    <row r="47" spans="1:23" ht="23">
      <c r="A47" s="30" t="s">
        <v>146</v>
      </c>
      <c r="B47" s="38" t="s">
        <v>147</v>
      </c>
      <c r="C47" s="30" t="s">
        <v>148</v>
      </c>
      <c r="D47">
        <f>SUM(E47:P47)</f>
        <v>155.6</v>
      </c>
      <c r="E47" s="106">
        <v>6.1</v>
      </c>
      <c r="F47" s="106">
        <v>27.200000000000003</v>
      </c>
      <c r="G47" s="111">
        <v>18.45</v>
      </c>
      <c r="H47" s="106">
        <v>8.4499999999999993</v>
      </c>
      <c r="I47" s="106">
        <v>6.85</v>
      </c>
      <c r="J47" s="106">
        <v>14.849999999999998</v>
      </c>
      <c r="K47" s="106">
        <v>12.3</v>
      </c>
      <c r="L47" s="106">
        <v>8.6</v>
      </c>
      <c r="M47" s="106">
        <v>17.25</v>
      </c>
      <c r="N47" s="110">
        <v>10.5</v>
      </c>
      <c r="O47" s="110">
        <v>19.05</v>
      </c>
      <c r="P47" s="106">
        <v>6</v>
      </c>
      <c r="R47" s="52"/>
    </row>
    <row r="48" spans="1:23" ht="23">
      <c r="A48" s="30"/>
      <c r="B48" s="38" t="s">
        <v>149</v>
      </c>
      <c r="C48" s="30"/>
      <c r="D48" s="108">
        <f>SUM(E48:P48)</f>
        <v>146.30000000000001</v>
      </c>
      <c r="E48" s="105">
        <v>4.05</v>
      </c>
      <c r="F48" s="105">
        <v>16.899999999999999</v>
      </c>
      <c r="G48" s="105">
        <v>30.15</v>
      </c>
      <c r="H48" s="106">
        <v>16.600000000000001</v>
      </c>
      <c r="I48" s="106">
        <v>1.65</v>
      </c>
      <c r="J48" s="106">
        <v>2.25</v>
      </c>
      <c r="K48" s="106">
        <v>26.95</v>
      </c>
      <c r="L48" s="106">
        <v>2.15</v>
      </c>
      <c r="M48" s="106">
        <v>16.55</v>
      </c>
      <c r="N48" s="106">
        <v>10.5</v>
      </c>
      <c r="O48" s="106">
        <v>18.55</v>
      </c>
      <c r="P48" s="106">
        <v>0</v>
      </c>
      <c r="R48" s="107"/>
    </row>
    <row r="49" spans="1:16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16" ht="43.5">
      <c r="A50" s="31" t="s">
        <v>150</v>
      </c>
      <c r="B50" s="43" t="s">
        <v>151</v>
      </c>
      <c r="C50" s="31" t="s">
        <v>152</v>
      </c>
      <c r="D50" s="32">
        <f>SUM(G50:P50)</f>
        <v>391</v>
      </c>
      <c r="E50" s="32"/>
      <c r="F50" s="32"/>
      <c r="G50" s="32">
        <f>G52-G51</f>
        <v>0</v>
      </c>
      <c r="H50" s="32">
        <v>8</v>
      </c>
      <c r="I50" s="32">
        <v>10</v>
      </c>
      <c r="J50" s="32">
        <v>12</v>
      </c>
      <c r="K50" s="32">
        <v>73</v>
      </c>
      <c r="L50" s="32">
        <v>77</v>
      </c>
      <c r="M50" s="32">
        <v>77</v>
      </c>
      <c r="N50" s="32">
        <v>77</v>
      </c>
      <c r="O50" s="32">
        <v>15</v>
      </c>
      <c r="P50" s="32">
        <v>42</v>
      </c>
    </row>
    <row r="55" spans="1:16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</sheetData>
  <mergeCells count="7">
    <mergeCell ref="E1:F1"/>
    <mergeCell ref="W38:W45"/>
    <mergeCell ref="W29:W34"/>
    <mergeCell ref="G1:P1"/>
    <mergeCell ref="W16:W17"/>
    <mergeCell ref="W18:W23"/>
    <mergeCell ref="W27:W2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zoomScale="90" zoomScaleNormal="90" workbookViewId="0">
      <pane xSplit="3" ySplit="5" topLeftCell="D39" activePane="bottomRight" state="frozen"/>
      <selection activeCell="M38" sqref="M38"/>
      <selection pane="topRight" activeCell="M38" sqref="M38"/>
      <selection pane="bottomLeft" activeCell="M38" sqref="M38"/>
      <selection pane="bottomRight" activeCell="M38" sqref="M38"/>
    </sheetView>
  </sheetViews>
  <sheetFormatPr baseColWidth="10" defaultColWidth="8.7265625" defaultRowHeight="14.5"/>
  <cols>
    <col min="1" max="1" width="21.453125" customWidth="1"/>
    <col min="2" max="2" width="23.54296875" customWidth="1"/>
    <col min="3" max="16" width="11.81640625" customWidth="1"/>
    <col min="17" max="17" width="5.1796875" customWidth="1"/>
    <col min="18" max="19" width="11.453125" customWidth="1"/>
    <col min="20" max="20" width="25.453125" style="112" customWidth="1"/>
    <col min="21" max="256" width="11.453125" customWidth="1"/>
  </cols>
  <sheetData>
    <row r="1" spans="1:20">
      <c r="A1" s="26"/>
      <c r="B1" s="27"/>
      <c r="D1" s="28"/>
      <c r="E1" s="419">
        <v>2018</v>
      </c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1"/>
    </row>
    <row r="2" spans="1:20">
      <c r="A2" s="29" t="s">
        <v>102</v>
      </c>
      <c r="B2" s="29" t="s">
        <v>103</v>
      </c>
      <c r="D2" s="28" t="s">
        <v>104</v>
      </c>
      <c r="E2" s="69" t="s">
        <v>105</v>
      </c>
      <c r="F2" s="69" t="s">
        <v>106</v>
      </c>
      <c r="G2" s="92" t="s">
        <v>107</v>
      </c>
      <c r="H2" s="92" t="s">
        <v>108</v>
      </c>
      <c r="I2" s="92" t="s">
        <v>109</v>
      </c>
      <c r="J2" s="92" t="s">
        <v>110</v>
      </c>
      <c r="K2" s="92" t="s">
        <v>111</v>
      </c>
      <c r="L2" s="92" t="s">
        <v>112</v>
      </c>
      <c r="M2" s="92" t="s">
        <v>113</v>
      </c>
      <c r="N2" s="92" t="s">
        <v>114</v>
      </c>
      <c r="O2" s="92" t="s">
        <v>115</v>
      </c>
      <c r="P2" s="92" t="s">
        <v>116</v>
      </c>
      <c r="R2" s="69" t="s">
        <v>40</v>
      </c>
    </row>
    <row r="3" spans="1:20" ht="46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0" ht="46" hidden="1">
      <c r="A4" s="30" t="s">
        <v>120</v>
      </c>
      <c r="B4" s="30" t="s">
        <v>121</v>
      </c>
      <c r="C4" s="30"/>
      <c r="D4" s="51">
        <v>298</v>
      </c>
    </row>
    <row r="5" spans="1:20" ht="34.5" hidden="1">
      <c r="A5" s="50" t="s">
        <v>60</v>
      </c>
      <c r="B5" s="30" t="s">
        <v>122</v>
      </c>
      <c r="C5" s="30"/>
      <c r="D5" s="51">
        <v>0</v>
      </c>
    </row>
    <row r="6" spans="1:20" ht="48" customHeight="1">
      <c r="A6" s="43" t="s">
        <v>123</v>
      </c>
      <c r="B6" s="43"/>
      <c r="C6" s="31"/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48" customHeight="1">
      <c r="A7" s="43" t="s">
        <v>124</v>
      </c>
      <c r="B7" s="43" t="s">
        <v>125</v>
      </c>
      <c r="C7" s="31"/>
      <c r="D7" s="78">
        <f>SUM(G7:P7)</f>
        <v>1201.2761116900001</v>
      </c>
      <c r="E7" s="77">
        <f>E10*(1-E23)</f>
        <v>150.37479999999999</v>
      </c>
      <c r="F7" s="77">
        <f>F10*(1-F23)</f>
        <v>147.1652</v>
      </c>
      <c r="G7" s="77">
        <f>G10*(1-G23)</f>
        <v>150.41616000000002</v>
      </c>
      <c r="H7" s="77">
        <f t="shared" ref="H7:P7" si="0">H10*(1-H23)</f>
        <v>147.1671</v>
      </c>
      <c r="I7" s="77">
        <f t="shared" si="0"/>
        <v>154.84231000000003</v>
      </c>
      <c r="J7" s="77">
        <f t="shared" si="0"/>
        <v>111.801</v>
      </c>
      <c r="K7" s="77">
        <f t="shared" si="0"/>
        <v>103.13200000000001</v>
      </c>
      <c r="L7" s="77">
        <f t="shared" si="0"/>
        <v>103.44517344</v>
      </c>
      <c r="M7" s="77">
        <f t="shared" si="0"/>
        <v>95.9266492</v>
      </c>
      <c r="N7" s="77">
        <f t="shared" si="0"/>
        <v>113.62872255000001</v>
      </c>
      <c r="O7" s="77">
        <f t="shared" si="0"/>
        <v>120.39541150000001</v>
      </c>
      <c r="P7" s="77">
        <f t="shared" si="0"/>
        <v>100.52158499999999</v>
      </c>
      <c r="Q7" s="32"/>
      <c r="R7" s="32"/>
    </row>
    <row r="8" spans="1:20" ht="48" customHeight="1">
      <c r="A8" s="43" t="s">
        <v>126</v>
      </c>
      <c r="B8" s="43" t="s">
        <v>127</v>
      </c>
      <c r="C8" s="31"/>
      <c r="D8" s="78">
        <f>SUM(G8:P8)</f>
        <v>1095.5067296700001</v>
      </c>
      <c r="E8" s="126">
        <f>E11*(1-E34)</f>
        <v>126.78997000000001</v>
      </c>
      <c r="F8" s="126">
        <f>F11*(1-F34)</f>
        <v>127.39538</v>
      </c>
      <c r="G8" s="126">
        <f>G11*(1-G34)</f>
        <v>125.96788000000001</v>
      </c>
      <c r="H8" s="126">
        <f t="shared" ref="H8:P8" si="1">H11*(1-H34)</f>
        <v>138.4504</v>
      </c>
      <c r="I8" s="126">
        <f t="shared" si="1"/>
        <v>147.25570000000002</v>
      </c>
      <c r="J8" s="126">
        <f t="shared" si="1"/>
        <v>135.25173000000001</v>
      </c>
      <c r="K8" s="126">
        <f t="shared" si="1"/>
        <v>131.38247999999999</v>
      </c>
      <c r="L8" s="126">
        <f t="shared" si="1"/>
        <v>131.80833088000003</v>
      </c>
      <c r="M8" s="126">
        <f t="shared" si="1"/>
        <v>66.924586949999991</v>
      </c>
      <c r="N8" s="126">
        <f t="shared" si="1"/>
        <v>117.45089264999999</v>
      </c>
      <c r="O8" s="126">
        <f t="shared" si="1"/>
        <v>41.536211000000002</v>
      </c>
      <c r="P8" s="126">
        <f t="shared" si="1"/>
        <v>59.478518189999996</v>
      </c>
      <c r="Q8" s="32"/>
      <c r="R8" s="32"/>
    </row>
    <row r="9" spans="1:20" ht="48" customHeight="1">
      <c r="A9" s="43" t="s">
        <v>123</v>
      </c>
      <c r="B9" s="43"/>
      <c r="C9" s="31"/>
      <c r="D9" s="85">
        <f>SUM(E9:P9)</f>
        <v>2848.5081913599997</v>
      </c>
      <c r="E9" s="41">
        <f t="shared" ref="E9:P9" si="2">SUM(E7:E8)</f>
        <v>277.16476999999998</v>
      </c>
      <c r="F9" s="41">
        <f t="shared" si="2"/>
        <v>274.56058000000002</v>
      </c>
      <c r="G9" s="41">
        <f t="shared" si="2"/>
        <v>276.38404000000003</v>
      </c>
      <c r="H9" s="41">
        <f t="shared" si="2"/>
        <v>285.61750000000001</v>
      </c>
      <c r="I9" s="41">
        <f t="shared" si="2"/>
        <v>302.09801000000004</v>
      </c>
      <c r="J9" s="41">
        <f t="shared" si="2"/>
        <v>247.05273</v>
      </c>
      <c r="K9" s="41">
        <f t="shared" si="2"/>
        <v>234.51447999999999</v>
      </c>
      <c r="L9" s="41">
        <f t="shared" si="2"/>
        <v>235.25350432000005</v>
      </c>
      <c r="M9" s="41">
        <f t="shared" si="2"/>
        <v>162.85123614999998</v>
      </c>
      <c r="N9" s="41">
        <f t="shared" si="2"/>
        <v>231.07961519999998</v>
      </c>
      <c r="O9" s="41">
        <f t="shared" si="2"/>
        <v>161.9316225</v>
      </c>
      <c r="P9" s="41">
        <f t="shared" si="2"/>
        <v>160.00010318999998</v>
      </c>
      <c r="Q9" s="32"/>
      <c r="R9" s="32"/>
    </row>
    <row r="10" spans="1:20" ht="43.5">
      <c r="A10" s="31"/>
      <c r="B10" s="42" t="s">
        <v>128</v>
      </c>
      <c r="C10" s="81"/>
      <c r="D10" s="78">
        <f>SUM(E10:P10)</f>
        <v>1658.3199100000002</v>
      </c>
      <c r="E10" s="77">
        <v>166.16</v>
      </c>
      <c r="F10" s="77">
        <v>161.72</v>
      </c>
      <c r="G10" s="77">
        <v>164.93</v>
      </c>
      <c r="H10" s="77">
        <v>161.9</v>
      </c>
      <c r="I10" s="77">
        <v>168.49</v>
      </c>
      <c r="J10" s="77">
        <v>124.5</v>
      </c>
      <c r="K10" s="77">
        <v>112.1</v>
      </c>
      <c r="L10" s="77">
        <v>119.72821</v>
      </c>
      <c r="M10" s="77">
        <v>106.11354999999999</v>
      </c>
      <c r="N10" s="77">
        <v>128.68485000000001</v>
      </c>
      <c r="O10" s="77">
        <v>132.30265</v>
      </c>
      <c r="P10" s="77">
        <v>111.69064999999999</v>
      </c>
      <c r="Q10" s="32"/>
      <c r="R10" s="32"/>
    </row>
    <row r="11" spans="1:20" ht="43.5">
      <c r="A11" s="31"/>
      <c r="B11" s="42" t="s">
        <v>129</v>
      </c>
      <c r="C11" s="32"/>
      <c r="D11" s="32">
        <f>SUM(E11:P11)</f>
        <v>1516.13833</v>
      </c>
      <c r="E11" s="52">
        <v>143.59</v>
      </c>
      <c r="F11" s="52">
        <v>142.66</v>
      </c>
      <c r="G11" s="80">
        <v>140.12</v>
      </c>
      <c r="H11" s="80">
        <v>157.33000000000001</v>
      </c>
      <c r="I11" s="80">
        <v>164.9</v>
      </c>
      <c r="J11" s="80">
        <v>153.87</v>
      </c>
      <c r="K11" s="80">
        <v>149.97999999999999</v>
      </c>
      <c r="L11" s="80">
        <v>145.16336000000001</v>
      </c>
      <c r="M11" s="80">
        <v>74.609349999999992</v>
      </c>
      <c r="N11" s="80">
        <v>130.93744999999998</v>
      </c>
      <c r="O11" s="80">
        <v>46.669899999999998</v>
      </c>
      <c r="P11" s="80">
        <v>66.308269999999993</v>
      </c>
      <c r="Q11" s="32"/>
      <c r="R11" s="32"/>
    </row>
    <row r="12" spans="1:20">
      <c r="A12" s="32"/>
      <c r="B12" s="40" t="s">
        <v>130</v>
      </c>
      <c r="C12" s="40"/>
      <c r="D12" s="85">
        <f>SUM(E12:P12)</f>
        <v>3174.4582399999995</v>
      </c>
      <c r="E12" s="41">
        <f t="shared" ref="E12:P12" si="3">SUM(E10:E11)</f>
        <v>309.75</v>
      </c>
      <c r="F12" s="41">
        <f t="shared" si="3"/>
        <v>304.38</v>
      </c>
      <c r="G12" s="41">
        <f t="shared" si="3"/>
        <v>305.05</v>
      </c>
      <c r="H12" s="41">
        <f t="shared" si="3"/>
        <v>319.23</v>
      </c>
      <c r="I12" s="41">
        <f t="shared" si="3"/>
        <v>333.39</v>
      </c>
      <c r="J12" s="41">
        <f t="shared" si="3"/>
        <v>278.37</v>
      </c>
      <c r="K12" s="41">
        <f t="shared" si="3"/>
        <v>262.08</v>
      </c>
      <c r="L12" s="41">
        <f t="shared" si="3"/>
        <v>264.89157</v>
      </c>
      <c r="M12" s="41">
        <f t="shared" si="3"/>
        <v>180.72289999999998</v>
      </c>
      <c r="N12" s="41">
        <f t="shared" si="3"/>
        <v>259.6223</v>
      </c>
      <c r="O12" s="41">
        <f t="shared" si="3"/>
        <v>178.97255000000001</v>
      </c>
      <c r="P12" s="41">
        <f t="shared" si="3"/>
        <v>177.99892</v>
      </c>
      <c r="Q12" s="32"/>
      <c r="R12" s="32"/>
    </row>
    <row r="14" spans="1:20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0" ht="15" thickBot="1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0" ht="58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82" t="s">
        <v>133</v>
      </c>
    </row>
    <row r="17" spans="1:20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1658.4764504100001</v>
      </c>
      <c r="S17">
        <f>SUM(S18:S23)</f>
        <v>0</v>
      </c>
      <c r="T17" s="121">
        <f>S17+R17</f>
        <v>1658.4764504100001</v>
      </c>
    </row>
    <row r="18" spans="1:20">
      <c r="A18" s="31"/>
      <c r="B18" s="56" t="s">
        <v>34</v>
      </c>
      <c r="C18" s="32"/>
      <c r="D18" s="36"/>
      <c r="E18" s="53">
        <v>8.9999999999999993E-3</v>
      </c>
      <c r="F18" s="53">
        <v>1.0999999999999999E-2</v>
      </c>
      <c r="G18" s="53">
        <v>2.1999999999999999E-2</v>
      </c>
      <c r="H18" s="53">
        <v>8.9999999999999993E-3</v>
      </c>
      <c r="I18" s="53">
        <v>2.7E-2</v>
      </c>
      <c r="J18" s="54">
        <v>3.3000000000000002E-2</v>
      </c>
      <c r="K18" s="53">
        <v>6.0000000000000001E-3</v>
      </c>
      <c r="L18" s="54">
        <v>1.4E-2</v>
      </c>
      <c r="M18" s="54">
        <v>1.7999999999999999E-2</v>
      </c>
      <c r="N18" s="53">
        <v>2.3E-2</v>
      </c>
      <c r="O18" s="54">
        <v>1.7000000000000001E-2</v>
      </c>
      <c r="P18" s="53">
        <v>2.4E-2</v>
      </c>
      <c r="Q18" s="34"/>
      <c r="R18" s="23">
        <f t="shared" ref="R18:R23" si="4">G18*$G$10+H18*$H$10+I18*$I$10+J18*$J$10+K18*$K$10+L18*$L$10+M18*$M$10+N18*$N$10+O18*$O$10+P18*$P$10+$E$10*E18+$F$10*F18</f>
        <v>29.165961039999996</v>
      </c>
      <c r="S18" s="51"/>
      <c r="T18" s="115">
        <f t="shared" ref="T18:T23" si="5">(R18+S18)/$T$17</f>
        <v>1.7585996492618109E-2</v>
      </c>
    </row>
    <row r="19" spans="1:20">
      <c r="A19" s="31"/>
      <c r="B19" s="56" t="s">
        <v>35</v>
      </c>
      <c r="C19" s="32"/>
      <c r="D19" s="36"/>
      <c r="E19" s="53">
        <v>0.08</v>
      </c>
      <c r="F19" s="53">
        <v>4.9000000000000002E-2</v>
      </c>
      <c r="G19" s="53">
        <v>5.6000000000000001E-2</v>
      </c>
      <c r="H19" s="53">
        <v>8.5999999999999993E-2</v>
      </c>
      <c r="I19" s="53">
        <v>3.7999999999999999E-2</v>
      </c>
      <c r="J19" s="54">
        <v>4.7E-2</v>
      </c>
      <c r="K19" s="53">
        <v>8.7999999999999995E-2</v>
      </c>
      <c r="L19" s="54">
        <v>4.9000000000000002E-2</v>
      </c>
      <c r="M19" s="54">
        <v>7.0999999999999994E-2</v>
      </c>
      <c r="N19" s="53">
        <v>6.9000000000000006E-2</v>
      </c>
      <c r="O19" s="54">
        <v>4.3999999999999997E-2</v>
      </c>
      <c r="P19" s="53">
        <v>6.0999999999999999E-2</v>
      </c>
      <c r="Q19" s="34"/>
      <c r="R19" s="23">
        <f t="shared" si="4"/>
        <v>101.40992523999999</v>
      </c>
      <c r="S19" s="51"/>
      <c r="T19" s="115">
        <f t="shared" si="5"/>
        <v>6.1146436667780205E-2</v>
      </c>
    </row>
    <row r="20" spans="1:20">
      <c r="A20" s="31"/>
      <c r="B20" s="56" t="s">
        <v>36</v>
      </c>
      <c r="C20" s="32"/>
      <c r="D20" s="36"/>
      <c r="E20" s="53">
        <v>6.0999999999999999E-2</v>
      </c>
      <c r="F20" s="53">
        <v>6.2E-2</v>
      </c>
      <c r="G20" s="53">
        <v>5.7000000000000002E-2</v>
      </c>
      <c r="H20" s="53">
        <v>8.5000000000000006E-2</v>
      </c>
      <c r="I20" s="53">
        <v>6.3E-2</v>
      </c>
      <c r="J20" s="54">
        <v>7.0000000000000007E-2</v>
      </c>
      <c r="K20" s="53">
        <v>0.1</v>
      </c>
      <c r="L20" s="54">
        <v>4.2000000000000003E-2</v>
      </c>
      <c r="M20" s="54">
        <v>9.5000000000000001E-2</v>
      </c>
      <c r="N20" s="53">
        <v>8.4000000000000005E-2</v>
      </c>
      <c r="O20" s="54">
        <v>7.3999999999999996E-2</v>
      </c>
      <c r="P20" s="53">
        <v>8.3000000000000004E-2</v>
      </c>
      <c r="Q20" s="34"/>
      <c r="R20" s="23">
        <f t="shared" si="4"/>
        <v>118.84439952000002</v>
      </c>
      <c r="S20" s="51"/>
      <c r="T20" s="115">
        <f t="shared" si="5"/>
        <v>7.1658780256192309E-2</v>
      </c>
    </row>
    <row r="21" spans="1:20" ht="29">
      <c r="A21" s="31"/>
      <c r="B21" s="56" t="s">
        <v>37</v>
      </c>
      <c r="C21" s="32"/>
      <c r="D21" s="36"/>
      <c r="E21" s="53">
        <v>0.61699999999999999</v>
      </c>
      <c r="F21" s="53">
        <v>0.54100000000000004</v>
      </c>
      <c r="G21" s="53">
        <v>0.55700000000000005</v>
      </c>
      <c r="H21" s="53">
        <v>0.58599999999999997</v>
      </c>
      <c r="I21" s="53">
        <v>0.57999999999999996</v>
      </c>
      <c r="J21" s="54">
        <v>0.63400000000000001</v>
      </c>
      <c r="K21" s="53">
        <v>0.59199999999999997</v>
      </c>
      <c r="L21" s="54">
        <v>0.56200000000000006</v>
      </c>
      <c r="M21" s="54">
        <v>0.57799999999999996</v>
      </c>
      <c r="N21" s="53">
        <v>0.57399999999999995</v>
      </c>
      <c r="O21" s="54">
        <v>0.61299999999999999</v>
      </c>
      <c r="P21" s="53">
        <v>0.60599999999999998</v>
      </c>
      <c r="Q21" s="34"/>
      <c r="R21" s="23">
        <f t="shared" si="4"/>
        <v>971.04309816999989</v>
      </c>
      <c r="S21" s="51"/>
      <c r="T21" s="115">
        <f t="shared" si="5"/>
        <v>0.58550309709248116</v>
      </c>
    </row>
    <row r="22" spans="1:20" ht="29">
      <c r="A22" s="31"/>
      <c r="B22" s="56" t="s">
        <v>38</v>
      </c>
      <c r="C22" s="32"/>
      <c r="D22" s="36"/>
      <c r="E22" s="53">
        <v>0.13800000000000001</v>
      </c>
      <c r="F22" s="53">
        <v>0.247</v>
      </c>
      <c r="G22" s="53">
        <v>0.221</v>
      </c>
      <c r="H22" s="53">
        <v>0.14299999999999999</v>
      </c>
      <c r="I22" s="53">
        <v>0.21099999999999999</v>
      </c>
      <c r="J22" s="54">
        <v>0.113</v>
      </c>
      <c r="K22" s="53">
        <v>0.13400000000000001</v>
      </c>
      <c r="L22" s="54">
        <v>0.19800000000000001</v>
      </c>
      <c r="M22" s="54">
        <v>0.14199999999999999</v>
      </c>
      <c r="N22" s="53">
        <v>0.13400000000000001</v>
      </c>
      <c r="O22" s="54">
        <v>0.161</v>
      </c>
      <c r="P22" s="53">
        <v>0.126</v>
      </c>
      <c r="Q22" s="34"/>
      <c r="R22" s="23">
        <f t="shared" si="4"/>
        <v>278.50926813000001</v>
      </c>
      <c r="S22" s="51"/>
      <c r="T22" s="115">
        <f t="shared" si="5"/>
        <v>0.16793079459231897</v>
      </c>
    </row>
    <row r="23" spans="1:20" ht="29.5" thickBot="1">
      <c r="A23" s="31"/>
      <c r="B23" s="56" t="s">
        <v>39</v>
      </c>
      <c r="C23" s="32"/>
      <c r="D23" s="36"/>
      <c r="E23" s="74">
        <v>9.5000000000000001E-2</v>
      </c>
      <c r="F23" s="53">
        <v>0.09</v>
      </c>
      <c r="G23" s="53">
        <v>8.7999999999999995E-2</v>
      </c>
      <c r="H23" s="53">
        <v>9.0999999999999998E-2</v>
      </c>
      <c r="I23" s="53">
        <v>8.1000000000000003E-2</v>
      </c>
      <c r="J23" s="54">
        <v>0.10199999999999999</v>
      </c>
      <c r="K23" s="53">
        <v>0.08</v>
      </c>
      <c r="L23" s="54">
        <v>0.13600000000000001</v>
      </c>
      <c r="M23" s="54">
        <v>9.6000000000000002E-2</v>
      </c>
      <c r="N23" s="53">
        <v>0.11700000000000001</v>
      </c>
      <c r="O23" s="54">
        <v>0.09</v>
      </c>
      <c r="P23" s="53">
        <v>0.1</v>
      </c>
      <c r="Q23" s="34"/>
      <c r="R23" s="23">
        <f t="shared" si="4"/>
        <v>159.50379831000001</v>
      </c>
      <c r="S23" s="51"/>
      <c r="T23" s="116">
        <f t="shared" si="5"/>
        <v>9.6174894898609073E-2</v>
      </c>
    </row>
    <row r="24" spans="1:20">
      <c r="A24" s="59"/>
      <c r="B24" s="60"/>
      <c r="C24" s="60"/>
      <c r="D24" s="72"/>
      <c r="K24" s="62"/>
      <c r="Q24" s="62"/>
      <c r="R24" s="63"/>
      <c r="T24" s="122"/>
    </row>
    <row r="25" spans="1:20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0" ht="15" thickBot="1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0" ht="58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82" t="s">
        <v>133</v>
      </c>
    </row>
    <row r="28" spans="1:20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1516.3660682700001</v>
      </c>
      <c r="S28">
        <f>SUM(S29:S34)</f>
        <v>0</v>
      </c>
      <c r="T28" s="121">
        <f>S28+R28</f>
        <v>1516.3660682700001</v>
      </c>
    </row>
    <row r="29" spans="1:20">
      <c r="A29" s="31"/>
      <c r="B29" s="56" t="s">
        <v>34</v>
      </c>
      <c r="C29" s="32"/>
      <c r="D29" s="37"/>
      <c r="E29" s="53">
        <v>3.9E-2</v>
      </c>
      <c r="F29" s="53">
        <v>6.3E-2</v>
      </c>
      <c r="G29" s="53">
        <v>5.5E-2</v>
      </c>
      <c r="H29" s="53">
        <v>2.1999999999999999E-2</v>
      </c>
      <c r="I29" s="53">
        <v>2.8000000000000001E-2</v>
      </c>
      <c r="J29" s="53">
        <v>2.8000000000000001E-2</v>
      </c>
      <c r="K29" s="53">
        <v>1.2E-2</v>
      </c>
      <c r="L29" s="53">
        <v>1.4E-2</v>
      </c>
      <c r="M29" s="53">
        <v>1.4E-2</v>
      </c>
      <c r="N29" s="53">
        <v>1.4E-2</v>
      </c>
      <c r="O29" s="53">
        <v>4.2000000000000003E-2</v>
      </c>
      <c r="P29" s="53">
        <v>1.4E-2</v>
      </c>
      <c r="Q29" s="34"/>
      <c r="R29" s="23">
        <f t="shared" ref="R29:R34" si="6">G29*$G$11+H29*$H$11+I29*$I$11+J29*$J$11+K29*$K$11+L29*$L$11+M29*$M$11+N29*$N$11+O29*$O$11+P29*$P$11+$E$11*E29+$F$11*F29</f>
        <v>44.279163820000001</v>
      </c>
      <c r="S29" s="51"/>
      <c r="T29" s="115">
        <f t="shared" ref="T29:T34" si="7">(R29+S29)/$T$28</f>
        <v>2.920084057968763E-2</v>
      </c>
    </row>
    <row r="30" spans="1:20">
      <c r="A30" s="31"/>
      <c r="B30" s="56" t="s">
        <v>35</v>
      </c>
      <c r="C30" s="32"/>
      <c r="D30" s="37"/>
      <c r="E30" s="53">
        <v>5.3999999999999999E-2</v>
      </c>
      <c r="F30" s="53">
        <v>6.7000000000000004E-2</v>
      </c>
      <c r="G30" s="53">
        <v>5.3999999999999999E-2</v>
      </c>
      <c r="H30" s="53">
        <v>9.2999999999999999E-2</v>
      </c>
      <c r="I30" s="53">
        <v>5.8000000000000003E-2</v>
      </c>
      <c r="J30" s="53">
        <v>6.7000000000000004E-2</v>
      </c>
      <c r="K30" s="53">
        <v>5.8999999999999997E-2</v>
      </c>
      <c r="L30" s="53">
        <v>4.7E-2</v>
      </c>
      <c r="M30" s="53">
        <v>8.5000000000000006E-2</v>
      </c>
      <c r="N30" s="53">
        <v>8.5000000000000006E-2</v>
      </c>
      <c r="O30" s="53">
        <v>8.5000000000000006E-2</v>
      </c>
      <c r="P30" s="53">
        <v>6.4000000000000001E-2</v>
      </c>
      <c r="Q30" s="34"/>
      <c r="R30" s="23">
        <f t="shared" si="6"/>
        <v>100.73738670000002</v>
      </c>
      <c r="S30" s="51"/>
      <c r="T30" s="115">
        <f t="shared" si="7"/>
        <v>6.6433421855007502E-2</v>
      </c>
    </row>
    <row r="31" spans="1:20">
      <c r="A31" s="31"/>
      <c r="B31" s="56" t="s">
        <v>36</v>
      </c>
      <c r="C31" s="32"/>
      <c r="D31" s="37"/>
      <c r="E31" s="53">
        <v>6.9000000000000006E-2</v>
      </c>
      <c r="F31" s="53">
        <v>6.2E-2</v>
      </c>
      <c r="G31" s="53">
        <v>8.3000000000000004E-2</v>
      </c>
      <c r="H31" s="53">
        <v>8.3000000000000004E-2</v>
      </c>
      <c r="I31" s="53">
        <v>6.4000000000000001E-2</v>
      </c>
      <c r="J31" s="53">
        <v>7.0999999999999994E-2</v>
      </c>
      <c r="K31" s="53">
        <v>7.0000000000000007E-2</v>
      </c>
      <c r="L31" s="53">
        <v>6.9000000000000006E-2</v>
      </c>
      <c r="M31" s="53">
        <v>0.13800000000000001</v>
      </c>
      <c r="N31" s="53">
        <v>0.13800000000000001</v>
      </c>
      <c r="O31" s="53">
        <v>9.7000000000000003E-2</v>
      </c>
      <c r="P31" s="53">
        <v>7.5999999999999998E-2</v>
      </c>
      <c r="Q31" s="34"/>
      <c r="R31" s="23">
        <f t="shared" si="6"/>
        <v>123.36608906000001</v>
      </c>
      <c r="S31" s="51"/>
      <c r="T31" s="115">
        <f t="shared" si="7"/>
        <v>8.1356403075377823E-2</v>
      </c>
    </row>
    <row r="32" spans="1:20" ht="29">
      <c r="A32" s="31"/>
      <c r="B32" s="56" t="s">
        <v>37</v>
      </c>
      <c r="C32" s="32"/>
      <c r="D32" s="37"/>
      <c r="E32" s="53">
        <v>0.48</v>
      </c>
      <c r="F32" s="53">
        <v>0.60599999999999998</v>
      </c>
      <c r="G32" s="53">
        <v>0.47899999999999998</v>
      </c>
      <c r="H32" s="53">
        <v>0.55200000000000005</v>
      </c>
      <c r="I32" s="53">
        <v>0.44900000000000001</v>
      </c>
      <c r="J32" s="53">
        <v>0.53600000000000003</v>
      </c>
      <c r="K32" s="53">
        <v>0.54600000000000004</v>
      </c>
      <c r="L32" s="53">
        <v>0.54800000000000004</v>
      </c>
      <c r="M32" s="53">
        <v>0.51100000000000001</v>
      </c>
      <c r="N32" s="53">
        <v>0.51100000000000001</v>
      </c>
      <c r="O32" s="53">
        <v>0.55000000000000004</v>
      </c>
      <c r="P32" s="53">
        <v>0.59199999999999997</v>
      </c>
      <c r="Q32" s="34"/>
      <c r="R32" s="23">
        <f t="shared" si="6"/>
        <v>797.24917692000008</v>
      </c>
      <c r="S32" s="51"/>
      <c r="T32" s="115">
        <f t="shared" si="7"/>
        <v>0.52576300248499364</v>
      </c>
    </row>
    <row r="33" spans="1:20" ht="17.5" customHeight="1">
      <c r="A33" s="31"/>
      <c r="B33" s="56" t="s">
        <v>38</v>
      </c>
      <c r="C33" s="32"/>
      <c r="D33" s="37"/>
      <c r="E33" s="53">
        <v>0.24</v>
      </c>
      <c r="F33" s="53">
        <v>9.5000000000000001E-2</v>
      </c>
      <c r="G33" s="53">
        <v>0.22900000000000001</v>
      </c>
      <c r="H33" s="53">
        <v>0.13</v>
      </c>
      <c r="I33" s="53">
        <v>0.29499999999999998</v>
      </c>
      <c r="J33" s="53">
        <v>0.17699999999999999</v>
      </c>
      <c r="K33" s="53">
        <v>0.189</v>
      </c>
      <c r="L33" s="53">
        <v>0.23</v>
      </c>
      <c r="M33" s="53">
        <v>0.14899999999999999</v>
      </c>
      <c r="N33" s="53">
        <v>0.14899999999999999</v>
      </c>
      <c r="O33" s="53">
        <v>0.11600000000000001</v>
      </c>
      <c r="P33" s="53">
        <v>0.152</v>
      </c>
      <c r="Q33" s="34"/>
      <c r="R33" s="23">
        <f t="shared" si="6"/>
        <v>284.28800143999996</v>
      </c>
      <c r="S33" s="51"/>
      <c r="T33" s="115">
        <f t="shared" si="7"/>
        <v>0.18747979619745778</v>
      </c>
    </row>
    <row r="34" spans="1:20" ht="29.5" thickBot="1">
      <c r="A34" s="31"/>
      <c r="B34" s="56" t="s">
        <v>39</v>
      </c>
      <c r="C34" s="32"/>
      <c r="D34" s="36"/>
      <c r="E34" s="53">
        <v>0.11700000000000001</v>
      </c>
      <c r="F34" s="53">
        <v>0.107</v>
      </c>
      <c r="G34" s="53">
        <v>0.10100000000000001</v>
      </c>
      <c r="H34" s="53">
        <v>0.12</v>
      </c>
      <c r="I34" s="53">
        <v>0.107</v>
      </c>
      <c r="J34" s="53">
        <v>0.121</v>
      </c>
      <c r="K34" s="53">
        <v>0.124</v>
      </c>
      <c r="L34" s="53">
        <v>9.1999999999999998E-2</v>
      </c>
      <c r="M34" s="53">
        <v>0.10299999999999999</v>
      </c>
      <c r="N34" s="53">
        <v>0.10299999999999999</v>
      </c>
      <c r="O34" s="53">
        <v>0.11</v>
      </c>
      <c r="P34" s="53">
        <v>0.10299999999999999</v>
      </c>
      <c r="Q34" s="34"/>
      <c r="R34" s="23">
        <f t="shared" si="6"/>
        <v>166.44625033</v>
      </c>
      <c r="S34" s="51"/>
      <c r="T34" s="116">
        <f t="shared" si="7"/>
        <v>0.10976653580747563</v>
      </c>
    </row>
    <row r="35" spans="1:20">
      <c r="A35" s="59"/>
      <c r="B35" s="60"/>
      <c r="C35" s="60"/>
      <c r="D35" s="61"/>
      <c r="Q35" s="66"/>
      <c r="R35" s="63"/>
      <c r="S35" s="67"/>
      <c r="T35" s="122"/>
    </row>
    <row r="36" spans="1:20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0" ht="15" thickBot="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0" ht="58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82" t="s">
        <v>133</v>
      </c>
    </row>
    <row r="39" spans="1:20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1" si="8">R28+R17</f>
        <v>3174.8425186800005</v>
      </c>
      <c r="S39" s="83">
        <f t="shared" si="8"/>
        <v>0</v>
      </c>
      <c r="T39" s="121">
        <f>S39+R39</f>
        <v>3174.8425186800005</v>
      </c>
    </row>
    <row r="40" spans="1:20">
      <c r="A40" s="31"/>
      <c r="B40" s="56" t="s">
        <v>34</v>
      </c>
      <c r="C40" s="32"/>
      <c r="D40" s="37"/>
      <c r="E40" s="53">
        <f>((E$10*E18)+(E$11*E29))/E$12</f>
        <v>2.2907021791767554E-2</v>
      </c>
      <c r="F40" s="53">
        <f t="shared" ref="F40:P40" si="9">((F$10*F18)+(F$11*F29))/F$12</f>
        <v>3.5371903541625595E-2</v>
      </c>
      <c r="G40" s="53">
        <f t="shared" si="9"/>
        <v>3.7158039665628584E-2</v>
      </c>
      <c r="H40" s="53">
        <f t="shared" si="9"/>
        <v>1.5406947968549321E-2</v>
      </c>
      <c r="I40" s="53">
        <f>((I$10*I18)+(I$11*I29))/I$12</f>
        <v>2.7494615915294406E-2</v>
      </c>
      <c r="J40" s="53">
        <f t="shared" si="9"/>
        <v>3.0236232352624202E-2</v>
      </c>
      <c r="K40" s="53">
        <f t="shared" si="9"/>
        <v>9.4336080586080572E-3</v>
      </c>
      <c r="L40" s="53">
        <f t="shared" si="9"/>
        <v>1.4E-2</v>
      </c>
      <c r="M40" s="53">
        <f t="shared" si="9"/>
        <v>1.634864646372983E-2</v>
      </c>
      <c r="N40" s="53">
        <f t="shared" si="9"/>
        <v>1.8460955973350516E-2</v>
      </c>
      <c r="O40" s="53">
        <f t="shared" si="9"/>
        <v>2.3519142181300984E-2</v>
      </c>
      <c r="P40" s="53">
        <f t="shared" si="9"/>
        <v>2.0274793689759468E-2</v>
      </c>
      <c r="Q40" s="34"/>
      <c r="R40" s="23">
        <f t="shared" si="8"/>
        <v>73.445124859999993</v>
      </c>
      <c r="S40" s="83">
        <f t="shared" si="8"/>
        <v>0</v>
      </c>
      <c r="T40" s="115">
        <f t="shared" ref="T40:T45" si="10">(R40+S40)/$T$39</f>
        <v>2.3133470220291795E-2</v>
      </c>
    </row>
    <row r="41" spans="1:20">
      <c r="A41" s="31"/>
      <c r="B41" s="56" t="s">
        <v>35</v>
      </c>
      <c r="C41" s="32"/>
      <c r="D41" s="37"/>
      <c r="E41" s="53">
        <f t="shared" ref="E41:P41" si="11">((E$10*E19)+(E$11*E30))/E$12</f>
        <v>6.7947247780468123E-2</v>
      </c>
      <c r="F41" s="53">
        <f t="shared" si="11"/>
        <v>5.7436428149024256E-2</v>
      </c>
      <c r="G41" s="53">
        <f t="shared" si="11"/>
        <v>5.508133092935584E-2</v>
      </c>
      <c r="H41" s="53">
        <f t="shared" si="11"/>
        <v>8.9449895059988085E-2</v>
      </c>
      <c r="I41" s="53">
        <f t="shared" si="11"/>
        <v>4.7892318305888006E-2</v>
      </c>
      <c r="J41" s="53">
        <f t="shared" si="11"/>
        <v>5.8055070589503176E-2</v>
      </c>
      <c r="K41" s="53">
        <f t="shared" si="11"/>
        <v>7.140422771672772E-2</v>
      </c>
      <c r="L41" s="53">
        <f t="shared" si="11"/>
        <v>4.7903979012997658E-2</v>
      </c>
      <c r="M41" s="53">
        <f t="shared" si="11"/>
        <v>7.6779737376945587E-2</v>
      </c>
      <c r="N41" s="53">
        <f t="shared" si="11"/>
        <v>7.7069411602932417E-2</v>
      </c>
      <c r="O41" s="53">
        <f t="shared" si="11"/>
        <v>5.4691393177333618E-2</v>
      </c>
      <c r="P41" s="53">
        <f t="shared" si="11"/>
        <v>6.2117561893072153E-2</v>
      </c>
      <c r="Q41" s="34"/>
      <c r="R41" s="23">
        <f t="shared" si="8"/>
        <v>202.14731194000001</v>
      </c>
      <c r="S41" s="83">
        <f t="shared" si="8"/>
        <v>0</v>
      </c>
      <c r="T41" s="115">
        <f t="shared" si="10"/>
        <v>6.3671602843484179E-2</v>
      </c>
    </row>
    <row r="42" spans="1:20">
      <c r="A42" s="31"/>
      <c r="B42" s="56" t="s">
        <v>36</v>
      </c>
      <c r="C42" s="32"/>
      <c r="D42" s="37"/>
      <c r="E42" s="53">
        <f t="shared" ref="E42:P42" si="12">((E$10*E20)+(E$11*E31))/E$12</f>
        <v>6.4708539144471347E-2</v>
      </c>
      <c r="F42" s="53">
        <f t="shared" si="12"/>
        <v>6.2000000000000006E-2</v>
      </c>
      <c r="G42" s="53">
        <f t="shared" si="12"/>
        <v>6.8942697918374041E-2</v>
      </c>
      <c r="H42" s="53">
        <f t="shared" si="12"/>
        <v>8.401431569714625E-2</v>
      </c>
      <c r="I42" s="53">
        <f t="shared" si="12"/>
        <v>6.34946159152944E-2</v>
      </c>
      <c r="J42" s="53">
        <f t="shared" si="12"/>
        <v>7.0552753529475154E-2</v>
      </c>
      <c r="K42" s="53">
        <f t="shared" si="12"/>
        <v>8.283195970695971E-2</v>
      </c>
      <c r="L42" s="53">
        <f t="shared" si="12"/>
        <v>5.6796283324531627E-2</v>
      </c>
      <c r="M42" s="53">
        <f t="shared" si="12"/>
        <v>0.11275205051490431</v>
      </c>
      <c r="N42" s="53">
        <f t="shared" si="12"/>
        <v>0.11123426415989689</v>
      </c>
      <c r="O42" s="53">
        <f t="shared" si="12"/>
        <v>7.999761080679689E-2</v>
      </c>
      <c r="P42" s="53">
        <f t="shared" si="12"/>
        <v>8.0392355582831629E-2</v>
      </c>
      <c r="Q42" s="34"/>
      <c r="R42" s="23">
        <f t="shared" ref="R42:S45" si="13">R31+R20</f>
        <v>242.21048858000003</v>
      </c>
      <c r="S42" s="83">
        <f t="shared" si="13"/>
        <v>0</v>
      </c>
      <c r="T42" s="115">
        <f t="shared" si="10"/>
        <v>7.6290552099794712E-2</v>
      </c>
    </row>
    <row r="43" spans="1:20" ht="29">
      <c r="A43" s="31"/>
      <c r="B43" s="56" t="s">
        <v>37</v>
      </c>
      <c r="C43" s="32"/>
      <c r="D43" s="37"/>
      <c r="E43" s="53">
        <f t="shared" ref="E43:P43" si="14">((E$10*E21)+(E$11*E32))/E$12</f>
        <v>0.55349126715092811</v>
      </c>
      <c r="F43" s="53">
        <f t="shared" si="14"/>
        <v>0.57146487942703195</v>
      </c>
      <c r="G43" s="53">
        <f t="shared" si="14"/>
        <v>0.52117190624487797</v>
      </c>
      <c r="H43" s="53">
        <f t="shared" si="14"/>
        <v>0.56924336685148635</v>
      </c>
      <c r="I43" s="53">
        <f t="shared" si="14"/>
        <v>0.51520531509643364</v>
      </c>
      <c r="J43" s="53">
        <f t="shared" si="14"/>
        <v>0.57983015411143446</v>
      </c>
      <c r="K43" s="53">
        <f t="shared" si="14"/>
        <v>0.56567567155067155</v>
      </c>
      <c r="L43" s="53">
        <f t="shared" si="14"/>
        <v>0.55432785309098365</v>
      </c>
      <c r="M43" s="53">
        <f t="shared" si="14"/>
        <v>0.55033982826747463</v>
      </c>
      <c r="N43" s="53">
        <f t="shared" si="14"/>
        <v>0.54222669181345351</v>
      </c>
      <c r="O43" s="53">
        <f t="shared" si="14"/>
        <v>0.59657176170312154</v>
      </c>
      <c r="P43" s="53">
        <f t="shared" si="14"/>
        <v>0.60078471116566323</v>
      </c>
      <c r="Q43" s="34"/>
      <c r="R43" s="23">
        <f t="shared" si="13"/>
        <v>1768.29227509</v>
      </c>
      <c r="S43" s="83">
        <f t="shared" si="13"/>
        <v>0</v>
      </c>
      <c r="T43" s="115">
        <f t="shared" si="10"/>
        <v>0.55697007479451299</v>
      </c>
    </row>
    <row r="44" spans="1:20" ht="17.5" customHeight="1">
      <c r="A44" s="31"/>
      <c r="B44" s="56" t="s">
        <v>38</v>
      </c>
      <c r="C44" s="32"/>
      <c r="D44" s="37"/>
      <c r="E44" s="53">
        <f t="shared" ref="E44:P44" si="15">((E$10*E22)+(E$11*E33))/E$12</f>
        <v>0.18528387409200966</v>
      </c>
      <c r="F44" s="53">
        <f t="shared" si="15"/>
        <v>0.17575905118601748</v>
      </c>
      <c r="G44" s="53">
        <f t="shared" si="15"/>
        <v>0.22467467628257665</v>
      </c>
      <c r="H44" s="53">
        <f t="shared" si="15"/>
        <v>0.1365930520314507</v>
      </c>
      <c r="I44" s="53">
        <f t="shared" si="15"/>
        <v>0.25254773688472959</v>
      </c>
      <c r="J44" s="53">
        <f t="shared" si="15"/>
        <v>0.14837622588641017</v>
      </c>
      <c r="K44" s="53">
        <f t="shared" si="15"/>
        <v>0.16547474053724057</v>
      </c>
      <c r="L44" s="53">
        <f t="shared" si="15"/>
        <v>0.21553633579203749</v>
      </c>
      <c r="M44" s="53">
        <f t="shared" si="15"/>
        <v>0.14488986868847278</v>
      </c>
      <c r="N44" s="53">
        <f t="shared" si="15"/>
        <v>0.14156507337774915</v>
      </c>
      <c r="O44" s="53">
        <f t="shared" si="15"/>
        <v>0.14926554407365822</v>
      </c>
      <c r="P44" s="53">
        <f t="shared" si="15"/>
        <v>0.13568553640662537</v>
      </c>
      <c r="Q44" s="34"/>
      <c r="R44" s="23">
        <f t="shared" si="13"/>
        <v>562.79726957000003</v>
      </c>
      <c r="S44" s="83">
        <f>S33+S22</f>
        <v>0</v>
      </c>
      <c r="T44" s="115">
        <f t="shared" si="10"/>
        <v>0.17726777509707581</v>
      </c>
    </row>
    <row r="45" spans="1:20" ht="29.5" thickBot="1">
      <c r="A45" s="31"/>
      <c r="B45" s="56" t="s">
        <v>39</v>
      </c>
      <c r="C45" s="32"/>
      <c r="D45" s="36"/>
      <c r="E45" s="53">
        <f t="shared" ref="E45:P45" si="16">((E$10*E23)+(E$11*E34))/E$12</f>
        <v>0.10519848264729621</v>
      </c>
      <c r="F45" s="53">
        <f t="shared" si="16"/>
        <v>9.7967737696300683E-2</v>
      </c>
      <c r="G45" s="53">
        <f t="shared" si="16"/>
        <v>9.3971348959187018E-2</v>
      </c>
      <c r="H45" s="53">
        <f t="shared" si="16"/>
        <v>0.10529242239137925</v>
      </c>
      <c r="I45" s="53">
        <f t="shared" si="16"/>
        <v>9.3860013797654407E-2</v>
      </c>
      <c r="J45" s="53">
        <f t="shared" si="16"/>
        <v>0.11250231706002801</v>
      </c>
      <c r="K45" s="53">
        <f t="shared" si="16"/>
        <v>0.10517979242979243</v>
      </c>
      <c r="L45" s="53">
        <f t="shared" si="16"/>
        <v>0.11188753828594848</v>
      </c>
      <c r="M45" s="53">
        <f t="shared" si="16"/>
        <v>9.8889868688472785E-2</v>
      </c>
      <c r="N45" s="53">
        <f t="shared" si="16"/>
        <v>0.10993926484743415</v>
      </c>
      <c r="O45" s="53">
        <f t="shared" si="16"/>
        <v>9.5215313745040775E-2</v>
      </c>
      <c r="P45" s="53">
        <f t="shared" si="16"/>
        <v>0.10111756189307215</v>
      </c>
      <c r="Q45" s="34"/>
      <c r="R45" s="23">
        <f t="shared" si="13"/>
        <v>325.95004863999998</v>
      </c>
      <c r="S45" s="83">
        <f t="shared" si="13"/>
        <v>0</v>
      </c>
      <c r="T45" s="116">
        <f t="shared" si="10"/>
        <v>0.10266652494484033</v>
      </c>
    </row>
    <row r="46" spans="1:20">
      <c r="A46" s="59"/>
      <c r="B46" s="60"/>
      <c r="C46" s="60"/>
      <c r="D46" s="61"/>
      <c r="E46" s="64">
        <f t="shared" ref="E46:P46" si="17">SUM(E40:E45)</f>
        <v>0.99953643260694103</v>
      </c>
      <c r="F46" s="64">
        <f t="shared" si="17"/>
        <v>1</v>
      </c>
      <c r="G46" s="64">
        <f t="shared" si="17"/>
        <v>1.0010000000000001</v>
      </c>
      <c r="H46" s="64">
        <f t="shared" si="17"/>
        <v>0.99999999999999989</v>
      </c>
      <c r="I46" s="64">
        <f t="shared" si="17"/>
        <v>1.0004946159152943</v>
      </c>
      <c r="J46" s="64">
        <f t="shared" si="17"/>
        <v>0.99955275352947526</v>
      </c>
      <c r="K46" s="64">
        <f t="shared" si="17"/>
        <v>1</v>
      </c>
      <c r="L46" s="64">
        <f t="shared" si="17"/>
        <v>1.0004519895064989</v>
      </c>
      <c r="M46" s="64">
        <f t="shared" si="17"/>
        <v>0.99999999999999989</v>
      </c>
      <c r="N46" s="64">
        <f t="shared" si="17"/>
        <v>1.0004956617748166</v>
      </c>
      <c r="O46" s="64">
        <f t="shared" si="17"/>
        <v>0.99926076568725208</v>
      </c>
      <c r="P46" s="64">
        <f t="shared" si="17"/>
        <v>1.0003725206310241</v>
      </c>
      <c r="Q46" s="66"/>
      <c r="R46" s="63"/>
      <c r="T46" s="122"/>
    </row>
    <row r="47" spans="1:20" ht="23">
      <c r="A47" s="30" t="s">
        <v>146</v>
      </c>
      <c r="B47" s="38" t="s">
        <v>147</v>
      </c>
      <c r="C47" s="30" t="s">
        <v>148</v>
      </c>
      <c r="D47">
        <f>SUM(E47:P47)</f>
        <v>322.14999999999998</v>
      </c>
      <c r="E47">
        <v>7.6</v>
      </c>
      <c r="F47">
        <v>7.8</v>
      </c>
      <c r="G47">
        <v>7.5</v>
      </c>
      <c r="H47">
        <v>9.85</v>
      </c>
      <c r="I47">
        <v>16</v>
      </c>
      <c r="J47">
        <v>25.639999999999997</v>
      </c>
      <c r="K47">
        <v>61.6</v>
      </c>
      <c r="L47">
        <v>49.74</v>
      </c>
      <c r="M47">
        <v>45.68</v>
      </c>
      <c r="N47">
        <v>33.46</v>
      </c>
      <c r="O47">
        <v>53.879999999999995</v>
      </c>
      <c r="P47">
        <v>3.4000000000000004</v>
      </c>
      <c r="R47" s="52"/>
    </row>
    <row r="48" spans="1:20" ht="23">
      <c r="A48" s="30"/>
      <c r="B48" s="38" t="s">
        <v>149</v>
      </c>
      <c r="C48" s="30"/>
      <c r="D48" s="108">
        <f>SUM(E48:P48)</f>
        <v>364.1</v>
      </c>
      <c r="E48" s="105">
        <f t="shared" ref="E48:O48" si="18">SUM(E49:E53)</f>
        <v>42</v>
      </c>
      <c r="F48" s="105">
        <f t="shared" si="18"/>
        <v>38</v>
      </c>
      <c r="G48" s="105">
        <f t="shared" si="18"/>
        <v>20</v>
      </c>
      <c r="H48" s="106">
        <f t="shared" si="18"/>
        <v>17</v>
      </c>
      <c r="I48" s="106">
        <f t="shared" si="18"/>
        <v>17</v>
      </c>
      <c r="J48" s="106">
        <f t="shared" si="18"/>
        <v>26</v>
      </c>
      <c r="K48" s="106">
        <f t="shared" si="18"/>
        <v>0</v>
      </c>
      <c r="L48" s="106">
        <f t="shared" si="18"/>
        <v>0</v>
      </c>
      <c r="M48" s="106">
        <f t="shared" si="18"/>
        <v>22</v>
      </c>
      <c r="N48" s="106">
        <f t="shared" si="18"/>
        <v>25</v>
      </c>
      <c r="O48" s="106">
        <f t="shared" si="18"/>
        <v>142</v>
      </c>
      <c r="P48" s="106">
        <f>SUM(P49:P53)+0.1</f>
        <v>15.1</v>
      </c>
      <c r="R48" s="107"/>
    </row>
    <row r="49" spans="1:20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20" ht="43.5">
      <c r="A50" s="31" t="s">
        <v>150</v>
      </c>
      <c r="B50" s="43" t="s">
        <v>151</v>
      </c>
      <c r="C50" s="31" t="s">
        <v>152</v>
      </c>
      <c r="D50" s="32">
        <f>SUM(E50:P50)</f>
        <v>364</v>
      </c>
      <c r="E50" s="32">
        <v>42</v>
      </c>
      <c r="F50" s="32">
        <v>38</v>
      </c>
      <c r="G50" s="32">
        <v>20</v>
      </c>
      <c r="H50" s="32">
        <v>17</v>
      </c>
      <c r="I50" s="32">
        <v>17</v>
      </c>
      <c r="J50" s="32">
        <v>26</v>
      </c>
      <c r="K50" s="32">
        <f>K52-K51</f>
        <v>0</v>
      </c>
      <c r="L50" s="32">
        <f>L52-L51</f>
        <v>0</v>
      </c>
      <c r="M50" s="32">
        <f>19+3</f>
        <v>22</v>
      </c>
      <c r="N50" s="32">
        <f>16+9</f>
        <v>25</v>
      </c>
      <c r="O50" s="32">
        <f>9+133</f>
        <v>142</v>
      </c>
      <c r="P50" s="32">
        <f>14+1</f>
        <v>15</v>
      </c>
    </row>
    <row r="55" spans="1:20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T55" s="112"/>
    </row>
  </sheetData>
  <mergeCells count="1">
    <mergeCell ref="E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77"/>
  <sheetViews>
    <sheetView topLeftCell="A27" zoomScale="78" zoomScaleNormal="78" workbookViewId="0">
      <selection activeCell="M38" sqref="M38"/>
    </sheetView>
  </sheetViews>
  <sheetFormatPr baseColWidth="10" defaultColWidth="8.7265625" defaultRowHeight="14.5"/>
  <cols>
    <col min="1" max="1" width="15" customWidth="1"/>
    <col min="2" max="2" width="29.81640625" customWidth="1"/>
    <col min="3" max="16" width="11.81640625" customWidth="1"/>
    <col min="17" max="17" width="5.1796875" customWidth="1"/>
    <col min="18" max="19" width="11.453125" customWidth="1"/>
    <col min="20" max="20" width="25.453125" style="112" customWidth="1"/>
    <col min="21" max="256" width="11.453125" customWidth="1"/>
  </cols>
  <sheetData>
    <row r="1" spans="1:20">
      <c r="A1" s="26"/>
      <c r="B1" s="27"/>
      <c r="D1" s="28"/>
      <c r="E1" s="422">
        <v>2019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20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</row>
    <row r="3" spans="1:20" ht="34.5" hidden="1">
      <c r="A3" s="30" t="s">
        <v>117</v>
      </c>
      <c r="B3" s="30" t="s">
        <v>118</v>
      </c>
      <c r="C3" s="30" t="s">
        <v>119</v>
      </c>
      <c r="D3" s="51">
        <v>25</v>
      </c>
    </row>
    <row r="4" spans="1:20" ht="34.5" hidden="1">
      <c r="A4" s="30" t="s">
        <v>120</v>
      </c>
      <c r="B4" s="30" t="s">
        <v>121</v>
      </c>
      <c r="C4" s="30"/>
      <c r="D4" s="51">
        <v>298</v>
      </c>
    </row>
    <row r="5" spans="1:20" ht="34.5" hidden="1">
      <c r="A5" s="50" t="s">
        <v>60</v>
      </c>
      <c r="B5" s="30" t="s">
        <v>122</v>
      </c>
      <c r="C5" s="30"/>
      <c r="D5" s="51">
        <v>0</v>
      </c>
    </row>
    <row r="6" spans="1:20" ht="48" customHeight="1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48" customHeight="1">
      <c r="A7" s="43" t="s">
        <v>124</v>
      </c>
      <c r="B7" s="43" t="s">
        <v>125</v>
      </c>
      <c r="C7" s="31"/>
      <c r="D7" s="78">
        <f>SUM(G7:P7)</f>
        <v>1179.17338</v>
      </c>
      <c r="E7" s="77">
        <f>E10*(1-E23)</f>
        <v>116.15079999999999</v>
      </c>
      <c r="F7" s="77">
        <f>F10*(1-F23)</f>
        <v>94.803699999999992</v>
      </c>
      <c r="G7" s="77">
        <f>G10*(1-G23)</f>
        <v>113.634</v>
      </c>
      <c r="H7" s="77">
        <f t="shared" ref="H7:P7" si="0">H10*(1-H23)</f>
        <v>120.99240000000002</v>
      </c>
      <c r="I7" s="77">
        <f t="shared" si="0"/>
        <v>147.0565</v>
      </c>
      <c r="J7" s="77">
        <f t="shared" si="0"/>
        <v>135.18120000000002</v>
      </c>
      <c r="K7" s="77">
        <f t="shared" si="0"/>
        <v>161.96811000000002</v>
      </c>
      <c r="L7" s="77">
        <f t="shared" si="0"/>
        <v>96.502399999999994</v>
      </c>
      <c r="M7" s="77">
        <f t="shared" si="0"/>
        <v>101.3768</v>
      </c>
      <c r="N7" s="77">
        <f t="shared" si="0"/>
        <v>90.079400000000007</v>
      </c>
      <c r="O7" s="77">
        <f t="shared" si="0"/>
        <v>100.67083000000001</v>
      </c>
      <c r="P7" s="77">
        <f t="shared" si="0"/>
        <v>111.71173999999999</v>
      </c>
      <c r="Q7" s="32"/>
      <c r="R7" s="32"/>
    </row>
    <row r="8" spans="1:20" ht="48" customHeight="1">
      <c r="A8" s="43" t="s">
        <v>126</v>
      </c>
      <c r="B8" s="43" t="s">
        <v>127</v>
      </c>
      <c r="C8" s="31"/>
      <c r="D8" s="78">
        <f>SUM(G8:P8)</f>
        <v>427.17033000000004</v>
      </c>
      <c r="E8" s="126">
        <f>E11*(1-E34)</f>
        <v>70.625799999999998</v>
      </c>
      <c r="F8" s="126">
        <f>F11*(1-F34)</f>
        <v>53.119</v>
      </c>
      <c r="G8" s="126">
        <f>G11*(1-G34)</f>
        <v>29.790800000000004</v>
      </c>
      <c r="H8" s="126">
        <f t="shared" ref="H8:P8" si="1">H11*(1-H34)</f>
        <v>43.326000000000001</v>
      </c>
      <c r="I8" s="126">
        <f t="shared" si="1"/>
        <v>31.036950000000001</v>
      </c>
      <c r="J8" s="126">
        <f t="shared" si="1"/>
        <v>61.965310000000009</v>
      </c>
      <c r="K8" s="126">
        <f t="shared" si="1"/>
        <v>75.623819999999995</v>
      </c>
      <c r="L8" s="126">
        <f t="shared" si="1"/>
        <v>59.2881</v>
      </c>
      <c r="M8" s="126">
        <f t="shared" si="1"/>
        <v>40.510799999999996</v>
      </c>
      <c r="N8" s="126">
        <f t="shared" si="1"/>
        <v>54.650799999999997</v>
      </c>
      <c r="O8" s="126">
        <f t="shared" si="1"/>
        <v>18.4712</v>
      </c>
      <c r="P8" s="126">
        <f t="shared" si="1"/>
        <v>12.506550000000001</v>
      </c>
      <c r="Q8" s="32"/>
      <c r="R8" s="32"/>
    </row>
    <row r="9" spans="1:20" ht="48" customHeight="1">
      <c r="A9" s="43" t="s">
        <v>123</v>
      </c>
      <c r="B9" s="43"/>
      <c r="C9" s="31"/>
      <c r="D9" s="85">
        <f>SUM(E9:P9)</f>
        <v>1941.0430100000001</v>
      </c>
      <c r="E9" s="41">
        <f t="shared" ref="E9:P9" si="2">SUM(E7:E8)</f>
        <v>186.77659999999997</v>
      </c>
      <c r="F9" s="41">
        <f t="shared" si="2"/>
        <v>147.92269999999999</v>
      </c>
      <c r="G9" s="41">
        <f t="shared" si="2"/>
        <v>143.4248</v>
      </c>
      <c r="H9" s="41">
        <f t="shared" si="2"/>
        <v>164.31840000000003</v>
      </c>
      <c r="I9" s="41">
        <f t="shared" si="2"/>
        <v>178.09344999999999</v>
      </c>
      <c r="J9" s="41">
        <f t="shared" si="2"/>
        <v>197.14651000000003</v>
      </c>
      <c r="K9" s="41">
        <f t="shared" si="2"/>
        <v>237.59193000000002</v>
      </c>
      <c r="L9" s="41">
        <f t="shared" si="2"/>
        <v>155.79050000000001</v>
      </c>
      <c r="M9" s="41">
        <f t="shared" si="2"/>
        <v>141.88759999999999</v>
      </c>
      <c r="N9" s="41">
        <f t="shared" si="2"/>
        <v>144.7302</v>
      </c>
      <c r="O9" s="41">
        <f t="shared" si="2"/>
        <v>119.14203000000001</v>
      </c>
      <c r="P9" s="41">
        <f t="shared" si="2"/>
        <v>124.21829</v>
      </c>
      <c r="Q9" s="32"/>
      <c r="R9" s="32"/>
    </row>
    <row r="10" spans="1:20" ht="29">
      <c r="A10" s="31"/>
      <c r="B10" s="42" t="s">
        <v>128</v>
      </c>
      <c r="C10" s="32"/>
      <c r="D10" s="78">
        <f>SUM(E10:P10)</f>
        <v>1546.8400000000001</v>
      </c>
      <c r="E10" s="77">
        <v>129.19999999999999</v>
      </c>
      <c r="F10" s="77">
        <v>108.1</v>
      </c>
      <c r="G10" s="77">
        <v>128.4</v>
      </c>
      <c r="H10" s="102">
        <v>131.80000000000001</v>
      </c>
      <c r="I10" s="102">
        <v>158.97999999999999</v>
      </c>
      <c r="J10" s="77">
        <v>146.30000000000001</v>
      </c>
      <c r="K10" s="102">
        <v>172.49</v>
      </c>
      <c r="L10" s="77">
        <v>113.8</v>
      </c>
      <c r="M10" s="77">
        <v>120.4</v>
      </c>
      <c r="N10" s="77">
        <v>97.7</v>
      </c>
      <c r="O10" s="77">
        <v>114.01</v>
      </c>
      <c r="P10" s="77">
        <v>125.66</v>
      </c>
      <c r="Q10" s="32"/>
      <c r="R10" s="32"/>
    </row>
    <row r="11" spans="1:20" ht="29">
      <c r="A11" s="31"/>
      <c r="B11" s="42" t="s">
        <v>129</v>
      </c>
      <c r="C11" s="32"/>
      <c r="D11" s="32">
        <f>SUM(E11:P11)</f>
        <v>628.45000000000005</v>
      </c>
      <c r="E11" s="52">
        <v>82.7</v>
      </c>
      <c r="F11" s="52">
        <v>60.5</v>
      </c>
      <c r="G11" s="52">
        <v>33.700000000000003</v>
      </c>
      <c r="H11" s="52">
        <v>49.8</v>
      </c>
      <c r="I11" s="52">
        <v>35.07</v>
      </c>
      <c r="J11" s="52">
        <v>67.87</v>
      </c>
      <c r="K11" s="52">
        <v>83.47</v>
      </c>
      <c r="L11" s="52">
        <v>68.7</v>
      </c>
      <c r="M11" s="52">
        <v>48.4</v>
      </c>
      <c r="N11" s="52">
        <v>63.4</v>
      </c>
      <c r="O11" s="52">
        <v>20.99</v>
      </c>
      <c r="P11" s="52">
        <v>13.85</v>
      </c>
      <c r="Q11" s="32"/>
      <c r="R11" s="32"/>
    </row>
    <row r="12" spans="1:20">
      <c r="A12" s="32"/>
      <c r="B12" s="40" t="s">
        <v>130</v>
      </c>
      <c r="C12" s="40"/>
      <c r="D12" s="104">
        <f>SUM(E12:P12)</f>
        <v>2175.29</v>
      </c>
      <c r="E12" s="41">
        <f>SUM(E10:E11)</f>
        <v>211.89999999999998</v>
      </c>
      <c r="F12" s="41">
        <f>SUM(F10:F11)</f>
        <v>168.6</v>
      </c>
      <c r="G12" s="41">
        <f>SUM(G10:G11)</f>
        <v>162.10000000000002</v>
      </c>
      <c r="H12" s="103">
        <f t="shared" ref="H12:P12" si="3">SUM(H10:H11)</f>
        <v>181.60000000000002</v>
      </c>
      <c r="I12" s="103">
        <f t="shared" si="3"/>
        <v>194.04999999999998</v>
      </c>
      <c r="J12" s="103">
        <f t="shared" si="3"/>
        <v>214.17000000000002</v>
      </c>
      <c r="K12" s="103">
        <f t="shared" si="3"/>
        <v>255.96</v>
      </c>
      <c r="L12" s="41">
        <f t="shared" si="3"/>
        <v>182.5</v>
      </c>
      <c r="M12" s="41">
        <f t="shared" si="3"/>
        <v>168.8</v>
      </c>
      <c r="N12" s="41">
        <f t="shared" si="3"/>
        <v>161.1</v>
      </c>
      <c r="O12" s="41">
        <f t="shared" si="3"/>
        <v>135</v>
      </c>
      <c r="P12" s="41">
        <f t="shared" si="3"/>
        <v>139.51</v>
      </c>
      <c r="Q12" s="32"/>
      <c r="R12" s="32"/>
    </row>
    <row r="14" spans="1:20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</row>
    <row r="15" spans="1:20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</row>
    <row r="16" spans="1:20" ht="43.5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57" t="s">
        <v>133</v>
      </c>
    </row>
    <row r="17" spans="1:21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1546.7107999999998</v>
      </c>
      <c r="S17">
        <f>SUM(S18:S23)</f>
        <v>0</v>
      </c>
      <c r="T17" s="123">
        <f>S17+R17</f>
        <v>1546.7107999999998</v>
      </c>
    </row>
    <row r="18" spans="1:21">
      <c r="A18" s="31"/>
      <c r="B18" s="56" t="s">
        <v>34</v>
      </c>
      <c r="C18" s="32"/>
      <c r="D18" s="36"/>
      <c r="E18" s="54">
        <v>2.5999999999999999E-2</v>
      </c>
      <c r="F18" s="53">
        <v>8.9999999999999993E-3</v>
      </c>
      <c r="G18" s="53">
        <v>1.2999999999999999E-2</v>
      </c>
      <c r="H18" s="53">
        <v>1E-3</v>
      </c>
      <c r="I18" s="53">
        <v>1.4999999999999999E-2</v>
      </c>
      <c r="J18" s="53">
        <v>5.0000000000000001E-3</v>
      </c>
      <c r="K18" s="53">
        <v>8.0000000000000002E-3</v>
      </c>
      <c r="L18" s="53">
        <v>1.4E-2</v>
      </c>
      <c r="M18" s="53">
        <v>1.4E-2</v>
      </c>
      <c r="N18" s="54">
        <v>6.0000000000000001E-3</v>
      </c>
      <c r="O18" s="54">
        <v>1.7999999999999999E-2</v>
      </c>
      <c r="P18" s="53">
        <v>3.1E-2</v>
      </c>
      <c r="Q18" s="34"/>
      <c r="R18" s="23">
        <f t="shared" ref="R18:R23" si="4">G18*$G$10+H18*$H$10+I18*$I$10+J18*$J$10+K18*$K$10+L18*$L$10+M18*$M$10+N18*$N$10+O18*$O$10+P18*$P$10+$E$10*E18+$F$10*F18</f>
        <v>20.441860000000002</v>
      </c>
      <c r="S18" s="51"/>
      <c r="T18" s="124">
        <f t="shared" ref="T18:T23" si="5">(R18+S18)/$T$17</f>
        <v>1.321634270608313E-2</v>
      </c>
      <c r="U18" s="48"/>
    </row>
    <row r="19" spans="1:21">
      <c r="A19" s="31"/>
      <c r="B19" s="56" t="s">
        <v>35</v>
      </c>
      <c r="C19" s="32"/>
      <c r="D19" s="36"/>
      <c r="E19" s="54">
        <v>4.5999999999999999E-2</v>
      </c>
      <c r="F19" s="53">
        <v>4.9000000000000002E-2</v>
      </c>
      <c r="G19" s="53">
        <v>4.3999999999999997E-2</v>
      </c>
      <c r="H19" s="53">
        <v>3.7999999999999999E-2</v>
      </c>
      <c r="I19" s="53">
        <v>1.7999999999999999E-2</v>
      </c>
      <c r="J19" s="53">
        <v>6.0999999999999999E-2</v>
      </c>
      <c r="K19" s="53">
        <v>0.06</v>
      </c>
      <c r="L19" s="53">
        <v>4.4999999999999998E-2</v>
      </c>
      <c r="M19" s="53">
        <v>0.05</v>
      </c>
      <c r="N19" s="54">
        <v>4.7E-2</v>
      </c>
      <c r="O19" s="54">
        <v>4.3999999999999997E-2</v>
      </c>
      <c r="P19" s="53">
        <v>7.1999999999999995E-2</v>
      </c>
      <c r="Q19" s="34"/>
      <c r="R19" s="23">
        <f t="shared" si="4"/>
        <v>73.830300000000008</v>
      </c>
      <c r="S19" s="51"/>
      <c r="T19" s="124">
        <f t="shared" si="5"/>
        <v>4.7733745700876996E-2</v>
      </c>
      <c r="U19" s="48"/>
    </row>
    <row r="20" spans="1:21">
      <c r="A20" s="31"/>
      <c r="B20" s="56" t="s">
        <v>36</v>
      </c>
      <c r="C20" s="32"/>
      <c r="D20" s="36"/>
      <c r="E20" s="54">
        <v>8.1000000000000003E-2</v>
      </c>
      <c r="F20" s="53">
        <v>5.5E-2</v>
      </c>
      <c r="G20" s="53">
        <v>8.6999999999999994E-2</v>
      </c>
      <c r="H20" s="53">
        <v>6.0999999999999999E-2</v>
      </c>
      <c r="I20" s="53">
        <v>9.6000000000000002E-2</v>
      </c>
      <c r="J20" s="53">
        <v>6.7000000000000004E-2</v>
      </c>
      <c r="K20" s="53">
        <v>7.5999999999999998E-2</v>
      </c>
      <c r="L20" s="53">
        <v>4.2000000000000003E-2</v>
      </c>
      <c r="M20" s="53">
        <v>5.6000000000000001E-2</v>
      </c>
      <c r="N20" s="54">
        <v>6.8000000000000005E-2</v>
      </c>
      <c r="O20" s="54">
        <v>6.6000000000000003E-2</v>
      </c>
      <c r="P20" s="53">
        <v>6.7000000000000004E-2</v>
      </c>
      <c r="Q20" s="34"/>
      <c r="R20" s="23">
        <f t="shared" si="4"/>
        <v>107.90419999999999</v>
      </c>
      <c r="S20" s="51"/>
      <c r="T20" s="124">
        <f t="shared" si="5"/>
        <v>6.9763655881888195E-2</v>
      </c>
      <c r="U20" s="48"/>
    </row>
    <row r="21" spans="1:21" ht="29">
      <c r="A21" s="31"/>
      <c r="B21" s="56" t="s">
        <v>37</v>
      </c>
      <c r="C21" s="32"/>
      <c r="D21" s="36"/>
      <c r="E21" s="54">
        <v>0.59299999999999997</v>
      </c>
      <c r="F21" s="53">
        <v>0.69199999999999995</v>
      </c>
      <c r="G21" s="53">
        <v>0.59199999999999997</v>
      </c>
      <c r="H21" s="53">
        <v>0.65400000000000003</v>
      </c>
      <c r="I21" s="53">
        <v>0.72799999999999998</v>
      </c>
      <c r="J21" s="53">
        <v>0.67300000000000004</v>
      </c>
      <c r="K21" s="53">
        <v>0.623</v>
      </c>
      <c r="L21" s="53">
        <v>0.56899999999999995</v>
      </c>
      <c r="M21" s="53">
        <v>0.57499999999999996</v>
      </c>
      <c r="N21" s="54">
        <v>0.65</v>
      </c>
      <c r="O21" s="54">
        <v>0.59899999999999998</v>
      </c>
      <c r="P21" s="53">
        <v>0.57699999999999996</v>
      </c>
      <c r="Q21" s="34"/>
      <c r="R21" s="23">
        <f t="shared" si="4"/>
        <v>973.57441999999992</v>
      </c>
      <c r="S21" s="51"/>
      <c r="T21" s="124">
        <f t="shared" si="5"/>
        <v>0.62944825884709665</v>
      </c>
      <c r="U21" s="48"/>
    </row>
    <row r="22" spans="1:21">
      <c r="A22" s="31"/>
      <c r="B22" s="56" t="s">
        <v>38</v>
      </c>
      <c r="C22" s="32"/>
      <c r="D22" s="36"/>
      <c r="E22" s="54">
        <v>0.152</v>
      </c>
      <c r="F22" s="53">
        <v>7.1999999999999995E-2</v>
      </c>
      <c r="G22" s="53">
        <v>0.14899999999999999</v>
      </c>
      <c r="H22" s="53">
        <v>0.16400000000000001</v>
      </c>
      <c r="I22" s="53">
        <v>6.8000000000000005E-2</v>
      </c>
      <c r="J22" s="53">
        <v>0.11799999999999999</v>
      </c>
      <c r="K22" s="53">
        <v>0.17199999999999999</v>
      </c>
      <c r="L22" s="53">
        <v>0.17799999999999999</v>
      </c>
      <c r="M22" s="53">
        <v>0.14699999999999999</v>
      </c>
      <c r="N22" s="54">
        <v>0.151</v>
      </c>
      <c r="O22" s="54">
        <v>0.156</v>
      </c>
      <c r="P22" s="53">
        <v>0.14199999999999999</v>
      </c>
      <c r="Q22" s="34"/>
      <c r="R22" s="23">
        <f t="shared" si="4"/>
        <v>214.24789999999999</v>
      </c>
      <c r="S22" s="51"/>
      <c r="T22" s="124">
        <f t="shared" si="5"/>
        <v>0.13851839658713189</v>
      </c>
      <c r="U22" s="48"/>
    </row>
    <row r="23" spans="1:21" ht="29">
      <c r="A23" s="31"/>
      <c r="B23" s="56" t="s">
        <v>39</v>
      </c>
      <c r="C23" s="32"/>
      <c r="D23" s="36"/>
      <c r="E23" s="54">
        <v>0.10100000000000001</v>
      </c>
      <c r="F23" s="53">
        <v>0.123</v>
      </c>
      <c r="G23" s="74">
        <v>0.115</v>
      </c>
      <c r="H23" s="53">
        <v>8.2000000000000003E-2</v>
      </c>
      <c r="I23" s="74">
        <v>7.4999999999999997E-2</v>
      </c>
      <c r="J23" s="53">
        <v>7.5999999999999998E-2</v>
      </c>
      <c r="K23" s="53">
        <v>6.0999999999999999E-2</v>
      </c>
      <c r="L23" s="53">
        <v>0.152</v>
      </c>
      <c r="M23" s="53">
        <v>0.158</v>
      </c>
      <c r="N23" s="54">
        <v>7.8E-2</v>
      </c>
      <c r="O23" s="54">
        <v>0.11700000000000001</v>
      </c>
      <c r="P23" s="53">
        <v>0.111</v>
      </c>
      <c r="Q23" s="34"/>
      <c r="R23" s="23">
        <f t="shared" si="4"/>
        <v>156.71212</v>
      </c>
      <c r="S23" s="51"/>
      <c r="T23" s="124">
        <f t="shared" si="5"/>
        <v>0.10131960027692315</v>
      </c>
      <c r="U23" s="48"/>
    </row>
    <row r="24" spans="1:21">
      <c r="A24" s="59"/>
      <c r="B24" s="60"/>
      <c r="C24" s="60"/>
      <c r="D24" s="72"/>
      <c r="E24" s="76">
        <f>E23+E22+E21+E20+E19+E18</f>
        <v>0.999</v>
      </c>
      <c r="F24" s="76">
        <f>F23+F22+F21+F20+F19+F18</f>
        <v>1</v>
      </c>
      <c r="G24" s="76">
        <f>G23+G22+G21+G20+G19+G18</f>
        <v>1</v>
      </c>
      <c r="H24" s="76">
        <f t="shared" ref="H24:P24" si="6">H23+H22+H21+H20+H19+H18</f>
        <v>1</v>
      </c>
      <c r="I24" s="76">
        <f t="shared" si="6"/>
        <v>1</v>
      </c>
      <c r="J24" s="76">
        <f t="shared" si="6"/>
        <v>0.99999999999999989</v>
      </c>
      <c r="K24" s="76">
        <f t="shared" si="6"/>
        <v>1</v>
      </c>
      <c r="L24" s="76">
        <f t="shared" si="6"/>
        <v>1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48"/>
    </row>
    <row r="25" spans="1:21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</row>
    <row r="26" spans="1:21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</row>
    <row r="27" spans="1:21" ht="43.5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57" t="s">
        <v>133</v>
      </c>
    </row>
    <row r="28" spans="1:21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628.27100000000007</v>
      </c>
      <c r="S28">
        <f>SUM(S29:S34)</f>
        <v>0</v>
      </c>
      <c r="T28" s="123">
        <f>S28+R28</f>
        <v>628.27100000000007</v>
      </c>
    </row>
    <row r="29" spans="1:21">
      <c r="A29" s="31"/>
      <c r="B29" s="56" t="s">
        <v>34</v>
      </c>
      <c r="C29" s="32"/>
      <c r="D29" s="37"/>
      <c r="E29" s="53">
        <v>5.5E-2</v>
      </c>
      <c r="F29" s="53">
        <v>2.4E-2</v>
      </c>
      <c r="G29" s="53">
        <v>2.1999999999999999E-2</v>
      </c>
      <c r="H29" s="53">
        <v>1.6E-2</v>
      </c>
      <c r="I29" s="53">
        <v>3.2000000000000001E-2</v>
      </c>
      <c r="J29" s="53">
        <v>2.5999999999999999E-2</v>
      </c>
      <c r="K29" s="53">
        <v>1.4999999999999999E-2</v>
      </c>
      <c r="L29" s="53">
        <v>1.7999999999999999E-2</v>
      </c>
      <c r="M29" s="53">
        <v>2.1000000000000001E-2</v>
      </c>
      <c r="N29" s="53">
        <v>1.2E-2</v>
      </c>
      <c r="O29" s="53">
        <v>2.7E-2</v>
      </c>
      <c r="P29" s="53">
        <v>4.4999999999999998E-2</v>
      </c>
      <c r="Q29" s="34"/>
      <c r="R29" s="23">
        <f t="shared" ref="R29:R34" si="7">G29*$G$11+H29*$H$11+I29*$I$11+J29*$J$11+K29*$K$11+L29*$L$11+M29*$M$11+N29*$N$11+O29*$O$11+P29*$P$11+$E$11*E29+$F$11*F29</f>
        <v>15.881390000000001</v>
      </c>
      <c r="S29" s="51"/>
      <c r="T29" s="124">
        <f t="shared" ref="T29:T34" si="8">(R29+S29)/$T$28</f>
        <v>2.5277929428542779E-2</v>
      </c>
    </row>
    <row r="30" spans="1:21">
      <c r="A30" s="31"/>
      <c r="B30" s="56" t="s">
        <v>35</v>
      </c>
      <c r="C30" s="32"/>
      <c r="D30" s="37"/>
      <c r="E30" s="53">
        <v>5.1999999999999998E-2</v>
      </c>
      <c r="F30" s="53">
        <v>4.5999999999999999E-2</v>
      </c>
      <c r="G30" s="53">
        <v>5.2999999999999999E-2</v>
      </c>
      <c r="H30" s="53">
        <v>4.8000000000000001E-2</v>
      </c>
      <c r="I30" s="53">
        <v>6.2E-2</v>
      </c>
      <c r="J30" s="53">
        <v>7.8E-2</v>
      </c>
      <c r="K30" s="53">
        <v>6.5000000000000002E-2</v>
      </c>
      <c r="L30" s="53">
        <v>7.1999999999999995E-2</v>
      </c>
      <c r="M30" s="53">
        <v>6.6000000000000003E-2</v>
      </c>
      <c r="N30" s="53">
        <v>4.2999999999999997E-2</v>
      </c>
      <c r="O30" s="53">
        <v>5.1999999999999998E-2</v>
      </c>
      <c r="P30" s="53">
        <v>8.5000000000000006E-2</v>
      </c>
      <c r="Q30" s="34"/>
      <c r="R30" s="23">
        <f t="shared" si="7"/>
        <v>37.289380000000001</v>
      </c>
      <c r="S30" s="51"/>
      <c r="T30" s="124">
        <f t="shared" si="8"/>
        <v>5.935238137682624E-2</v>
      </c>
    </row>
    <row r="31" spans="1:21">
      <c r="A31" s="31"/>
      <c r="B31" s="56" t="s">
        <v>36</v>
      </c>
      <c r="C31" s="32"/>
      <c r="D31" s="37"/>
      <c r="E31" s="53">
        <v>7.0999999999999994E-2</v>
      </c>
      <c r="F31" s="53">
        <v>7.6999999999999999E-2</v>
      </c>
      <c r="G31" s="53">
        <v>7.8E-2</v>
      </c>
      <c r="H31" s="53">
        <v>9.2999999999999999E-2</v>
      </c>
      <c r="I31" s="53">
        <v>9.2999999999999999E-2</v>
      </c>
      <c r="J31" s="53">
        <v>0.09</v>
      </c>
      <c r="K31" s="53">
        <v>0.1</v>
      </c>
      <c r="L31" s="53">
        <v>7.3999999999999996E-2</v>
      </c>
      <c r="M31" s="53">
        <v>8.2000000000000003E-2</v>
      </c>
      <c r="N31" s="53">
        <v>6.2E-2</v>
      </c>
      <c r="O31" s="53">
        <v>7.3999999999999996E-2</v>
      </c>
      <c r="P31" s="53">
        <v>7.4999999999999997E-2</v>
      </c>
      <c r="Q31" s="34"/>
      <c r="R31" s="23">
        <f t="shared" si="7"/>
        <v>51.082419999999999</v>
      </c>
      <c r="S31" s="51"/>
      <c r="T31" s="124">
        <f t="shared" si="8"/>
        <v>8.1306347101807966E-2</v>
      </c>
    </row>
    <row r="32" spans="1:21" ht="29">
      <c r="A32" s="31"/>
      <c r="B32" s="56" t="s">
        <v>37</v>
      </c>
      <c r="C32" s="32"/>
      <c r="D32" s="37"/>
      <c r="E32" s="53">
        <v>0.57699999999999996</v>
      </c>
      <c r="F32" s="53">
        <v>0.59899999999999998</v>
      </c>
      <c r="G32" s="53">
        <v>0.55600000000000005</v>
      </c>
      <c r="H32" s="53">
        <v>0.52200000000000002</v>
      </c>
      <c r="I32" s="53">
        <v>0.39</v>
      </c>
      <c r="J32" s="53">
        <v>0.48399999999999999</v>
      </c>
      <c r="K32" s="53">
        <v>0.52700000000000002</v>
      </c>
      <c r="L32" s="53">
        <v>0.49099999999999999</v>
      </c>
      <c r="M32" s="53">
        <v>0.53100000000000003</v>
      </c>
      <c r="N32" s="53">
        <v>0.57899999999999996</v>
      </c>
      <c r="O32" s="53">
        <v>0.58299999999999996</v>
      </c>
      <c r="P32" s="53">
        <v>0.51600000000000001</v>
      </c>
      <c r="Q32" s="34"/>
      <c r="R32" s="23">
        <f t="shared" si="7"/>
        <v>334.72974000000005</v>
      </c>
      <c r="S32" s="51"/>
      <c r="T32" s="124">
        <f t="shared" si="8"/>
        <v>0.5327792306186343</v>
      </c>
    </row>
    <row r="33" spans="1:21" ht="17.5" customHeight="1">
      <c r="A33" s="31"/>
      <c r="B33" s="56" t="s">
        <v>38</v>
      </c>
      <c r="C33" s="32"/>
      <c r="D33" s="37"/>
      <c r="E33" s="53">
        <v>9.9000000000000005E-2</v>
      </c>
      <c r="F33" s="53">
        <v>0.13100000000000001</v>
      </c>
      <c r="G33" s="53">
        <v>0.17499999999999999</v>
      </c>
      <c r="H33" s="53">
        <v>0.19</v>
      </c>
      <c r="I33" s="53">
        <v>0.308</v>
      </c>
      <c r="J33" s="53">
        <v>0.23499999999999999</v>
      </c>
      <c r="K33" s="53">
        <v>0.19900000000000001</v>
      </c>
      <c r="L33" s="53">
        <v>0.20699999999999999</v>
      </c>
      <c r="M33" s="53">
        <v>0.13700000000000001</v>
      </c>
      <c r="N33" s="53">
        <v>0.16600000000000001</v>
      </c>
      <c r="O33" s="53">
        <v>0.14399999999999999</v>
      </c>
      <c r="P33" s="53">
        <v>0.182</v>
      </c>
      <c r="Q33" s="34"/>
      <c r="R33" s="23">
        <f t="shared" si="7"/>
        <v>111.75320000000002</v>
      </c>
      <c r="S33" s="51"/>
      <c r="T33" s="124">
        <f t="shared" si="8"/>
        <v>0.17787419759944356</v>
      </c>
    </row>
    <row r="34" spans="1:21" ht="29">
      <c r="A34" s="31"/>
      <c r="B34" s="56" t="s">
        <v>39</v>
      </c>
      <c r="C34" s="32"/>
      <c r="D34" s="36"/>
      <c r="E34" s="53">
        <v>0.14599999999999999</v>
      </c>
      <c r="F34" s="53">
        <v>0.122</v>
      </c>
      <c r="G34" s="53">
        <v>0.11600000000000001</v>
      </c>
      <c r="H34" s="53">
        <v>0.13</v>
      </c>
      <c r="I34" s="53">
        <v>0.115</v>
      </c>
      <c r="J34" s="53">
        <v>8.6999999999999994E-2</v>
      </c>
      <c r="K34" s="53">
        <v>9.4E-2</v>
      </c>
      <c r="L34" s="53">
        <v>0.13700000000000001</v>
      </c>
      <c r="M34" s="53">
        <v>0.16300000000000001</v>
      </c>
      <c r="N34" s="53">
        <v>0.13800000000000001</v>
      </c>
      <c r="O34" s="53">
        <v>0.12</v>
      </c>
      <c r="P34" s="53">
        <v>9.7000000000000003E-2</v>
      </c>
      <c r="Q34" s="34"/>
      <c r="R34" s="23">
        <f t="shared" si="7"/>
        <v>77.534869999999998</v>
      </c>
      <c r="S34" s="51"/>
      <c r="T34" s="124">
        <f t="shared" si="8"/>
        <v>0.12340991387474512</v>
      </c>
      <c r="U34" s="48"/>
    </row>
    <row r="35" spans="1:21">
      <c r="A35" s="59"/>
      <c r="B35" s="60"/>
      <c r="C35" s="60"/>
      <c r="D35" s="61"/>
      <c r="E35" s="64">
        <f>E29+E30+E31+E32+E33+E34</f>
        <v>0.99999999999999989</v>
      </c>
      <c r="F35" s="64">
        <f>F29+F30+F31+F32+F33+F34</f>
        <v>0.999</v>
      </c>
      <c r="G35" s="64">
        <f>G29+G30+G31+G32+G33+G34</f>
        <v>1.0000000000000002</v>
      </c>
      <c r="H35" s="64">
        <f t="shared" ref="H35:P35" si="9">H29+H30+H31+H32+H33+H34</f>
        <v>0.999</v>
      </c>
      <c r="I35" s="64">
        <f t="shared" si="9"/>
        <v>1</v>
      </c>
      <c r="J35" s="64">
        <f>J29+J30+J31+J32+J33+J34</f>
        <v>0.99999999999999989</v>
      </c>
      <c r="K35" s="64">
        <f t="shared" si="9"/>
        <v>1.0000000000000002</v>
      </c>
      <c r="L35" s="64">
        <f t="shared" si="9"/>
        <v>0.999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48"/>
    </row>
    <row r="36" spans="1:21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</row>
    <row r="37" spans="1:21">
      <c r="A37" s="31"/>
      <c r="B37" s="33" t="s">
        <v>132</v>
      </c>
      <c r="C37" s="32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4"/>
      <c r="R37" s="23"/>
    </row>
    <row r="38" spans="1:21" ht="43.5">
      <c r="A38" s="31"/>
      <c r="B38" s="56" t="s">
        <v>133</v>
      </c>
      <c r="C38" s="32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4"/>
      <c r="R38" s="44" t="s">
        <v>135</v>
      </c>
      <c r="S38" s="58" t="s">
        <v>136</v>
      </c>
      <c r="T38" s="57" t="s">
        <v>133</v>
      </c>
    </row>
    <row r="39" spans="1:21">
      <c r="A39" s="31"/>
      <c r="B39" s="32"/>
      <c r="C39" s="3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4"/>
      <c r="R39" s="23">
        <f t="shared" ref="R39:S41" si="10">R28+R17</f>
        <v>2174.9818</v>
      </c>
      <c r="S39" s="34">
        <f t="shared" si="10"/>
        <v>0</v>
      </c>
      <c r="T39" s="123">
        <f>S39+R39</f>
        <v>2174.9818</v>
      </c>
    </row>
    <row r="40" spans="1:21">
      <c r="A40" s="31"/>
      <c r="B40" s="56" t="s">
        <v>34</v>
      </c>
      <c r="C40" s="32"/>
      <c r="D40" s="37"/>
      <c r="E40" s="53">
        <f>((E$10*E18)+(E$11*E29))/E$12</f>
        <v>3.7318074563473337E-2</v>
      </c>
      <c r="F40" s="53">
        <f t="shared" ref="F40:P40" si="11">((F$10*F18)+(F$11*F29))/F$12</f>
        <v>1.4382562277580072E-2</v>
      </c>
      <c r="G40" s="53">
        <f t="shared" si="11"/>
        <v>1.4871067242442935E-2</v>
      </c>
      <c r="H40" s="53">
        <f t="shared" si="11"/>
        <v>5.1134361233480165E-3</v>
      </c>
      <c r="I40" s="53">
        <f t="shared" si="11"/>
        <v>1.807235248647256E-2</v>
      </c>
      <c r="J40" s="53">
        <f t="shared" si="11"/>
        <v>1.1654853620955316E-2</v>
      </c>
      <c r="K40" s="53">
        <f t="shared" si="11"/>
        <v>1.0282739490545397E-2</v>
      </c>
      <c r="L40" s="53">
        <f t="shared" si="11"/>
        <v>1.5505753424657532E-2</v>
      </c>
      <c r="M40" s="53">
        <f t="shared" si="11"/>
        <v>1.6007109004739336E-2</v>
      </c>
      <c r="N40" s="53">
        <f t="shared" si="11"/>
        <v>8.3612662942271886E-3</v>
      </c>
      <c r="O40" s="53">
        <f t="shared" si="11"/>
        <v>1.9399333333333331E-2</v>
      </c>
      <c r="P40" s="53">
        <f t="shared" si="11"/>
        <v>3.2389864525840438E-2</v>
      </c>
      <c r="Q40" s="34"/>
      <c r="R40" s="23">
        <f t="shared" si="10"/>
        <v>36.323250000000002</v>
      </c>
      <c r="S40" s="34">
        <f t="shared" si="10"/>
        <v>0</v>
      </c>
      <c r="T40" s="125">
        <f t="shared" ref="T40:T45" si="12">(R40+S40)/$T$39</f>
        <v>1.6700484574169772E-2</v>
      </c>
    </row>
    <row r="41" spans="1:21">
      <c r="A41" s="31"/>
      <c r="B41" s="56" t="s">
        <v>35</v>
      </c>
      <c r="C41" s="32"/>
      <c r="D41" s="37"/>
      <c r="E41" s="53">
        <f t="shared" ref="E41:P41" si="13">((E$10*E19)+(E$11*E30))/E$12</f>
        <v>4.8341670599339311E-2</v>
      </c>
      <c r="F41" s="53">
        <f t="shared" si="13"/>
        <v>4.7923487544483986E-2</v>
      </c>
      <c r="G41" s="53">
        <f t="shared" si="13"/>
        <v>4.5871067242442928E-2</v>
      </c>
      <c r="H41" s="53">
        <f t="shared" si="13"/>
        <v>4.0742290748898673E-2</v>
      </c>
      <c r="I41" s="53">
        <f t="shared" si="13"/>
        <v>2.5951971141458387E-2</v>
      </c>
      <c r="J41" s="53">
        <f t="shared" si="13"/>
        <v>6.6387262455059062E-2</v>
      </c>
      <c r="K41" s="53">
        <f t="shared" si="13"/>
        <v>6.1630528207532426E-2</v>
      </c>
      <c r="L41" s="53">
        <f t="shared" si="13"/>
        <v>5.5163835616438353E-2</v>
      </c>
      <c r="M41" s="53">
        <f t="shared" si="13"/>
        <v>5.4587677725118487E-2</v>
      </c>
      <c r="N41" s="53">
        <f t="shared" si="13"/>
        <v>4.5425822470515208E-2</v>
      </c>
      <c r="O41" s="53">
        <f t="shared" si="13"/>
        <v>4.5243851851851855E-2</v>
      </c>
      <c r="P41" s="53">
        <f t="shared" si="13"/>
        <v>7.3290588488280406E-2</v>
      </c>
      <c r="Q41" s="34"/>
      <c r="R41" s="23">
        <f t="shared" si="10"/>
        <v>111.11968000000002</v>
      </c>
      <c r="S41" s="34">
        <f t="shared" si="10"/>
        <v>0</v>
      </c>
      <c r="T41" s="125">
        <f t="shared" si="12"/>
        <v>5.108993555716191E-2</v>
      </c>
    </row>
    <row r="42" spans="1:21">
      <c r="A42" s="31"/>
      <c r="B42" s="56" t="s">
        <v>36</v>
      </c>
      <c r="C42" s="32"/>
      <c r="D42" s="37"/>
      <c r="E42" s="53">
        <f t="shared" ref="E42:P42" si="14">((E$10*E20)+(E$11*E31))/E$12</f>
        <v>7.7097215667767824E-2</v>
      </c>
      <c r="F42" s="53">
        <f t="shared" si="14"/>
        <v>6.2894424673784102E-2</v>
      </c>
      <c r="G42" s="53">
        <f t="shared" si="14"/>
        <v>8.5128932757557049E-2</v>
      </c>
      <c r="H42" s="53">
        <f t="shared" si="14"/>
        <v>6.9775330396475765E-2</v>
      </c>
      <c r="I42" s="53">
        <f t="shared" si="14"/>
        <v>9.5457820149446024E-2</v>
      </c>
      <c r="J42" s="53">
        <f t="shared" si="14"/>
        <v>7.4288649203903434E-2</v>
      </c>
      <c r="K42" s="53">
        <f t="shared" si="14"/>
        <v>8.3826535396155658E-2</v>
      </c>
      <c r="L42" s="53">
        <f t="shared" si="14"/>
        <v>5.4046027397260277E-2</v>
      </c>
      <c r="M42" s="53">
        <f t="shared" si="14"/>
        <v>6.3454976303317534E-2</v>
      </c>
      <c r="N42" s="53">
        <f t="shared" si="14"/>
        <v>6.563873370577282E-2</v>
      </c>
      <c r="O42" s="53">
        <f t="shared" si="14"/>
        <v>6.724385185185186E-2</v>
      </c>
      <c r="P42" s="53">
        <f t="shared" si="14"/>
        <v>6.779420830048026E-2</v>
      </c>
      <c r="Q42" s="34"/>
      <c r="R42" s="23">
        <f t="shared" ref="R42:S45" si="15">R31+R20</f>
        <v>158.98661999999999</v>
      </c>
      <c r="S42" s="34">
        <f t="shared" si="15"/>
        <v>0</v>
      </c>
      <c r="T42" s="125">
        <f t="shared" si="12"/>
        <v>7.3097908221576829E-2</v>
      </c>
    </row>
    <row r="43" spans="1:21" ht="29">
      <c r="A43" s="31"/>
      <c r="B43" s="56" t="s">
        <v>37</v>
      </c>
      <c r="C43" s="32"/>
      <c r="D43" s="37"/>
      <c r="E43" s="53">
        <f t="shared" ref="E43:P43" si="16">((E$10*E21)+(E$11*E32))/E$12</f>
        <v>0.58675554506842853</v>
      </c>
      <c r="F43" s="53">
        <f t="shared" si="16"/>
        <v>0.65862811387900344</v>
      </c>
      <c r="G43" s="53">
        <f t="shared" si="16"/>
        <v>0.58451573103022814</v>
      </c>
      <c r="H43" s="53">
        <f t="shared" si="16"/>
        <v>0.61780176211453741</v>
      </c>
      <c r="I43" s="53">
        <f t="shared" si="16"/>
        <v>0.66691440350425146</v>
      </c>
      <c r="J43" s="53">
        <f t="shared" si="16"/>
        <v>0.6131063174114022</v>
      </c>
      <c r="K43" s="53">
        <f t="shared" si="16"/>
        <v>0.59169385841537736</v>
      </c>
      <c r="L43" s="53">
        <f t="shared" si="16"/>
        <v>0.53963780821917806</v>
      </c>
      <c r="M43" s="53">
        <f t="shared" si="16"/>
        <v>0.56238388625592417</v>
      </c>
      <c r="N43" s="53">
        <f t="shared" si="16"/>
        <v>0.62205834885164502</v>
      </c>
      <c r="O43" s="53">
        <f t="shared" si="16"/>
        <v>0.59651229629629621</v>
      </c>
      <c r="P43" s="53">
        <f t="shared" si="16"/>
        <v>0.5709441617088381</v>
      </c>
      <c r="Q43" s="34"/>
      <c r="R43" s="23">
        <f t="shared" si="15"/>
        <v>1308.3041599999999</v>
      </c>
      <c r="S43" s="34">
        <f t="shared" si="15"/>
        <v>0</v>
      </c>
      <c r="T43" s="125">
        <f t="shared" si="12"/>
        <v>0.60152418746676406</v>
      </c>
    </row>
    <row r="44" spans="1:21" ht="17.5" customHeight="1">
      <c r="A44" s="31"/>
      <c r="B44" s="56" t="s">
        <v>38</v>
      </c>
      <c r="C44" s="32"/>
      <c r="D44" s="37"/>
      <c r="E44" s="53">
        <f t="shared" ref="E44:P44" si="17">((E$10*E22)+(E$11*E33))/E$12</f>
        <v>0.13131524303916942</v>
      </c>
      <c r="F44" s="53">
        <f t="shared" si="17"/>
        <v>9.317141162514829E-2</v>
      </c>
      <c r="G44" s="53">
        <f t="shared" si="17"/>
        <v>0.15440530536705735</v>
      </c>
      <c r="H44" s="53">
        <f t="shared" si="17"/>
        <v>0.17112995594713654</v>
      </c>
      <c r="I44" s="53">
        <f t="shared" si="17"/>
        <v>0.1113743880443185</v>
      </c>
      <c r="J44" s="53">
        <f t="shared" si="17"/>
        <v>0.15507704160246533</v>
      </c>
      <c r="K44" s="53">
        <f t="shared" si="17"/>
        <v>0.18080485232067511</v>
      </c>
      <c r="L44" s="53">
        <f t="shared" si="17"/>
        <v>0.18891671232876711</v>
      </c>
      <c r="M44" s="53">
        <f t="shared" si="17"/>
        <v>0.14413270142180093</v>
      </c>
      <c r="N44" s="53">
        <f t="shared" si="17"/>
        <v>0.15690316573556798</v>
      </c>
      <c r="O44" s="53">
        <f t="shared" si="17"/>
        <v>0.1541342222222222</v>
      </c>
      <c r="P44" s="53">
        <f t="shared" si="17"/>
        <v>0.14597104150240123</v>
      </c>
      <c r="Q44" s="34"/>
      <c r="R44" s="23">
        <f t="shared" si="15"/>
        <v>326.00110000000001</v>
      </c>
      <c r="S44" s="34">
        <f>S33+S22</f>
        <v>0</v>
      </c>
      <c r="T44" s="125">
        <f t="shared" si="12"/>
        <v>0.14988681744371379</v>
      </c>
    </row>
    <row r="45" spans="1:21" ht="29">
      <c r="A45" s="31"/>
      <c r="B45" s="56" t="s">
        <v>39</v>
      </c>
      <c r="C45" s="32"/>
      <c r="D45" s="36"/>
      <c r="E45" s="53">
        <f t="shared" ref="E45:P45" si="18">((E$10*E23)+(E$11*E34))/E$12</f>
        <v>0.11856252949504482</v>
      </c>
      <c r="F45" s="53">
        <f t="shared" si="18"/>
        <v>0.122641162514828</v>
      </c>
      <c r="G45" s="53">
        <f t="shared" si="18"/>
        <v>0.11520789636027144</v>
      </c>
      <c r="H45" s="53">
        <f t="shared" si="18"/>
        <v>9.5162995594713654E-2</v>
      </c>
      <c r="I45" s="53">
        <f t="shared" si="18"/>
        <v>8.2229064674053082E-2</v>
      </c>
      <c r="J45" s="53">
        <f t="shared" si="18"/>
        <v>7.9485875706214681E-2</v>
      </c>
      <c r="K45" s="53">
        <f t="shared" si="18"/>
        <v>7.176148616971402E-2</v>
      </c>
      <c r="L45" s="53">
        <f t="shared" si="18"/>
        <v>0.14635342465753423</v>
      </c>
      <c r="M45" s="53">
        <f t="shared" si="18"/>
        <v>0.15943364928909953</v>
      </c>
      <c r="N45" s="53">
        <f t="shared" si="18"/>
        <v>0.10161266294227189</v>
      </c>
      <c r="O45" s="53">
        <f t="shared" si="18"/>
        <v>0.11746644444444446</v>
      </c>
      <c r="P45" s="53">
        <f t="shared" si="18"/>
        <v>0.10961013547415957</v>
      </c>
      <c r="Q45" s="34"/>
      <c r="R45" s="23">
        <f t="shared" si="15"/>
        <v>234.24698999999998</v>
      </c>
      <c r="S45" s="34">
        <f t="shared" si="15"/>
        <v>0</v>
      </c>
      <c r="T45" s="125">
        <f t="shared" si="12"/>
        <v>0.1077006667366136</v>
      </c>
      <c r="U45" s="48"/>
    </row>
    <row r="46" spans="1:21">
      <c r="A46" s="59"/>
      <c r="B46" s="60"/>
      <c r="C46" s="60"/>
      <c r="D46" s="61"/>
      <c r="E46" s="64">
        <f>SUM(E40:E45)</f>
        <v>0.99939027843322326</v>
      </c>
      <c r="F46" s="64">
        <f>SUM(F40:F45)</f>
        <v>0.99964116251482793</v>
      </c>
      <c r="G46" s="64">
        <f t="shared" ref="G46:P46" si="19">SUM(G40:G45)</f>
        <v>0.99999999999999978</v>
      </c>
      <c r="H46" s="64">
        <f t="shared" si="19"/>
        <v>0.99972577092511006</v>
      </c>
      <c r="I46" s="64">
        <f t="shared" si="19"/>
        <v>1</v>
      </c>
      <c r="J46" s="64">
        <f t="shared" si="19"/>
        <v>1</v>
      </c>
      <c r="K46" s="64">
        <f t="shared" si="19"/>
        <v>1</v>
      </c>
      <c r="L46" s="64">
        <f t="shared" si="19"/>
        <v>0.99962356164383559</v>
      </c>
      <c r="M46" s="64">
        <f t="shared" si="19"/>
        <v>0.99999999999999989</v>
      </c>
      <c r="N46" s="64">
        <f t="shared" si="19"/>
        <v>1</v>
      </c>
      <c r="O46" s="64">
        <f t="shared" si="19"/>
        <v>0.99999999999999989</v>
      </c>
      <c r="P46" s="64">
        <f t="shared" si="19"/>
        <v>1</v>
      </c>
      <c r="Q46" s="66"/>
      <c r="R46" s="63"/>
      <c r="T46" s="122"/>
      <c r="U46" s="48"/>
    </row>
    <row r="47" spans="1:21" ht="23">
      <c r="A47" s="30" t="s">
        <v>146</v>
      </c>
      <c r="B47" s="38" t="s">
        <v>147</v>
      </c>
      <c r="C47" s="30" t="s">
        <v>148</v>
      </c>
      <c r="D47">
        <f>SUM(E47:P47)</f>
        <v>214.79</v>
      </c>
      <c r="E47" s="106">
        <v>20.2</v>
      </c>
      <c r="F47" s="106">
        <v>21.8</v>
      </c>
      <c r="G47" s="111">
        <v>16.95</v>
      </c>
      <c r="H47" s="106">
        <v>20</v>
      </c>
      <c r="I47" s="106">
        <v>34.540000000000006</v>
      </c>
      <c r="J47" s="106">
        <v>23.85</v>
      </c>
      <c r="K47" s="106">
        <v>28.35</v>
      </c>
      <c r="L47" s="106">
        <v>11</v>
      </c>
      <c r="M47" s="106">
        <v>12.2</v>
      </c>
      <c r="N47" s="110">
        <v>9.8999999999999986</v>
      </c>
      <c r="O47" s="110">
        <v>9</v>
      </c>
      <c r="P47" s="106">
        <v>7</v>
      </c>
      <c r="Q47" s="106"/>
      <c r="R47" s="52"/>
    </row>
    <row r="48" spans="1:21">
      <c r="A48" s="30"/>
      <c r="B48" s="38" t="s">
        <v>149</v>
      </c>
      <c r="C48" s="30"/>
      <c r="D48" s="108">
        <f>SUM(E48:P48)</f>
        <v>191.83</v>
      </c>
      <c r="E48" s="105">
        <v>1.95</v>
      </c>
      <c r="F48" s="105">
        <v>12.8</v>
      </c>
      <c r="G48" s="105">
        <v>18.2</v>
      </c>
      <c r="H48" s="106">
        <v>8.4</v>
      </c>
      <c r="I48" s="106">
        <v>16.049999999999997</v>
      </c>
      <c r="J48" s="106">
        <v>9.5500000000000007</v>
      </c>
      <c r="K48" s="106">
        <v>5.6</v>
      </c>
      <c r="L48" s="106">
        <v>11.780000000000001</v>
      </c>
      <c r="M48" s="106">
        <v>4.25</v>
      </c>
      <c r="N48" s="106">
        <v>90.15</v>
      </c>
      <c r="O48" s="106">
        <v>5.5</v>
      </c>
      <c r="P48" s="106">
        <v>7.6000000000000005</v>
      </c>
      <c r="Q48" s="109"/>
      <c r="R48" s="107"/>
    </row>
    <row r="49" spans="1:21">
      <c r="A49" s="30"/>
      <c r="B49" s="30"/>
      <c r="C49" s="3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1:21" ht="29">
      <c r="A50" s="31" t="s">
        <v>150</v>
      </c>
      <c r="B50" s="43" t="s">
        <v>151</v>
      </c>
      <c r="C50" s="31" t="s">
        <v>152</v>
      </c>
      <c r="D50" s="34">
        <f>SUM(E50:P50)</f>
        <v>663</v>
      </c>
      <c r="E50" s="32">
        <f>7+2</f>
        <v>9</v>
      </c>
      <c r="F50" s="32">
        <f>11+2</f>
        <v>13</v>
      </c>
      <c r="G50" s="32">
        <v>9</v>
      </c>
      <c r="H50" s="32">
        <v>211</v>
      </c>
      <c r="I50" s="32">
        <v>136</v>
      </c>
      <c r="J50" s="32">
        <v>137</v>
      </c>
      <c r="K50" s="32">
        <v>37</v>
      </c>
      <c r="L50" s="32">
        <v>57</v>
      </c>
      <c r="M50" s="32">
        <v>5</v>
      </c>
      <c r="N50" s="32">
        <v>38</v>
      </c>
      <c r="O50" s="32">
        <v>6</v>
      </c>
      <c r="P50" s="23">
        <v>5</v>
      </c>
    </row>
    <row r="51" spans="1:21">
      <c r="T51"/>
    </row>
    <row r="52" spans="1:21">
      <c r="T52"/>
    </row>
    <row r="53" spans="1:21">
      <c r="T53"/>
    </row>
    <row r="54" spans="1:21">
      <c r="T54"/>
    </row>
    <row r="55" spans="1:21" s="27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T56"/>
    </row>
    <row r="57" spans="1:21">
      <c r="T57"/>
    </row>
    <row r="58" spans="1:21">
      <c r="T58"/>
    </row>
    <row r="59" spans="1:21">
      <c r="T59"/>
    </row>
    <row r="60" spans="1:21">
      <c r="T60"/>
    </row>
    <row r="61" spans="1:21">
      <c r="T61"/>
    </row>
    <row r="62" spans="1:21">
      <c r="T62"/>
    </row>
    <row r="63" spans="1:21">
      <c r="T63"/>
    </row>
    <row r="64" spans="1:21">
      <c r="T64"/>
    </row>
    <row r="65" spans="20:20">
      <c r="T65"/>
    </row>
    <row r="66" spans="20:20">
      <c r="T66"/>
    </row>
    <row r="67" spans="20:20">
      <c r="T67"/>
    </row>
    <row r="68" spans="20:20">
      <c r="T68"/>
    </row>
    <row r="69" spans="20:20">
      <c r="T69"/>
    </row>
    <row r="70" spans="20:20">
      <c r="T70"/>
    </row>
    <row r="71" spans="20:20">
      <c r="T71"/>
    </row>
    <row r="72" spans="20:20">
      <c r="T72"/>
    </row>
    <row r="73" spans="20:20">
      <c r="T73"/>
    </row>
    <row r="74" spans="20:20">
      <c r="T74"/>
    </row>
    <row r="75" spans="20:20">
      <c r="T75"/>
    </row>
    <row r="76" spans="20:20">
      <c r="T76"/>
    </row>
    <row r="77" spans="20:20">
      <c r="T77"/>
    </row>
    <row r="78" spans="20:20">
      <c r="T78"/>
    </row>
    <row r="79" spans="20:20">
      <c r="T79"/>
    </row>
    <row r="80" spans="20:20">
      <c r="T80"/>
    </row>
    <row r="81" spans="20:20">
      <c r="T81"/>
    </row>
    <row r="82" spans="20:20">
      <c r="T82"/>
    </row>
    <row r="83" spans="20:20">
      <c r="T83"/>
    </row>
    <row r="84" spans="20:20">
      <c r="T84"/>
    </row>
    <row r="85" spans="20:20">
      <c r="T85"/>
    </row>
    <row r="86" spans="20:20">
      <c r="T86"/>
    </row>
    <row r="87" spans="20:20">
      <c r="T87"/>
    </row>
    <row r="88" spans="20:20">
      <c r="T88"/>
    </row>
    <row r="89" spans="20:20">
      <c r="T89"/>
    </row>
    <row r="90" spans="20:20">
      <c r="T90"/>
    </row>
    <row r="91" spans="20:20">
      <c r="T91"/>
    </row>
    <row r="92" spans="20:20">
      <c r="T92"/>
    </row>
    <row r="93" spans="20:20">
      <c r="T93"/>
    </row>
    <row r="94" spans="20:20">
      <c r="T94"/>
    </row>
    <row r="95" spans="20:20">
      <c r="T95"/>
    </row>
    <row r="96" spans="20:20">
      <c r="T96"/>
    </row>
    <row r="97" spans="20:20">
      <c r="T97"/>
    </row>
    <row r="98" spans="20:20">
      <c r="T98"/>
    </row>
    <row r="99" spans="20:20">
      <c r="T99"/>
    </row>
    <row r="100" spans="20:20">
      <c r="T100"/>
    </row>
    <row r="101" spans="20:20">
      <c r="T101"/>
    </row>
    <row r="102" spans="20:20">
      <c r="T102"/>
    </row>
    <row r="103" spans="20:20">
      <c r="T103"/>
    </row>
    <row r="104" spans="20:20">
      <c r="T104"/>
    </row>
    <row r="105" spans="20:20">
      <c r="T105"/>
    </row>
    <row r="106" spans="20:20">
      <c r="T106"/>
    </row>
    <row r="107" spans="20:20">
      <c r="T107"/>
    </row>
    <row r="108" spans="20:20">
      <c r="T108"/>
    </row>
    <row r="109" spans="20:20">
      <c r="T109"/>
    </row>
    <row r="110" spans="20:20">
      <c r="T110"/>
    </row>
    <row r="111" spans="20:20">
      <c r="T111"/>
    </row>
    <row r="112" spans="20:20">
      <c r="T112"/>
    </row>
    <row r="113" spans="20:20">
      <c r="T113"/>
    </row>
    <row r="114" spans="20:20">
      <c r="T114"/>
    </row>
    <row r="115" spans="20:20">
      <c r="T115"/>
    </row>
    <row r="116" spans="20:20">
      <c r="T116"/>
    </row>
    <row r="117" spans="20:20">
      <c r="T117"/>
    </row>
    <row r="118" spans="20:20">
      <c r="T118"/>
    </row>
    <row r="119" spans="20:20">
      <c r="T119"/>
    </row>
    <row r="120" spans="20:20">
      <c r="T120"/>
    </row>
    <row r="121" spans="20:20">
      <c r="T121"/>
    </row>
    <row r="122" spans="20:20">
      <c r="T122"/>
    </row>
    <row r="123" spans="20:20">
      <c r="T123"/>
    </row>
    <row r="124" spans="20:20">
      <c r="T124"/>
    </row>
    <row r="125" spans="20:20">
      <c r="T125"/>
    </row>
    <row r="126" spans="20:20">
      <c r="T126"/>
    </row>
    <row r="127" spans="20:20">
      <c r="T127"/>
    </row>
    <row r="128" spans="20:20">
      <c r="T128"/>
    </row>
    <row r="129" spans="20:20">
      <c r="T129"/>
    </row>
    <row r="130" spans="20:20">
      <c r="T130"/>
    </row>
    <row r="131" spans="20:20">
      <c r="T131"/>
    </row>
    <row r="132" spans="20:20">
      <c r="T132"/>
    </row>
    <row r="133" spans="20:20">
      <c r="T133"/>
    </row>
    <row r="134" spans="20:20">
      <c r="T134"/>
    </row>
    <row r="135" spans="20:20">
      <c r="T135"/>
    </row>
    <row r="136" spans="20:20">
      <c r="T136"/>
    </row>
    <row r="137" spans="20:20">
      <c r="T137"/>
    </row>
    <row r="138" spans="20:20">
      <c r="T138"/>
    </row>
    <row r="139" spans="20:20">
      <c r="T139"/>
    </row>
    <row r="140" spans="20:20">
      <c r="T140"/>
    </row>
    <row r="141" spans="20:20">
      <c r="T141"/>
    </row>
    <row r="142" spans="20:20">
      <c r="T142"/>
    </row>
    <row r="143" spans="20:20">
      <c r="T143"/>
    </row>
    <row r="144" spans="20:20">
      <c r="T144"/>
    </row>
    <row r="145" spans="20:20">
      <c r="T145"/>
    </row>
    <row r="146" spans="20:20">
      <c r="T146"/>
    </row>
    <row r="147" spans="20:20">
      <c r="T147"/>
    </row>
    <row r="148" spans="20:20">
      <c r="T148"/>
    </row>
    <row r="149" spans="20:20">
      <c r="T149"/>
    </row>
    <row r="150" spans="20:20">
      <c r="T150"/>
    </row>
    <row r="151" spans="20:20">
      <c r="T151"/>
    </row>
    <row r="152" spans="20:20">
      <c r="T152"/>
    </row>
    <row r="153" spans="20:20">
      <c r="T153"/>
    </row>
    <row r="154" spans="20:20">
      <c r="T154"/>
    </row>
    <row r="155" spans="20:20">
      <c r="T155"/>
    </row>
    <row r="156" spans="20:20">
      <c r="T156"/>
    </row>
    <row r="157" spans="20:20">
      <c r="T157"/>
    </row>
    <row r="158" spans="20:20">
      <c r="T158"/>
    </row>
    <row r="159" spans="20:20">
      <c r="T159"/>
    </row>
    <row r="160" spans="20:20">
      <c r="T160"/>
    </row>
    <row r="161" spans="20:20">
      <c r="T161"/>
    </row>
    <row r="162" spans="20:20">
      <c r="T162"/>
    </row>
    <row r="163" spans="20:20">
      <c r="T163"/>
    </row>
    <row r="164" spans="20:20">
      <c r="T164"/>
    </row>
    <row r="165" spans="20:20">
      <c r="T165"/>
    </row>
    <row r="166" spans="20:20">
      <c r="T166"/>
    </row>
    <row r="167" spans="20:20">
      <c r="T167"/>
    </row>
    <row r="168" spans="20:20">
      <c r="T168"/>
    </row>
    <row r="169" spans="20:20">
      <c r="T169"/>
    </row>
    <row r="170" spans="20:20">
      <c r="T170"/>
    </row>
    <row r="171" spans="20:20">
      <c r="T171"/>
    </row>
    <row r="172" spans="20:20">
      <c r="T172"/>
    </row>
    <row r="173" spans="20:20">
      <c r="T173"/>
    </row>
    <row r="174" spans="20:20">
      <c r="T174"/>
    </row>
    <row r="175" spans="20:20">
      <c r="T175"/>
    </row>
    <row r="176" spans="20:20">
      <c r="T176"/>
    </row>
    <row r="177" spans="20:20">
      <c r="T177"/>
    </row>
  </sheetData>
  <mergeCells count="1">
    <mergeCell ref="E1:P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7"/>
  <sheetViews>
    <sheetView topLeftCell="A38" zoomScale="58" zoomScaleNormal="58" zoomScaleSheetLayoutView="55" workbookViewId="0">
      <selection activeCell="M38" sqref="M38"/>
    </sheetView>
  </sheetViews>
  <sheetFormatPr baseColWidth="10" defaultColWidth="8.7265625" defaultRowHeight="14.5"/>
  <cols>
    <col min="1" max="3" width="11.453125" customWidth="1"/>
    <col min="4" max="4" width="12.7265625" bestFit="1" customWidth="1"/>
    <col min="5" max="5" width="12.453125" bestFit="1" customWidth="1"/>
    <col min="6" max="9" width="12.81640625" bestFit="1" customWidth="1"/>
    <col min="10" max="10" width="12.453125" bestFit="1" customWidth="1"/>
    <col min="11" max="11" width="13.1796875" bestFit="1" customWidth="1"/>
    <col min="12" max="15" width="12.81640625" bestFit="1" customWidth="1"/>
    <col min="16" max="16" width="13.1796875" bestFit="1" customWidth="1"/>
    <col min="17" max="17" width="25.453125" customWidth="1"/>
    <col min="18" max="19" width="11.453125" customWidth="1"/>
    <col min="20" max="20" width="20.1796875" bestFit="1" customWidth="1"/>
    <col min="21" max="21" width="20.1796875" customWidth="1"/>
    <col min="22" max="256" width="11.453125" customWidth="1"/>
  </cols>
  <sheetData>
    <row r="1" spans="1:33">
      <c r="A1" s="26"/>
      <c r="B1" s="27"/>
      <c r="D1" s="28"/>
      <c r="E1" s="422">
        <v>2020</v>
      </c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T1" s="112"/>
      <c r="U1" s="112"/>
    </row>
    <row r="2" spans="1:33">
      <c r="A2" s="29" t="s">
        <v>102</v>
      </c>
      <c r="B2" s="29" t="s">
        <v>103</v>
      </c>
      <c r="D2" s="28" t="s">
        <v>104</v>
      </c>
      <c r="E2" s="92" t="s">
        <v>105</v>
      </c>
      <c r="F2" s="92" t="s">
        <v>106</v>
      </c>
      <c r="G2" s="69" t="s">
        <v>107</v>
      </c>
      <c r="H2" s="69" t="s">
        <v>108</v>
      </c>
      <c r="I2" s="69" t="s">
        <v>109</v>
      </c>
      <c r="J2" s="69" t="s">
        <v>110</v>
      </c>
      <c r="K2" s="69" t="s">
        <v>111</v>
      </c>
      <c r="L2" s="69" t="s">
        <v>112</v>
      </c>
      <c r="M2" s="69" t="s">
        <v>113</v>
      </c>
      <c r="N2" s="69" t="s">
        <v>114</v>
      </c>
      <c r="O2" s="69" t="s">
        <v>115</v>
      </c>
      <c r="P2" s="69" t="s">
        <v>116</v>
      </c>
      <c r="R2" s="69" t="s">
        <v>40</v>
      </c>
      <c r="T2" s="112"/>
      <c r="U2" s="112"/>
    </row>
    <row r="3" spans="1:33" ht="50.25" customHeight="1">
      <c r="A3" s="30" t="s">
        <v>117</v>
      </c>
      <c r="B3" s="30" t="s">
        <v>118</v>
      </c>
      <c r="C3" s="30" t="s">
        <v>119</v>
      </c>
      <c r="D3" s="51">
        <v>25</v>
      </c>
      <c r="T3" s="112"/>
      <c r="U3" s="112"/>
    </row>
    <row r="4" spans="1:33" ht="24.75" customHeight="1">
      <c r="A4" s="30" t="s">
        <v>120</v>
      </c>
      <c r="B4" s="30" t="s">
        <v>121</v>
      </c>
      <c r="C4" s="30"/>
      <c r="D4" s="51">
        <v>298</v>
      </c>
      <c r="T4" s="112"/>
      <c r="U4" s="112"/>
      <c r="V4" s="424" t="s">
        <v>155</v>
      </c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</row>
    <row r="5" spans="1:33" ht="13.5" customHeight="1">
      <c r="A5" s="50" t="s">
        <v>60</v>
      </c>
      <c r="B5" s="30" t="s">
        <v>122</v>
      </c>
      <c r="C5" s="30"/>
      <c r="D5" s="51">
        <v>0</v>
      </c>
      <c r="T5" s="112"/>
      <c r="U5" s="112"/>
    </row>
    <row r="6" spans="1:33" ht="25.5" customHeight="1">
      <c r="A6" s="43" t="s">
        <v>123</v>
      </c>
      <c r="B6" s="31" t="s">
        <v>153</v>
      </c>
      <c r="C6" s="31" t="s">
        <v>154</v>
      </c>
      <c r="D6" s="23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T6" s="112"/>
      <c r="U6" s="58"/>
      <c r="V6" s="214" t="s">
        <v>105</v>
      </c>
      <c r="W6" s="214" t="s">
        <v>106</v>
      </c>
      <c r="X6" s="214" t="s">
        <v>107</v>
      </c>
      <c r="Y6" s="214" t="s">
        <v>108</v>
      </c>
      <c r="Z6" s="214" t="s">
        <v>109</v>
      </c>
      <c r="AA6" s="214" t="s">
        <v>110</v>
      </c>
      <c r="AB6" s="214" t="s">
        <v>111</v>
      </c>
      <c r="AC6" s="214" t="s">
        <v>112</v>
      </c>
      <c r="AD6" s="214" t="s">
        <v>113</v>
      </c>
      <c r="AE6" s="214" t="s">
        <v>114</v>
      </c>
      <c r="AF6" s="214" t="s">
        <v>115</v>
      </c>
      <c r="AG6" s="214" t="s">
        <v>116</v>
      </c>
    </row>
    <row r="7" spans="1:33" ht="116">
      <c r="A7" s="43" t="s">
        <v>124</v>
      </c>
      <c r="B7" s="43" t="s">
        <v>125</v>
      </c>
      <c r="C7" s="31"/>
      <c r="D7" s="220">
        <f>SUM(E7:P7)</f>
        <v>1962.9554900000001</v>
      </c>
      <c r="E7" s="221">
        <f>E10*(1-E23)</f>
        <v>102.0008</v>
      </c>
      <c r="F7" s="221">
        <f>F10*(1-F23)</f>
        <v>87.365039999999993</v>
      </c>
      <c r="G7" s="221">
        <f>G10*(1-G23)</f>
        <v>113.95020000000001</v>
      </c>
      <c r="H7" s="221">
        <f t="shared" ref="H7:P7" si="0">H10*(1-H23)</f>
        <v>125.23664000000001</v>
      </c>
      <c r="I7" s="221">
        <f t="shared" si="0"/>
        <v>109.47918</v>
      </c>
      <c r="J7" s="221">
        <f t="shared" si="0"/>
        <v>168.92856</v>
      </c>
      <c r="K7" s="221">
        <f t="shared" si="0"/>
        <v>236.87423999999999</v>
      </c>
      <c r="L7" s="221">
        <f t="shared" si="0"/>
        <v>189.05187000000001</v>
      </c>
      <c r="M7" s="221">
        <f t="shared" si="0"/>
        <v>178.07112000000001</v>
      </c>
      <c r="N7" s="221">
        <f t="shared" si="0"/>
        <v>215.33344</v>
      </c>
      <c r="O7" s="221">
        <f t="shared" si="0"/>
        <v>157.99200000000002</v>
      </c>
      <c r="P7" s="221">
        <f t="shared" si="0"/>
        <v>278.67239999999998</v>
      </c>
      <c r="Q7" s="32"/>
      <c r="R7" s="32"/>
      <c r="T7" s="10"/>
      <c r="U7" s="58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3" ht="116">
      <c r="A8" s="43" t="s">
        <v>126</v>
      </c>
      <c r="B8" s="43" t="s">
        <v>127</v>
      </c>
      <c r="C8" s="211">
        <f>D7+D8</f>
        <v>2721.9554900000003</v>
      </c>
      <c r="D8" s="220">
        <f>ROUNDDOWN(SUM(E8:P8),0)</f>
        <v>759</v>
      </c>
      <c r="E8" s="222">
        <f>E11*(1-E34)</f>
        <v>35.902299999999997</v>
      </c>
      <c r="F8" s="222">
        <f>F11*(1-F34)</f>
        <v>35.245000000000005</v>
      </c>
      <c r="G8" s="222">
        <f>G11*(1-G34)</f>
        <v>19.492979999999999</v>
      </c>
      <c r="H8" s="222">
        <f t="shared" ref="H8:P8" si="1">H11*(1-H34)</f>
        <v>50.925629999999998</v>
      </c>
      <c r="I8" s="222">
        <f t="shared" si="1"/>
        <v>37.671199999999999</v>
      </c>
      <c r="J8" s="222">
        <f t="shared" si="1"/>
        <v>102.70617</v>
      </c>
      <c r="K8" s="222">
        <f t="shared" si="1"/>
        <v>76.62512000000001</v>
      </c>
      <c r="L8" s="222">
        <f t="shared" si="1"/>
        <v>79.408079999999998</v>
      </c>
      <c r="M8" s="222">
        <f t="shared" si="1"/>
        <v>73.040599999999998</v>
      </c>
      <c r="N8" s="222">
        <f>N11*(1-N34)</f>
        <v>69.625429999999994</v>
      </c>
      <c r="O8" s="222">
        <f>O11*(1-O34)</f>
        <v>90.956799999999987</v>
      </c>
      <c r="P8" s="222">
        <f t="shared" si="1"/>
        <v>87.797280000000001</v>
      </c>
      <c r="Q8" s="32"/>
      <c r="R8" s="32"/>
      <c r="T8" s="10"/>
      <c r="U8" s="58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</row>
    <row r="9" spans="1:33" ht="27" customHeight="1">
      <c r="A9" s="43" t="s">
        <v>123</v>
      </c>
      <c r="B9" s="43"/>
      <c r="C9" s="31"/>
      <c r="D9" s="210">
        <f>SUM(E9:P9)</f>
        <v>2722.3520800000001</v>
      </c>
      <c r="E9" s="223">
        <f>SUM(E7:E8)</f>
        <v>137.90309999999999</v>
      </c>
      <c r="F9" s="223">
        <f t="shared" ref="F9:P9" si="2">SUM(F7:F8)</f>
        <v>122.61004</v>
      </c>
      <c r="G9" s="223">
        <f t="shared" si="2"/>
        <v>133.44318000000001</v>
      </c>
      <c r="H9" s="223">
        <f t="shared" si="2"/>
        <v>176.16227000000001</v>
      </c>
      <c r="I9" s="223">
        <f t="shared" si="2"/>
        <v>147.15037999999998</v>
      </c>
      <c r="J9" s="223">
        <f t="shared" si="2"/>
        <v>271.63472999999999</v>
      </c>
      <c r="K9" s="223">
        <f t="shared" si="2"/>
        <v>313.49936000000002</v>
      </c>
      <c r="L9" s="223">
        <f t="shared" si="2"/>
        <v>268.45994999999999</v>
      </c>
      <c r="M9" s="223">
        <f t="shared" si="2"/>
        <v>251.11171999999999</v>
      </c>
      <c r="N9" s="223">
        <f t="shared" si="2"/>
        <v>284.95886999999999</v>
      </c>
      <c r="O9" s="223">
        <f t="shared" si="2"/>
        <v>248.94880000000001</v>
      </c>
      <c r="P9" s="223">
        <f t="shared" si="2"/>
        <v>366.46967999999998</v>
      </c>
      <c r="Q9" s="32"/>
      <c r="R9" s="32"/>
      <c r="T9" s="10"/>
      <c r="U9" s="58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</row>
    <row r="10" spans="1:33" ht="101.5">
      <c r="A10" s="31"/>
      <c r="B10" s="42" t="s">
        <v>128</v>
      </c>
      <c r="C10" s="32"/>
      <c r="D10" s="220">
        <f>ROUNDDOWN(SUM(E10:P10),0)</f>
        <v>2244</v>
      </c>
      <c r="E10" s="81">
        <v>117.92</v>
      </c>
      <c r="F10" s="81">
        <v>99.96</v>
      </c>
      <c r="G10" s="81">
        <v>125.22</v>
      </c>
      <c r="H10" s="81">
        <v>143.62</v>
      </c>
      <c r="I10" s="81">
        <v>131.27000000000001</v>
      </c>
      <c r="J10" s="81">
        <v>185.84</v>
      </c>
      <c r="K10" s="81">
        <v>264.95999999999998</v>
      </c>
      <c r="L10" s="81">
        <v>225.33</v>
      </c>
      <c r="M10" s="81">
        <v>204.21</v>
      </c>
      <c r="N10" s="81">
        <v>243.04</v>
      </c>
      <c r="O10" s="81">
        <v>174</v>
      </c>
      <c r="P10" s="81">
        <v>329.4</v>
      </c>
      <c r="Q10" s="44"/>
      <c r="R10" s="32"/>
      <c r="T10" s="112"/>
      <c r="U10" s="58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spans="1:33" ht="101.5">
      <c r="A11" s="31"/>
      <c r="B11" s="42" t="s">
        <v>129</v>
      </c>
      <c r="C11" s="32"/>
      <c r="D11" s="257">
        <f>ROUNDDOWN(SUM(E11:P11),0)</f>
        <v>883</v>
      </c>
      <c r="E11" s="81">
        <v>43.1</v>
      </c>
      <c r="F11" s="81">
        <v>40.28</v>
      </c>
      <c r="G11" s="81">
        <v>22.38</v>
      </c>
      <c r="H11" s="81">
        <v>60.41</v>
      </c>
      <c r="I11" s="81">
        <v>43.4</v>
      </c>
      <c r="J11" s="81">
        <v>115.53</v>
      </c>
      <c r="K11" s="81">
        <v>86.68</v>
      </c>
      <c r="L11" s="81">
        <v>90.96</v>
      </c>
      <c r="M11" s="81">
        <v>84.44</v>
      </c>
      <c r="N11" s="81">
        <v>79.03</v>
      </c>
      <c r="O11" s="81">
        <v>108.8</v>
      </c>
      <c r="P11" s="81">
        <v>108.66</v>
      </c>
      <c r="Q11" s="44"/>
      <c r="R11" s="32"/>
      <c r="T11" s="112"/>
      <c r="U11" s="58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</row>
    <row r="12" spans="1:33">
      <c r="A12" s="32"/>
      <c r="B12" s="40" t="s">
        <v>156</v>
      </c>
      <c r="C12" s="40"/>
      <c r="D12" s="210">
        <f>SUM(E12:P12)</f>
        <v>3128.44</v>
      </c>
      <c r="E12" s="200">
        <f>SUM(E10:E11)</f>
        <v>161.02000000000001</v>
      </c>
      <c r="F12" s="200">
        <f>SUM(F10:F11)</f>
        <v>140.24</v>
      </c>
      <c r="G12" s="200">
        <f>SUM(G10:G11)</f>
        <v>147.6</v>
      </c>
      <c r="H12" s="200">
        <f t="shared" ref="H12:P12" si="3">SUM(H10:H11)</f>
        <v>204.03</v>
      </c>
      <c r="I12" s="200">
        <f t="shared" si="3"/>
        <v>174.67000000000002</v>
      </c>
      <c r="J12" s="200">
        <f t="shared" si="3"/>
        <v>301.37</v>
      </c>
      <c r="K12" s="200">
        <f t="shared" si="3"/>
        <v>351.64</v>
      </c>
      <c r="L12" s="200">
        <f t="shared" si="3"/>
        <v>316.29000000000002</v>
      </c>
      <c r="M12" s="200">
        <f t="shared" si="3"/>
        <v>288.64999999999998</v>
      </c>
      <c r="N12" s="200">
        <f>SUM(N10:N11)</f>
        <v>322.07</v>
      </c>
      <c r="O12" s="200">
        <f>SUM(O10:O11)</f>
        <v>282.8</v>
      </c>
      <c r="P12" s="200">
        <f t="shared" si="3"/>
        <v>438.05999999999995</v>
      </c>
      <c r="Q12" s="32"/>
      <c r="R12" s="32"/>
      <c r="T12" s="112"/>
      <c r="U12" s="112"/>
    </row>
    <row r="13" spans="1:33">
      <c r="T13" s="112"/>
      <c r="U13" s="112"/>
    </row>
    <row r="14" spans="1:33" ht="17.25" customHeight="1">
      <c r="A14" s="43"/>
      <c r="B14" s="68" t="s">
        <v>131</v>
      </c>
      <c r="C14" s="3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4"/>
      <c r="R14" s="23"/>
      <c r="T14" s="112"/>
      <c r="U14" s="112"/>
    </row>
    <row r="15" spans="1:33" ht="32.25" customHeight="1">
      <c r="A15" s="31"/>
      <c r="B15" s="33" t="s">
        <v>132</v>
      </c>
      <c r="C15" s="32"/>
      <c r="D15" s="40">
        <f>SUM(G15:P15)</f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32"/>
      <c r="R15" s="32"/>
      <c r="T15" s="112"/>
      <c r="U15" s="112"/>
    </row>
    <row r="16" spans="1:33" ht="106.5" customHeight="1">
      <c r="A16" s="31"/>
      <c r="B16" s="56" t="s">
        <v>133</v>
      </c>
      <c r="C16" s="31" t="s">
        <v>134</v>
      </c>
      <c r="D16" s="32"/>
      <c r="E16" s="32"/>
      <c r="F16" s="32"/>
      <c r="G16" s="23"/>
      <c r="H16" s="55"/>
      <c r="I16" s="23"/>
      <c r="J16" s="23"/>
      <c r="K16" s="23"/>
      <c r="L16" s="23"/>
      <c r="M16" s="23"/>
      <c r="N16" s="23"/>
      <c r="O16" s="23"/>
      <c r="P16" s="32"/>
      <c r="Q16" s="32"/>
      <c r="R16" s="44" t="s">
        <v>135</v>
      </c>
      <c r="S16" s="58" t="s">
        <v>136</v>
      </c>
      <c r="T16" s="226" t="s">
        <v>133</v>
      </c>
      <c r="U16" s="227"/>
    </row>
    <row r="17" spans="1:22">
      <c r="A17" s="31"/>
      <c r="B17" s="32"/>
      <c r="C17" s="31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4"/>
      <c r="R17" s="23">
        <f>SUM(R18:R23)</f>
        <v>2244.7700000000004</v>
      </c>
      <c r="S17">
        <f>SUM(S18:S23)</f>
        <v>0</v>
      </c>
      <c r="T17" s="228">
        <f>S17+R17</f>
        <v>2244.7700000000004</v>
      </c>
      <c r="U17" s="229"/>
    </row>
    <row r="18" spans="1:22" ht="43.5">
      <c r="A18" s="31"/>
      <c r="B18" s="56" t="s">
        <v>34</v>
      </c>
      <c r="C18" s="32"/>
      <c r="D18" s="36"/>
      <c r="E18" s="54">
        <v>1.4E-2</v>
      </c>
      <c r="F18" s="53">
        <v>8.0000000000000002E-3</v>
      </c>
      <c r="G18" s="53">
        <v>2.1000000000000001E-2</v>
      </c>
      <c r="H18" s="53">
        <v>2.3E-2</v>
      </c>
      <c r="I18" s="53">
        <v>2.1000000000000001E-2</v>
      </c>
      <c r="J18" s="53">
        <v>6.0000000000000001E-3</v>
      </c>
      <c r="K18" s="53">
        <v>1.6E-2</v>
      </c>
      <c r="L18" s="53">
        <v>0.03</v>
      </c>
      <c r="M18" s="53">
        <v>1.9E-2</v>
      </c>
      <c r="N18" s="54">
        <v>2.1999999999999999E-2</v>
      </c>
      <c r="O18" s="54">
        <v>2.3E-2</v>
      </c>
      <c r="P18" s="53">
        <v>2.5000000000000001E-2</v>
      </c>
      <c r="Q18" s="34"/>
      <c r="R18" s="23">
        <f t="shared" ref="R18:R23" si="4">G18*$G$10+H18*$H$10+I18*$I$10+J18*$J$10+K18*$K$10+L18*$L$10+M18*$M$10+N18*$N$10+O18*$O$10+P18*$P$10+$E$10*E18+$F$10*F18</f>
        <v>44.71828</v>
      </c>
      <c r="S18" s="51"/>
      <c r="T18" s="230">
        <f t="shared" ref="T18:T23" si="5">(R18+S18)/$T$17</f>
        <v>1.992109659341491E-2</v>
      </c>
      <c r="U18" s="231"/>
      <c r="V18" s="48"/>
    </row>
    <row r="19" spans="1:22" ht="43.5">
      <c r="A19" s="31"/>
      <c r="B19" s="56" t="s">
        <v>35</v>
      </c>
      <c r="C19" s="32"/>
      <c r="D19" s="36"/>
      <c r="E19" s="54">
        <v>0.106</v>
      </c>
      <c r="F19" s="53">
        <v>7.0000000000000007E-2</v>
      </c>
      <c r="G19" s="53">
        <v>5.7000000000000002E-2</v>
      </c>
      <c r="H19" s="53">
        <v>7.0000000000000007E-2</v>
      </c>
      <c r="I19" s="53">
        <v>7.2999999999999995E-2</v>
      </c>
      <c r="J19" s="53">
        <v>0.06</v>
      </c>
      <c r="K19" s="53">
        <v>6.5000000000000002E-2</v>
      </c>
      <c r="L19" s="53">
        <v>4.1000000000000002E-2</v>
      </c>
      <c r="M19" s="53">
        <v>4.4999999999999998E-2</v>
      </c>
      <c r="N19" s="54">
        <v>4.5999999999999999E-2</v>
      </c>
      <c r="O19" s="54">
        <v>4.2000000000000003E-2</v>
      </c>
      <c r="P19" s="53">
        <v>6.8000000000000005E-2</v>
      </c>
      <c r="Q19" s="34"/>
      <c r="R19" s="23">
        <f t="shared" si="4"/>
        <v>133.95819000000003</v>
      </c>
      <c r="S19" s="51"/>
      <c r="T19" s="230">
        <f t="shared" si="5"/>
        <v>5.9675686150474215E-2</v>
      </c>
      <c r="U19" s="231"/>
      <c r="V19" s="48"/>
    </row>
    <row r="20" spans="1:22">
      <c r="A20" s="31"/>
      <c r="B20" s="56" t="s">
        <v>36</v>
      </c>
      <c r="C20" s="32"/>
      <c r="D20" s="36"/>
      <c r="E20" s="54">
        <v>4.5999999999999999E-2</v>
      </c>
      <c r="F20" s="53">
        <v>3.9E-2</v>
      </c>
      <c r="G20" s="53">
        <v>5.7000000000000002E-2</v>
      </c>
      <c r="H20" s="53">
        <v>3.7999999999999999E-2</v>
      </c>
      <c r="I20" s="53">
        <v>5.2999999999999999E-2</v>
      </c>
      <c r="J20" s="53">
        <v>7.3999999999999996E-2</v>
      </c>
      <c r="K20" s="53">
        <v>2.5000000000000001E-2</v>
      </c>
      <c r="L20" s="53">
        <v>8.5000000000000006E-2</v>
      </c>
      <c r="M20" s="53">
        <v>3.2000000000000001E-2</v>
      </c>
      <c r="N20" s="54">
        <v>4.9000000000000002E-2</v>
      </c>
      <c r="O20" s="54">
        <v>0.06</v>
      </c>
      <c r="P20" s="53">
        <v>8.8999999999999996E-2</v>
      </c>
      <c r="Q20" s="34"/>
      <c r="R20" s="23">
        <f t="shared" si="4"/>
        <v>126.60466</v>
      </c>
      <c r="S20" s="51"/>
      <c r="T20" s="230">
        <f t="shared" si="5"/>
        <v>5.639983606338287E-2</v>
      </c>
      <c r="U20" s="231"/>
      <c r="V20" s="48"/>
    </row>
    <row r="21" spans="1:22" ht="58">
      <c r="A21" s="31"/>
      <c r="B21" s="56" t="s">
        <v>37</v>
      </c>
      <c r="C21" s="32"/>
      <c r="D21" s="36"/>
      <c r="E21" s="54">
        <v>0.69599999999999995</v>
      </c>
      <c r="F21" s="53">
        <v>0.75600000000000001</v>
      </c>
      <c r="G21" s="53">
        <v>0.55200000000000005</v>
      </c>
      <c r="H21" s="53">
        <v>0.72899999999999998</v>
      </c>
      <c r="I21" s="53">
        <v>0.504</v>
      </c>
      <c r="J21" s="53">
        <v>0.60599999999999998</v>
      </c>
      <c r="K21" s="53">
        <v>0.64700000000000002</v>
      </c>
      <c r="L21" s="53">
        <v>0.495</v>
      </c>
      <c r="M21" s="53">
        <v>0.51200000000000001</v>
      </c>
      <c r="N21" s="54">
        <v>0.46400000000000002</v>
      </c>
      <c r="O21" s="54">
        <v>0.56100000000000005</v>
      </c>
      <c r="P21" s="53">
        <v>0.54600000000000004</v>
      </c>
      <c r="Q21" s="34"/>
      <c r="R21" s="23">
        <f t="shared" si="4"/>
        <v>1288.0015700000001</v>
      </c>
      <c r="S21" s="51"/>
      <c r="T21" s="230">
        <f t="shared" si="5"/>
        <v>0.57377885930407113</v>
      </c>
      <c r="U21" s="231"/>
      <c r="V21" s="48"/>
    </row>
    <row r="22" spans="1:22" ht="43.5">
      <c r="A22" s="31"/>
      <c r="B22" s="56" t="s">
        <v>38</v>
      </c>
      <c r="C22" s="32"/>
      <c r="D22" s="36"/>
      <c r="E22" s="54">
        <v>3.0000000000000001E-3</v>
      </c>
      <c r="F22" s="53">
        <v>1E-3</v>
      </c>
      <c r="G22" s="53">
        <v>0.223</v>
      </c>
      <c r="H22" s="53">
        <v>1.2E-2</v>
      </c>
      <c r="I22" s="53">
        <v>0.183</v>
      </c>
      <c r="J22" s="53">
        <v>0.16300000000000001</v>
      </c>
      <c r="K22" s="53">
        <v>0.14099999999999999</v>
      </c>
      <c r="L22" s="53">
        <v>0.188</v>
      </c>
      <c r="M22" s="53">
        <v>0.26400000000000001</v>
      </c>
      <c r="N22" s="54">
        <v>0.30499999999999999</v>
      </c>
      <c r="O22" s="54">
        <v>0.222</v>
      </c>
      <c r="P22" s="53">
        <v>0.11799999999999999</v>
      </c>
      <c r="Q22" s="34"/>
      <c r="R22" s="23">
        <f t="shared" si="4"/>
        <v>369.67279000000002</v>
      </c>
      <c r="S22" s="51"/>
      <c r="T22" s="230">
        <f t="shared" si="5"/>
        <v>0.16468181149961908</v>
      </c>
      <c r="U22" s="231"/>
      <c r="V22" s="48"/>
    </row>
    <row r="23" spans="1:22" ht="72.5">
      <c r="A23" s="31"/>
      <c r="B23" s="56" t="s">
        <v>39</v>
      </c>
      <c r="C23" s="32"/>
      <c r="D23" s="36"/>
      <c r="E23" s="54">
        <v>0.13500000000000001</v>
      </c>
      <c r="F23" s="53">
        <v>0.126</v>
      </c>
      <c r="G23" s="74">
        <v>0.09</v>
      </c>
      <c r="H23" s="53">
        <v>0.128</v>
      </c>
      <c r="I23" s="53">
        <v>0.16600000000000001</v>
      </c>
      <c r="J23" s="53">
        <v>9.0999999999999998E-2</v>
      </c>
      <c r="K23" s="53">
        <v>0.106</v>
      </c>
      <c r="L23" s="53">
        <v>0.161</v>
      </c>
      <c r="M23" s="53">
        <v>0.128</v>
      </c>
      <c r="N23" s="54">
        <v>0.114</v>
      </c>
      <c r="O23" s="54">
        <v>9.1999999999999998E-2</v>
      </c>
      <c r="P23" s="53">
        <v>0.154</v>
      </c>
      <c r="Q23" s="34"/>
      <c r="R23" s="23">
        <f t="shared" si="4"/>
        <v>281.81451000000004</v>
      </c>
      <c r="S23" s="51"/>
      <c r="T23" s="230">
        <f t="shared" si="5"/>
        <v>0.12554271038903764</v>
      </c>
      <c r="U23" s="231"/>
      <c r="V23" s="48"/>
    </row>
    <row r="24" spans="1:22">
      <c r="A24" s="59"/>
      <c r="B24" s="60"/>
      <c r="C24" s="60"/>
      <c r="D24" s="72"/>
      <c r="E24" s="76">
        <f>E23+E22+E21+E20+E19+E18</f>
        <v>1</v>
      </c>
      <c r="F24" s="76">
        <f>F23+F22+F21+F20+F19+F18</f>
        <v>1</v>
      </c>
      <c r="G24" s="194">
        <f t="shared" ref="G24:P24" si="6">G23+G22+G20+G21+G19+G18</f>
        <v>1</v>
      </c>
      <c r="H24" s="76">
        <f t="shared" si="6"/>
        <v>1</v>
      </c>
      <c r="I24" s="76">
        <f t="shared" si="6"/>
        <v>0.99999999999999989</v>
      </c>
      <c r="J24" s="76">
        <f t="shared" si="6"/>
        <v>1</v>
      </c>
      <c r="K24" s="76">
        <f t="shared" si="6"/>
        <v>1</v>
      </c>
      <c r="L24" s="76">
        <f t="shared" si="6"/>
        <v>1</v>
      </c>
      <c r="M24" s="76">
        <f t="shared" si="6"/>
        <v>1</v>
      </c>
      <c r="N24" s="76">
        <f t="shared" si="6"/>
        <v>1</v>
      </c>
      <c r="O24" s="76">
        <f t="shared" si="6"/>
        <v>1</v>
      </c>
      <c r="P24" s="76">
        <f t="shared" si="6"/>
        <v>1</v>
      </c>
      <c r="Q24" s="62"/>
      <c r="R24" s="63"/>
      <c r="T24" s="122"/>
      <c r="U24" s="122"/>
      <c r="V24" s="48"/>
    </row>
    <row r="25" spans="1:22">
      <c r="A25" s="43"/>
      <c r="B25" s="68" t="s">
        <v>141</v>
      </c>
      <c r="C25" s="32"/>
      <c r="D25" s="37"/>
      <c r="E25" s="37"/>
      <c r="F25" s="37"/>
      <c r="G25" s="7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23"/>
      <c r="T25" s="112"/>
      <c r="U25" s="112"/>
    </row>
    <row r="26" spans="1:22">
      <c r="A26" s="31"/>
      <c r="B26" s="33" t="s">
        <v>132</v>
      </c>
      <c r="C26" s="32"/>
      <c r="D26" s="37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34"/>
      <c r="R26" s="23"/>
      <c r="T26" s="112"/>
      <c r="U26" s="112"/>
    </row>
    <row r="27" spans="1:22" ht="116">
      <c r="A27" s="31"/>
      <c r="B27" s="56" t="s">
        <v>133</v>
      </c>
      <c r="C27" s="32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4"/>
      <c r="R27" s="44" t="s">
        <v>135</v>
      </c>
      <c r="S27" s="58" t="s">
        <v>136</v>
      </c>
      <c r="T27" s="226" t="s">
        <v>133</v>
      </c>
      <c r="U27" s="227"/>
    </row>
    <row r="28" spans="1:22">
      <c r="A28" s="31"/>
      <c r="B28" s="32"/>
      <c r="C28" s="32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4"/>
      <c r="R28" s="23">
        <f>SUM(R29:R34)</f>
        <v>883.60958999999991</v>
      </c>
      <c r="S28">
        <f>SUM(S29:S34)</f>
        <v>0</v>
      </c>
      <c r="T28" s="228">
        <f>S28+R28</f>
        <v>883.60958999999991</v>
      </c>
      <c r="U28" s="229"/>
    </row>
    <row r="29" spans="1:22" ht="43.5">
      <c r="A29" s="31"/>
      <c r="B29" s="56" t="s">
        <v>34</v>
      </c>
      <c r="C29" s="32"/>
      <c r="D29" s="37"/>
      <c r="E29" s="53">
        <v>2.9000000000000001E-2</v>
      </c>
      <c r="F29" s="53">
        <v>3.6999999999999998E-2</v>
      </c>
      <c r="G29" s="53">
        <v>1.4E-2</v>
      </c>
      <c r="H29" s="53">
        <v>0.01</v>
      </c>
      <c r="I29" s="53">
        <v>3.5000000000000003E-2</v>
      </c>
      <c r="J29" s="53">
        <v>3.4000000000000002E-2</v>
      </c>
      <c r="K29" s="53">
        <v>8.0000000000000002E-3</v>
      </c>
      <c r="L29" s="53">
        <v>1.7000000000000001E-2</v>
      </c>
      <c r="M29" s="53">
        <v>0.02</v>
      </c>
      <c r="N29" s="53">
        <v>0.01</v>
      </c>
      <c r="O29" s="53">
        <v>3.2000000000000001E-2</v>
      </c>
      <c r="P29" s="53">
        <v>1.2E-2</v>
      </c>
      <c r="Q29" s="34"/>
      <c r="R29" s="23">
        <f t="shared" ref="R29:R34" si="7">G29*$G$11+H29*$H$11+I29*$I$11+J29*$J$11+K29*$K$11+L29*$L$11+M29*$M$11+N29*$N$11+O29*$O$11+P29*$P$11+$E$11*E29+$F$11*F29</f>
        <v>18.609079999999999</v>
      </c>
      <c r="S29" s="51"/>
      <c r="T29" s="230">
        <f t="shared" ref="T29:T34" si="8">(R29+S29)/$T$28</f>
        <v>2.1060296550199281E-2</v>
      </c>
      <c r="U29" s="231"/>
    </row>
    <row r="30" spans="1:22" ht="43.5">
      <c r="A30" s="31"/>
      <c r="B30" s="56" t="s">
        <v>35</v>
      </c>
      <c r="C30" s="32"/>
      <c r="D30" s="37"/>
      <c r="E30" s="53">
        <v>5.8000000000000003E-2</v>
      </c>
      <c r="F30" s="53">
        <v>0.11</v>
      </c>
      <c r="G30" s="53">
        <v>6.8000000000000005E-2</v>
      </c>
      <c r="H30" s="53">
        <v>0.09</v>
      </c>
      <c r="I30" s="53">
        <v>7.0000000000000007E-2</v>
      </c>
      <c r="J30" s="53">
        <v>3.2000000000000001E-2</v>
      </c>
      <c r="K30" s="53">
        <v>9.6000000000000002E-2</v>
      </c>
      <c r="L30" s="53">
        <v>6.6000000000000003E-2</v>
      </c>
      <c r="M30" s="53">
        <v>6.0999999999999999E-2</v>
      </c>
      <c r="N30" s="53">
        <v>6.3E-2</v>
      </c>
      <c r="O30" s="53">
        <v>0.10199999999999999</v>
      </c>
      <c r="P30" s="53">
        <v>9.9000000000000005E-2</v>
      </c>
      <c r="Q30" s="34"/>
      <c r="R30" s="23">
        <f t="shared" si="7"/>
        <v>66.933610000000002</v>
      </c>
      <c r="S30" s="51"/>
      <c r="T30" s="230">
        <f t="shared" si="8"/>
        <v>7.575020773597535E-2</v>
      </c>
      <c r="U30" s="231"/>
    </row>
    <row r="31" spans="1:22">
      <c r="A31" s="31"/>
      <c r="B31" s="56" t="s">
        <v>36</v>
      </c>
      <c r="C31" s="32"/>
      <c r="D31" s="37"/>
      <c r="E31" s="53">
        <v>4.3999999999999997E-2</v>
      </c>
      <c r="F31" s="53">
        <v>5.0999999999999997E-2</v>
      </c>
      <c r="G31" s="53">
        <v>8.6999999999999994E-2</v>
      </c>
      <c r="H31" s="53">
        <v>8.1000000000000003E-2</v>
      </c>
      <c r="I31" s="53">
        <v>9.0999999999999998E-2</v>
      </c>
      <c r="J31" s="53">
        <v>4.7E-2</v>
      </c>
      <c r="K31" s="53">
        <v>7.4999999999999997E-2</v>
      </c>
      <c r="L31" s="53">
        <v>7.0000000000000007E-2</v>
      </c>
      <c r="M31" s="53">
        <v>7.0999999999999994E-2</v>
      </c>
      <c r="N31" s="53">
        <v>4.9000000000000002E-2</v>
      </c>
      <c r="O31" s="53">
        <v>6.4000000000000001E-2</v>
      </c>
      <c r="P31" s="53">
        <v>9.5000000000000001E-2</v>
      </c>
      <c r="Q31" s="34"/>
      <c r="R31" s="23">
        <f t="shared" si="7"/>
        <v>60.192070000000001</v>
      </c>
      <c r="S31" s="51"/>
      <c r="T31" s="230">
        <f t="shared" si="8"/>
        <v>6.8120661750626782E-2</v>
      </c>
      <c r="U31" s="231"/>
    </row>
    <row r="32" spans="1:22" ht="58">
      <c r="A32" s="31"/>
      <c r="B32" s="56" t="s">
        <v>37</v>
      </c>
      <c r="C32" s="32"/>
      <c r="D32" s="37"/>
      <c r="E32" s="53">
        <v>0.46800000000000003</v>
      </c>
      <c r="F32" s="53">
        <v>0.50800000000000001</v>
      </c>
      <c r="G32" s="53">
        <v>0.60399999999999998</v>
      </c>
      <c r="H32" s="53">
        <v>0.48199999999999998</v>
      </c>
      <c r="I32" s="53">
        <v>0.38</v>
      </c>
      <c r="J32" s="53">
        <v>0.48</v>
      </c>
      <c r="K32" s="53">
        <v>0.496</v>
      </c>
      <c r="L32" s="53">
        <v>0.53400000000000003</v>
      </c>
      <c r="M32" s="53">
        <v>0.51400000000000001</v>
      </c>
      <c r="N32" s="53">
        <v>0.56899999999999995</v>
      </c>
      <c r="O32" s="53">
        <v>0.42199999999999999</v>
      </c>
      <c r="P32" s="53">
        <v>0.51400000000000001</v>
      </c>
      <c r="Q32" s="34"/>
      <c r="R32" s="23">
        <f t="shared" si="7"/>
        <v>436.91557</v>
      </c>
      <c r="S32" s="51"/>
      <c r="T32" s="230">
        <f t="shared" si="8"/>
        <v>0.49446675878653606</v>
      </c>
      <c r="U32" s="231"/>
    </row>
    <row r="33" spans="1:22" ht="43.5">
      <c r="A33" s="31"/>
      <c r="B33" s="56" t="s">
        <v>38</v>
      </c>
      <c r="C33" s="32"/>
      <c r="D33" s="37"/>
      <c r="E33" s="53">
        <v>0.23400000000000001</v>
      </c>
      <c r="F33" s="53">
        <v>0.16900000000000001</v>
      </c>
      <c r="G33" s="53">
        <v>9.8000000000000004E-2</v>
      </c>
      <c r="H33" s="53">
        <v>0.17899999999999999</v>
      </c>
      <c r="I33" s="53">
        <v>0.29199999999999998</v>
      </c>
      <c r="J33" s="53">
        <v>0.29599999999999999</v>
      </c>
      <c r="K33" s="53">
        <v>0.20899999999999999</v>
      </c>
      <c r="L33" s="53">
        <v>0.186</v>
      </c>
      <c r="M33" s="53">
        <v>0.19900000000000001</v>
      </c>
      <c r="N33" s="53">
        <v>0.19</v>
      </c>
      <c r="O33" s="53">
        <v>0.216</v>
      </c>
      <c r="P33" s="53">
        <v>8.7999999999999995E-2</v>
      </c>
      <c r="Q33" s="34"/>
      <c r="R33" s="23">
        <f t="shared" si="7"/>
        <v>176.68584999999999</v>
      </c>
      <c r="S33" s="51"/>
      <c r="T33" s="230">
        <f t="shared" si="8"/>
        <v>0.1999591810677383</v>
      </c>
      <c r="U33" s="231"/>
    </row>
    <row r="34" spans="1:22" ht="72.5">
      <c r="A34" s="31"/>
      <c r="B34" s="56" t="s">
        <v>39</v>
      </c>
      <c r="C34" s="32"/>
      <c r="D34" s="36"/>
      <c r="E34" s="53">
        <v>0.16700000000000001</v>
      </c>
      <c r="F34" s="53">
        <v>0.125</v>
      </c>
      <c r="G34" s="53">
        <v>0.129</v>
      </c>
      <c r="H34" s="53">
        <v>0.157</v>
      </c>
      <c r="I34" s="53">
        <v>0.13200000000000001</v>
      </c>
      <c r="J34" s="53">
        <v>0.111</v>
      </c>
      <c r="K34" s="53">
        <v>0.11600000000000001</v>
      </c>
      <c r="L34" s="53">
        <v>0.127</v>
      </c>
      <c r="M34" s="53">
        <v>0.13500000000000001</v>
      </c>
      <c r="N34" s="53">
        <v>0.11899999999999999</v>
      </c>
      <c r="O34" s="53">
        <v>0.16400000000000001</v>
      </c>
      <c r="P34" s="53">
        <v>0.192</v>
      </c>
      <c r="Q34" s="34"/>
      <c r="R34" s="23">
        <f t="shared" si="7"/>
        <v>124.27340999999998</v>
      </c>
      <c r="S34" s="51"/>
      <c r="T34" s="230">
        <f t="shared" si="8"/>
        <v>0.14064289410892428</v>
      </c>
      <c r="U34" s="231"/>
      <c r="V34" s="48"/>
    </row>
    <row r="35" spans="1:22">
      <c r="A35" s="59"/>
      <c r="B35" s="60"/>
      <c r="C35" s="60"/>
      <c r="D35" s="61"/>
      <c r="E35" s="64">
        <f>E29+E30+E31+E32+E33+E34</f>
        <v>1</v>
      </c>
      <c r="F35" s="64">
        <f>F29+F30+F31+F32+F33+F34</f>
        <v>1</v>
      </c>
      <c r="G35" s="64">
        <f t="shared" ref="G35:P35" si="9">G29+G30+G32+G31+G33+G34</f>
        <v>0.99999999999999989</v>
      </c>
      <c r="H35" s="64">
        <f t="shared" si="9"/>
        <v>0.99899999999999989</v>
      </c>
      <c r="I35" s="64">
        <f t="shared" si="9"/>
        <v>0.99999999999999989</v>
      </c>
      <c r="J35" s="64">
        <f t="shared" si="9"/>
        <v>1</v>
      </c>
      <c r="K35" s="64">
        <f t="shared" si="9"/>
        <v>0.99999999999999989</v>
      </c>
      <c r="L35" s="64">
        <f t="shared" si="9"/>
        <v>1</v>
      </c>
      <c r="M35" s="64">
        <f t="shared" si="9"/>
        <v>1</v>
      </c>
      <c r="N35" s="64">
        <f t="shared" si="9"/>
        <v>1</v>
      </c>
      <c r="O35" s="64">
        <f t="shared" si="9"/>
        <v>1</v>
      </c>
      <c r="P35" s="64">
        <f t="shared" si="9"/>
        <v>1</v>
      </c>
      <c r="Q35" s="66"/>
      <c r="R35" s="63"/>
      <c r="S35" s="67"/>
      <c r="T35" s="122"/>
      <c r="U35" s="122"/>
      <c r="V35" s="48"/>
    </row>
    <row r="36" spans="1:22">
      <c r="A36" s="43" t="s">
        <v>143</v>
      </c>
      <c r="B36" s="68" t="s">
        <v>144</v>
      </c>
      <c r="C36" s="3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23"/>
      <c r="T36" s="112"/>
      <c r="U36" s="112"/>
    </row>
    <row r="37" spans="1:22">
      <c r="A37" s="232"/>
      <c r="B37" s="233" t="s">
        <v>132</v>
      </c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6"/>
      <c r="R37" s="237"/>
      <c r="T37" s="112"/>
      <c r="U37" s="112"/>
    </row>
    <row r="38" spans="1:22" ht="116">
      <c r="A38" s="244"/>
      <c r="B38" s="245" t="s">
        <v>133</v>
      </c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8"/>
      <c r="R38" s="249" t="s">
        <v>135</v>
      </c>
      <c r="S38" s="250" t="s">
        <v>136</v>
      </c>
      <c r="T38" s="251" t="s">
        <v>133</v>
      </c>
      <c r="U38" s="212"/>
    </row>
    <row r="39" spans="1:22" ht="27" customHeight="1">
      <c r="A39" s="244"/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8"/>
      <c r="R39" s="252">
        <f t="shared" ref="R39:S41" si="10">R28+R17</f>
        <v>3128.3795900000005</v>
      </c>
      <c r="S39" s="248">
        <f t="shared" si="10"/>
        <v>0</v>
      </c>
      <c r="T39" s="253">
        <f>S39+R39</f>
        <v>3128.3795900000005</v>
      </c>
      <c r="U39" s="123"/>
    </row>
    <row r="40" spans="1:22" ht="43.5">
      <c r="A40" s="244"/>
      <c r="B40" s="245" t="s">
        <v>34</v>
      </c>
      <c r="C40" s="246"/>
      <c r="D40" s="247"/>
      <c r="E40" s="254">
        <f>((E$10*E18)+(E$11*E29))/E$12</f>
        <v>1.8015029188920631E-2</v>
      </c>
      <c r="F40" s="254">
        <f t="shared" ref="F40:P40" si="11">((F$10*F18)+(F$11*F29))/F$12</f>
        <v>1.6329435253850541E-2</v>
      </c>
      <c r="G40" s="254">
        <f t="shared" si="11"/>
        <v>1.9938617886178862E-2</v>
      </c>
      <c r="H40" s="254">
        <f t="shared" si="11"/>
        <v>1.9150909180022543E-2</v>
      </c>
      <c r="I40" s="254">
        <f t="shared" si="11"/>
        <v>2.4478559569473861E-2</v>
      </c>
      <c r="J40" s="254">
        <f t="shared" si="11"/>
        <v>1.6733782393735276E-2</v>
      </c>
      <c r="K40" s="254">
        <f t="shared" si="11"/>
        <v>1.4027983164600159E-2</v>
      </c>
      <c r="L40" s="254">
        <f t="shared" si="11"/>
        <v>2.6261405672009863E-2</v>
      </c>
      <c r="M40" s="254">
        <f t="shared" si="11"/>
        <v>1.9292534210982159E-2</v>
      </c>
      <c r="N40" s="254">
        <f t="shared" ref="N40:O45" si="12">((N$10*N18)+(N$11*N29))/N$12</f>
        <v>1.905542273418822E-2</v>
      </c>
      <c r="O40" s="254">
        <f t="shared" si="12"/>
        <v>2.646251768033946E-2</v>
      </c>
      <c r="P40" s="254">
        <f t="shared" si="11"/>
        <v>2.1775373236542939E-2</v>
      </c>
      <c r="Q40" s="248"/>
      <c r="R40" s="252">
        <f t="shared" si="10"/>
        <v>63.327359999999999</v>
      </c>
      <c r="S40" s="248">
        <f t="shared" si="10"/>
        <v>0</v>
      </c>
      <c r="T40" s="256">
        <f t="shared" ref="T40:T45" si="13">(R40+S40)/$T$39</f>
        <v>2.0242863175053506E-2</v>
      </c>
      <c r="U40" s="213"/>
    </row>
    <row r="41" spans="1:22" ht="43.5">
      <c r="A41" s="244"/>
      <c r="B41" s="245" t="s">
        <v>35</v>
      </c>
      <c r="C41" s="246"/>
      <c r="D41" s="247"/>
      <c r="E41" s="254">
        <f t="shared" ref="E41:P45" si="14">((E$10*E19)+(E$11*E30))/E$12</f>
        <v>9.3151906595453984E-2</v>
      </c>
      <c r="F41" s="254">
        <f t="shared" si="14"/>
        <v>8.1488876212207642E-2</v>
      </c>
      <c r="G41" s="254">
        <f t="shared" si="14"/>
        <v>5.8667886178861796E-2</v>
      </c>
      <c r="H41" s="254">
        <f t="shared" si="14"/>
        <v>7.5921678184580704E-2</v>
      </c>
      <c r="I41" s="254">
        <f t="shared" si="14"/>
        <v>7.2254594377969883E-2</v>
      </c>
      <c r="J41" s="254">
        <f t="shared" si="14"/>
        <v>4.9266217606264727E-2</v>
      </c>
      <c r="K41" s="254">
        <f t="shared" si="14"/>
        <v>7.2641565237174396E-2</v>
      </c>
      <c r="L41" s="254">
        <f t="shared" si="14"/>
        <v>4.818960447690411E-2</v>
      </c>
      <c r="M41" s="254">
        <f t="shared" si="14"/>
        <v>4.9680547375714534E-2</v>
      </c>
      <c r="N41" s="254">
        <f t="shared" si="12"/>
        <v>5.0171484459900016E-2</v>
      </c>
      <c r="O41" s="254">
        <f t="shared" si="12"/>
        <v>6.5083451202263082E-2</v>
      </c>
      <c r="P41" s="254">
        <f t="shared" si="14"/>
        <v>7.5689494589782233E-2</v>
      </c>
      <c r="Q41" s="248"/>
      <c r="R41" s="252">
        <f t="shared" si="10"/>
        <v>200.89180000000005</v>
      </c>
      <c r="S41" s="248">
        <f t="shared" si="10"/>
        <v>0</v>
      </c>
      <c r="T41" s="256">
        <f t="shared" si="13"/>
        <v>6.4215928476889214E-2</v>
      </c>
      <c r="U41" s="213"/>
    </row>
    <row r="42" spans="1:22">
      <c r="A42" s="244"/>
      <c r="B42" s="245" t="s">
        <v>36</v>
      </c>
      <c r="C42" s="246"/>
      <c r="D42" s="247"/>
      <c r="E42" s="254">
        <f t="shared" si="14"/>
        <v>4.546466277481058E-2</v>
      </c>
      <c r="F42" s="254">
        <f t="shared" si="14"/>
        <v>4.2446662863662284E-2</v>
      </c>
      <c r="G42" s="254">
        <f t="shared" si="14"/>
        <v>6.1548780487804877E-2</v>
      </c>
      <c r="H42" s="254">
        <f t="shared" si="14"/>
        <v>5.0731608096848506E-2</v>
      </c>
      <c r="I42" s="254">
        <f t="shared" si="14"/>
        <v>6.2441804545714776E-2</v>
      </c>
      <c r="J42" s="254">
        <f t="shared" si="14"/>
        <v>6.3649566977469554E-2</v>
      </c>
      <c r="K42" s="254">
        <f t="shared" si="14"/>
        <v>3.7325105221249009E-2</v>
      </c>
      <c r="L42" s="254">
        <f t="shared" si="14"/>
        <v>8.0686237313857545E-2</v>
      </c>
      <c r="M42" s="254">
        <f t="shared" si="14"/>
        <v>4.3408834228304174E-2</v>
      </c>
      <c r="N42" s="254">
        <f t="shared" si="12"/>
        <v>4.9000000000000002E-2</v>
      </c>
      <c r="O42" s="254">
        <f t="shared" si="12"/>
        <v>6.1538896746817527E-2</v>
      </c>
      <c r="P42" s="254">
        <f t="shared" si="14"/>
        <v>9.0488289275441725E-2</v>
      </c>
      <c r="Q42" s="248"/>
      <c r="R42" s="252">
        <f>R31+R20</f>
        <v>186.79673</v>
      </c>
      <c r="S42" s="248">
        <f t="shared" ref="R42:S45" si="15">S31+S20</f>
        <v>0</v>
      </c>
      <c r="T42" s="256">
        <f t="shared" si="13"/>
        <v>5.9710378688412287E-2</v>
      </c>
      <c r="U42" s="213"/>
    </row>
    <row r="43" spans="1:22" ht="58">
      <c r="A43" s="244"/>
      <c r="B43" s="245" t="s">
        <v>37</v>
      </c>
      <c r="C43" s="246"/>
      <c r="D43" s="247"/>
      <c r="E43" s="254">
        <f t="shared" si="14"/>
        <v>0.63497155632840629</v>
      </c>
      <c r="F43" s="254">
        <f t="shared" si="14"/>
        <v>0.6847689674843126</v>
      </c>
      <c r="G43" s="254">
        <f t="shared" si="14"/>
        <v>0.55988455284552852</v>
      </c>
      <c r="H43" s="254">
        <f t="shared" si="14"/>
        <v>0.65586727442042836</v>
      </c>
      <c r="I43" s="254">
        <f t="shared" si="14"/>
        <v>0.47318990095608865</v>
      </c>
      <c r="J43" s="254">
        <f t="shared" si="14"/>
        <v>0.55769797922819131</v>
      </c>
      <c r="K43" s="254">
        <f t="shared" si="14"/>
        <v>0.609778182231828</v>
      </c>
      <c r="L43" s="254">
        <f t="shared" si="14"/>
        <v>0.50621578298397041</v>
      </c>
      <c r="M43" s="254">
        <f t="shared" si="14"/>
        <v>0.51258506842196438</v>
      </c>
      <c r="N43" s="254">
        <f t="shared" si="12"/>
        <v>0.48976505107585311</v>
      </c>
      <c r="O43" s="254">
        <f t="shared" si="12"/>
        <v>0.50752333804809058</v>
      </c>
      <c r="P43" s="254">
        <f t="shared" si="14"/>
        <v>0.53806245719764423</v>
      </c>
      <c r="Q43" s="248"/>
      <c r="R43" s="252">
        <f>R32+R21</f>
        <v>1724.91714</v>
      </c>
      <c r="S43" s="248">
        <f t="shared" si="15"/>
        <v>0</v>
      </c>
      <c r="T43" s="256">
        <f t="shared" si="13"/>
        <v>0.55137718757460619</v>
      </c>
      <c r="U43" s="213"/>
    </row>
    <row r="44" spans="1:22" ht="43.5">
      <c r="A44" s="244"/>
      <c r="B44" s="245" t="s">
        <v>38</v>
      </c>
      <c r="C44" s="246"/>
      <c r="D44" s="247"/>
      <c r="E44" s="254">
        <f t="shared" si="14"/>
        <v>6.483144950937772E-2</v>
      </c>
      <c r="F44" s="254">
        <f t="shared" si="14"/>
        <v>4.9253280091272111E-2</v>
      </c>
      <c r="G44" s="254">
        <f t="shared" si="14"/>
        <v>0.20404674796747968</v>
      </c>
      <c r="H44" s="254">
        <f t="shared" si="14"/>
        <v>6.1446012841248829E-2</v>
      </c>
      <c r="I44" s="254">
        <f t="shared" si="14"/>
        <v>0.2100830709337608</v>
      </c>
      <c r="J44" s="254">
        <f t="shared" si="14"/>
        <v>0.21398546637024254</v>
      </c>
      <c r="K44" s="254">
        <f t="shared" si="14"/>
        <v>0.15776214310089864</v>
      </c>
      <c r="L44" s="254">
        <f t="shared" si="14"/>
        <v>0.18742483164184767</v>
      </c>
      <c r="M44" s="254">
        <f t="shared" si="14"/>
        <v>0.24498527628615974</v>
      </c>
      <c r="N44" s="254">
        <f t="shared" si="12"/>
        <v>0.27678113453597042</v>
      </c>
      <c r="O44" s="254">
        <f t="shared" si="12"/>
        <v>0.21969165487977368</v>
      </c>
      <c r="P44" s="254">
        <f t="shared" si="14"/>
        <v>0.11055855362279139</v>
      </c>
      <c r="Q44" s="248"/>
      <c r="R44" s="252">
        <f t="shared" si="15"/>
        <v>546.35864000000004</v>
      </c>
      <c r="S44" s="248">
        <f>S33+S22</f>
        <v>0</v>
      </c>
      <c r="T44" s="256">
        <f t="shared" si="13"/>
        <v>0.1746458907181401</v>
      </c>
      <c r="U44" s="213"/>
    </row>
    <row r="45" spans="1:22" ht="72.5">
      <c r="A45" s="244"/>
      <c r="B45" s="245" t="s">
        <v>39</v>
      </c>
      <c r="C45" s="246"/>
      <c r="D45" s="255"/>
      <c r="E45" s="254">
        <f t="shared" si="14"/>
        <v>0.14356539560303067</v>
      </c>
      <c r="F45" s="254">
        <f t="shared" si="14"/>
        <v>0.12571277809469478</v>
      </c>
      <c r="G45" s="254">
        <f t="shared" si="14"/>
        <v>9.5913414634146349E-2</v>
      </c>
      <c r="H45" s="254">
        <f t="shared" si="14"/>
        <v>0.13658643336764201</v>
      </c>
      <c r="I45" s="254">
        <f t="shared" si="14"/>
        <v>0.15755206961699206</v>
      </c>
      <c r="J45" s="254">
        <f t="shared" si="14"/>
        <v>9.8666987424096617E-2</v>
      </c>
      <c r="K45" s="254">
        <f t="shared" si="14"/>
        <v>0.10846502104424979</v>
      </c>
      <c r="L45" s="254">
        <f t="shared" si="14"/>
        <v>0.1512221379114104</v>
      </c>
      <c r="M45" s="254">
        <f t="shared" si="14"/>
        <v>0.13004773947687512</v>
      </c>
      <c r="N45" s="254">
        <f t="shared" si="12"/>
        <v>0.11522690719408825</v>
      </c>
      <c r="O45" s="254">
        <f t="shared" si="12"/>
        <v>0.11970014144271569</v>
      </c>
      <c r="P45" s="254">
        <f t="shared" si="14"/>
        <v>0.16342583207779757</v>
      </c>
      <c r="Q45" s="248"/>
      <c r="R45" s="252">
        <f t="shared" si="15"/>
        <v>406.08792000000005</v>
      </c>
      <c r="S45" s="248">
        <f t="shared" si="15"/>
        <v>0</v>
      </c>
      <c r="T45" s="256">
        <f t="shared" si="13"/>
        <v>0.12980775136689854</v>
      </c>
      <c r="U45" s="213"/>
      <c r="V45" s="48"/>
    </row>
    <row r="46" spans="1:22">
      <c r="A46" s="238"/>
      <c r="B46" s="239"/>
      <c r="C46" s="239"/>
      <c r="D46" s="240"/>
      <c r="E46" s="241">
        <f t="shared" ref="E46:O46" si="16">SUM(E40:E45)</f>
        <v>0.99999999999999978</v>
      </c>
      <c r="F46" s="241">
        <f t="shared" si="16"/>
        <v>1</v>
      </c>
      <c r="G46" s="241">
        <f t="shared" si="16"/>
        <v>1</v>
      </c>
      <c r="H46" s="241">
        <f t="shared" si="16"/>
        <v>0.99970391609077092</v>
      </c>
      <c r="I46" s="241">
        <f t="shared" si="16"/>
        <v>1</v>
      </c>
      <c r="J46" s="241">
        <f t="shared" si="16"/>
        <v>1</v>
      </c>
      <c r="K46" s="241">
        <f t="shared" si="16"/>
        <v>1</v>
      </c>
      <c r="L46" s="241">
        <f t="shared" si="16"/>
        <v>0.99999999999999989</v>
      </c>
      <c r="M46" s="241">
        <f t="shared" si="16"/>
        <v>1.0000000000000002</v>
      </c>
      <c r="N46" s="241">
        <f t="shared" si="16"/>
        <v>1</v>
      </c>
      <c r="O46" s="241">
        <f t="shared" si="16"/>
        <v>1</v>
      </c>
      <c r="P46" s="241">
        <f>SUM(P40:P45)</f>
        <v>1.0000000000000002</v>
      </c>
      <c r="Q46" s="242"/>
      <c r="R46" s="243"/>
      <c r="T46" s="122"/>
      <c r="U46" s="122"/>
      <c r="V46" s="48"/>
    </row>
    <row r="47" spans="1:22" ht="74.25" customHeight="1">
      <c r="A47" s="30" t="s">
        <v>146</v>
      </c>
      <c r="B47" s="38" t="s">
        <v>147</v>
      </c>
      <c r="C47" s="30" t="s">
        <v>148</v>
      </c>
      <c r="D47" s="208">
        <f>SUM(E47:P47)</f>
        <v>249.69</v>
      </c>
      <c r="E47" s="203">
        <v>30.23</v>
      </c>
      <c r="F47" s="203">
        <v>29.17</v>
      </c>
      <c r="G47" s="204">
        <v>17.649999999999999</v>
      </c>
      <c r="H47" s="203">
        <v>16.66</v>
      </c>
      <c r="I47" s="203">
        <v>30.42</v>
      </c>
      <c r="J47" s="203">
        <v>7.4</v>
      </c>
      <c r="K47" s="203">
        <v>17.43</v>
      </c>
      <c r="L47" s="203">
        <v>11.61</v>
      </c>
      <c r="M47" s="203">
        <v>27.44</v>
      </c>
      <c r="N47" s="205">
        <v>14.12</v>
      </c>
      <c r="O47" s="205">
        <v>26.61</v>
      </c>
      <c r="P47" s="206">
        <v>20.95</v>
      </c>
      <c r="Q47" s="202"/>
      <c r="R47" s="201"/>
      <c r="T47" s="112"/>
      <c r="U47" s="112"/>
    </row>
    <row r="48" spans="1:22" ht="46">
      <c r="A48" s="30"/>
      <c r="B48" s="38" t="s">
        <v>149</v>
      </c>
      <c r="C48" s="30"/>
      <c r="D48" s="209">
        <f>SUM(E48:P48)</f>
        <v>311.84999999999997</v>
      </c>
      <c r="E48" s="207">
        <v>9.35</v>
      </c>
      <c r="F48" s="207">
        <v>16.350000000000001</v>
      </c>
      <c r="G48" s="207">
        <v>182.05</v>
      </c>
      <c r="H48" s="203">
        <v>17.600000000000001</v>
      </c>
      <c r="I48" s="203">
        <v>40.4</v>
      </c>
      <c r="J48" s="203">
        <v>8.4499999999999993</v>
      </c>
      <c r="K48" s="203">
        <v>15.15</v>
      </c>
      <c r="L48" s="203">
        <v>7.05</v>
      </c>
      <c r="M48" s="203">
        <v>7.45</v>
      </c>
      <c r="N48" s="203">
        <v>8</v>
      </c>
      <c r="O48" s="203">
        <v>0</v>
      </c>
      <c r="P48" s="206">
        <v>0</v>
      </c>
      <c r="Q48" s="202"/>
      <c r="R48" s="201"/>
      <c r="T48" s="112"/>
      <c r="U48" s="112"/>
    </row>
    <row r="49" spans="1:21">
      <c r="A49" s="30"/>
      <c r="B49" s="30"/>
      <c r="C49" s="30"/>
      <c r="D49" s="39">
        <f>SUM(D47:D48)</f>
        <v>561.54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T49" s="112"/>
      <c r="U49" s="112"/>
    </row>
    <row r="50" spans="1:21" ht="101.5">
      <c r="A50" s="31" t="s">
        <v>150</v>
      </c>
      <c r="B50" s="43" t="s">
        <v>151</v>
      </c>
      <c r="C50" s="31" t="s">
        <v>152</v>
      </c>
      <c r="D50" s="81">
        <f>SUM(E50:P50)</f>
        <v>823</v>
      </c>
      <c r="E50" s="32">
        <v>8</v>
      </c>
      <c r="F50" s="32">
        <v>13</v>
      </c>
      <c r="G50" s="218">
        <v>95</v>
      </c>
      <c r="H50" s="218">
        <v>75</v>
      </c>
      <c r="I50" s="219">
        <v>107</v>
      </c>
      <c r="J50" s="218">
        <v>130</v>
      </c>
      <c r="K50" s="32">
        <v>6</v>
      </c>
      <c r="L50" s="218">
        <v>62</v>
      </c>
      <c r="M50" s="218">
        <v>112</v>
      </c>
      <c r="N50" s="218">
        <v>95</v>
      </c>
      <c r="O50" s="32">
        <v>26</v>
      </c>
      <c r="P50" s="218">
        <v>94</v>
      </c>
      <c r="T50" s="112"/>
      <c r="U50" s="112"/>
    </row>
    <row r="54" spans="1:21">
      <c r="Q54" s="193"/>
      <c r="R54" s="192"/>
    </row>
    <row r="56" spans="1:21">
      <c r="K56" s="215"/>
    </row>
    <row r="57" spans="1:21">
      <c r="J57" s="216"/>
      <c r="L57" s="217"/>
    </row>
  </sheetData>
  <mergeCells count="2">
    <mergeCell ref="E1:P1"/>
    <mergeCell ref="V4:AG4"/>
  </mergeCells>
  <printOptions horizontalCentered="1" verticalCentered="1"/>
  <pageMargins left="0.23622047244094491" right="0.23622047244094491" top="0" bottom="0" header="0" footer="0"/>
  <pageSetup paperSize="9" scale="50" fitToHeight="0" orientation="landscape" verticalDpi="1200" r:id="rId1"/>
  <rowBreaks count="1" manualBreakCount="1">
    <brk id="24" max="16383" man="1"/>
  </rowBreaks>
  <colBreaks count="1" manualBreakCount="1">
    <brk id="21" max="1048575" man="1"/>
  </colBreaks>
  <ignoredErrors>
    <ignoredError sqref="D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5A9D88B9C4349B0C5E5B033594ED0" ma:contentTypeVersion="15" ma:contentTypeDescription="Crée un document." ma:contentTypeScope="" ma:versionID="cd9e3552f500218cec1a98e21fb0cf7c">
  <xsd:schema xmlns:xsd="http://www.w3.org/2001/XMLSchema" xmlns:xs="http://www.w3.org/2001/XMLSchema" xmlns:p="http://schemas.microsoft.com/office/2006/metadata/properties" xmlns:ns2="172fc981-c626-43d8-a844-afd709018c30" xmlns:ns3="48bdfb2c-49f3-4a26-a295-72a0eee9fc67" targetNamespace="http://schemas.microsoft.com/office/2006/metadata/properties" ma:root="true" ma:fieldsID="a75433113e13d22c74f14df2fdea8ca2" ns2:_="" ns3:_="">
    <xsd:import namespace="172fc981-c626-43d8-a844-afd709018c30"/>
    <xsd:import namespace="48bdfb2c-49f3-4a26-a295-72a0eee9f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fc981-c626-43d8-a844-afd709018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e95c364-a049-41b8-8aa1-3817c7a375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fb2c-49f3-4a26-a295-72a0eee9fc6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4e85db-1314-4033-96cd-5257b86e0724}" ma:internalName="TaxCatchAll" ma:showField="CatchAllData" ma:web="48bdfb2c-49f3-4a26-a295-72a0eee9f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2fc981-c626-43d8-a844-afd709018c30">
      <Terms xmlns="http://schemas.microsoft.com/office/infopath/2007/PartnerControls"/>
    </lcf76f155ced4ddcb4097134ff3c332f>
    <TaxCatchAll xmlns="48bdfb2c-49f3-4a26-a295-72a0eee9fc67" xsi:nil="true"/>
  </documentManagement>
</p:properties>
</file>

<file path=customXml/itemProps1.xml><?xml version="1.0" encoding="utf-8"?>
<ds:datastoreItem xmlns:ds="http://schemas.openxmlformats.org/officeDocument/2006/customXml" ds:itemID="{49E3523D-6032-465A-A5CA-847966A859BA}"/>
</file>

<file path=customXml/itemProps2.xml><?xml version="1.0" encoding="utf-8"?>
<ds:datastoreItem xmlns:ds="http://schemas.openxmlformats.org/officeDocument/2006/customXml" ds:itemID="{12A21B00-6591-4E2C-9AED-DDEA542BC2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857EC-35CF-450C-90AB-F5E6482F921D}">
  <ds:schemaRefs>
    <ds:schemaRef ds:uri="http://schemas.microsoft.com/office/2006/metadata/properties"/>
    <ds:schemaRef ds:uri="http://schemas.microsoft.com/office/infopath/2007/PartnerControls"/>
    <ds:schemaRef ds:uri="172fc981-c626-43d8-a844-afd709018c30"/>
    <ds:schemaRef ds:uri="48bdfb2c-49f3-4a26-a295-72a0eee9fc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Introduction</vt:lpstr>
      <vt:lpstr>Monitored Datas</vt:lpstr>
      <vt:lpstr>BECH4y</vt:lpstr>
      <vt:lpstr>PEy</vt:lpstr>
      <vt:lpstr>Emission reductions</vt:lpstr>
      <vt:lpstr>Year1.2017</vt:lpstr>
      <vt:lpstr>Year2.2018</vt:lpstr>
      <vt:lpstr>Year3.2019</vt:lpstr>
      <vt:lpstr>Year4. 2020</vt:lpstr>
      <vt:lpstr>Year5.2021</vt:lpstr>
      <vt:lpstr>Year6.2022</vt:lpstr>
      <vt:lpstr>Year7.2023</vt:lpstr>
      <vt:lpstr>Year4</vt:lpstr>
      <vt:lpstr>Year6</vt:lpstr>
      <vt:lpstr>Year8.2024</vt:lpstr>
      <vt:lpstr>Year9</vt:lpstr>
      <vt:lpstr>Year10</vt:lpstr>
      <vt:lpstr>Year 11</vt:lpstr>
      <vt:lpstr>fixé en amont</vt:lpstr>
      <vt:lpstr>'Year4. 2020'!Zone_d_impression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</dc:creator>
  <cp:keywords/>
  <dc:description/>
  <cp:lastModifiedBy>Shayna VALENTINE</cp:lastModifiedBy>
  <cp:revision/>
  <dcterms:created xsi:type="dcterms:W3CDTF">2012-12-20T16:07:35Z</dcterms:created>
  <dcterms:modified xsi:type="dcterms:W3CDTF">2025-10-29T09:22:13Z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0x0101008605A9D88B9C4349B0C5E5B033594ED0</vt:lpwstr>
  </property>
  <property fmtid="{D5CDD505-2E9C-101B-9397-08002B2CF9AE}" pid="3" name="MediaServiceImageTags">
    <vt:lpwstr/>
  </property>
</Properties>
</file>