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ndationgoodplanet.sharepoint.com/sites/CARBONE678/Documents partages/Cameroun/5. Carbone/2. Monitoring/2022/2. GS Internal verif/0. Round 0/"/>
    </mc:Choice>
  </mc:AlternateContent>
  <xr:revisionPtr revIDLastSave="189" documentId="13_ncr:1_{661BF010-0E5F-4246-B4AC-C520674DD3CC}" xr6:coauthVersionLast="47" xr6:coauthVersionMax="47" xr10:uidLastSave="{B9173039-5ECE-44E7-9561-7533F93B41E3}"/>
  <bookViews>
    <workbookView xWindow="-110" yWindow="-110" windowWidth="19420" windowHeight="10300" tabRatio="749" firstSheet="1" activeTab="1" xr2:uid="{00000000-000D-0000-FFFF-FFFF00000000}"/>
  </bookViews>
  <sheets>
    <sheet name="Introduction" sheetId="18" state="hidden" r:id="rId1"/>
    <sheet name="Monitored Datas" sheetId="5" r:id="rId2"/>
    <sheet name="BECH4y" sheetId="2" r:id="rId3"/>
    <sheet name="PEy" sheetId="6" r:id="rId4"/>
    <sheet name="Year6.2022" sheetId="21" r:id="rId5"/>
    <sheet name="Emission reductions" sheetId="7" r:id="rId6"/>
    <sheet name="Year4" sheetId="11" state="hidden" r:id="rId7"/>
    <sheet name="Year6" sheetId="13" state="hidden" r:id="rId8"/>
    <sheet name="Year7" sheetId="14" state="hidden" r:id="rId9"/>
    <sheet name="Year8" sheetId="15" state="hidden" r:id="rId10"/>
    <sheet name="Year9" sheetId="16" state="hidden" r:id="rId11"/>
    <sheet name="Year10" sheetId="17" state="hidden" r:id="rId12"/>
    <sheet name="fixé en amont" sheetId="1" state="hidden" r:id="rId1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5" l="1"/>
  <c r="G11" i="6"/>
  <c r="I11" i="2"/>
  <c r="L8" i="2" l="1"/>
  <c r="H11" i="5"/>
  <c r="H50" i="21"/>
  <c r="E6" i="6"/>
  <c r="I50" i="21"/>
  <c r="G50" i="21"/>
  <c r="T40" i="21"/>
  <c r="I32" i="2"/>
  <c r="I36" i="2"/>
  <c r="D10" i="6" l="1"/>
  <c r="E8" i="6"/>
  <c r="D8" i="6"/>
  <c r="C8" i="6"/>
  <c r="C6" i="6"/>
  <c r="F6" i="6"/>
  <c r="D6" i="6"/>
  <c r="G6" i="6" s="1"/>
  <c r="B11" i="6"/>
  <c r="E11" i="6" s="1"/>
  <c r="G6" i="2" l="1"/>
  <c r="R40" i="21" l="1"/>
  <c r="T42" i="21"/>
  <c r="F11" i="6"/>
  <c r="D50" i="21"/>
  <c r="E40" i="21"/>
  <c r="D12" i="21"/>
  <c r="D10" i="21"/>
  <c r="E9" i="21"/>
  <c r="D9" i="21" s="1"/>
  <c r="T29" i="21"/>
  <c r="R18" i="21"/>
  <c r="E24" i="21"/>
  <c r="F50" i="21" l="1"/>
  <c r="D7" i="21"/>
  <c r="G11" i="2" l="1"/>
  <c r="D52" i="21"/>
  <c r="D51" i="21"/>
  <c r="E50" i="21"/>
  <c r="F45" i="21"/>
  <c r="G45" i="21"/>
  <c r="H45" i="21"/>
  <c r="I45" i="21"/>
  <c r="J45" i="21"/>
  <c r="K45" i="21"/>
  <c r="L45" i="21"/>
  <c r="M45" i="21"/>
  <c r="N45" i="21"/>
  <c r="O45" i="21"/>
  <c r="P45" i="21"/>
  <c r="F44" i="21"/>
  <c r="G44" i="21"/>
  <c r="H44" i="21"/>
  <c r="I44" i="21"/>
  <c r="J44" i="21"/>
  <c r="K44" i="21"/>
  <c r="L44" i="21"/>
  <c r="M44" i="21"/>
  <c r="N44" i="21"/>
  <c r="O44" i="21"/>
  <c r="P44" i="21"/>
  <c r="F43" i="21"/>
  <c r="G43" i="21"/>
  <c r="H43" i="21"/>
  <c r="I43" i="21"/>
  <c r="J43" i="21"/>
  <c r="K43" i="21"/>
  <c r="L43" i="21"/>
  <c r="M43" i="21"/>
  <c r="N43" i="21"/>
  <c r="O43" i="21"/>
  <c r="P43" i="21"/>
  <c r="F42" i="21"/>
  <c r="G42" i="21"/>
  <c r="H42" i="21"/>
  <c r="I42" i="21"/>
  <c r="J42" i="21"/>
  <c r="K42" i="21"/>
  <c r="L42" i="21"/>
  <c r="M42" i="21"/>
  <c r="N42" i="21"/>
  <c r="O42" i="21"/>
  <c r="P42" i="21"/>
  <c r="E45" i="21"/>
  <c r="E44" i="21"/>
  <c r="E43" i="21"/>
  <c r="E42" i="21"/>
  <c r="F41" i="21"/>
  <c r="G41" i="21"/>
  <c r="H41" i="21"/>
  <c r="I41" i="21"/>
  <c r="J41" i="21"/>
  <c r="K41" i="21"/>
  <c r="L41" i="21"/>
  <c r="M41" i="21"/>
  <c r="N41" i="21"/>
  <c r="O41" i="21"/>
  <c r="P41" i="21"/>
  <c r="E41" i="21"/>
  <c r="F40" i="21"/>
  <c r="G40" i="21"/>
  <c r="H40" i="21"/>
  <c r="I40" i="21"/>
  <c r="J40" i="21"/>
  <c r="K40" i="21"/>
  <c r="L40" i="21"/>
  <c r="M40" i="21"/>
  <c r="N40" i="21"/>
  <c r="O40" i="21"/>
  <c r="P40" i="21"/>
  <c r="E46" i="21" l="1"/>
  <c r="J50" i="21"/>
  <c r="K50" i="21"/>
  <c r="L50" i="21"/>
  <c r="M50" i="21"/>
  <c r="N50" i="21"/>
  <c r="O50" i="21"/>
  <c r="P50" i="21"/>
  <c r="B11" i="5" l="1"/>
  <c r="C11" i="6" s="1"/>
  <c r="D11" i="6" s="1"/>
  <c r="D15" i="21"/>
  <c r="E7" i="21"/>
  <c r="D48" i="21"/>
  <c r="D47" i="21"/>
  <c r="S45" i="21"/>
  <c r="S44" i="21"/>
  <c r="S43" i="21"/>
  <c r="S42" i="21"/>
  <c r="S41" i="21"/>
  <c r="S40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R34" i="21"/>
  <c r="R33" i="21"/>
  <c r="R32" i="21"/>
  <c r="R31" i="21"/>
  <c r="R30" i="21"/>
  <c r="R29" i="21"/>
  <c r="S28" i="21"/>
  <c r="S39" i="21" s="1"/>
  <c r="P24" i="21"/>
  <c r="O24" i="21"/>
  <c r="N24" i="21"/>
  <c r="M24" i="21"/>
  <c r="L24" i="21"/>
  <c r="K24" i="21"/>
  <c r="J24" i="21"/>
  <c r="I24" i="21"/>
  <c r="H24" i="21"/>
  <c r="G24" i="21"/>
  <c r="F24" i="21"/>
  <c r="R23" i="21"/>
  <c r="R22" i="21"/>
  <c r="R21" i="21"/>
  <c r="R20" i="21"/>
  <c r="R19" i="21"/>
  <c r="S17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1" i="21"/>
  <c r="P8" i="21"/>
  <c r="O8" i="21"/>
  <c r="N8" i="21"/>
  <c r="M8" i="21"/>
  <c r="L8" i="21"/>
  <c r="K8" i="21"/>
  <c r="J8" i="21"/>
  <c r="I8" i="21"/>
  <c r="H8" i="21"/>
  <c r="G8" i="21"/>
  <c r="F8" i="21"/>
  <c r="E8" i="21"/>
  <c r="P7" i="21"/>
  <c r="P9" i="21" s="1"/>
  <c r="O7" i="21"/>
  <c r="N7" i="21"/>
  <c r="N9" i="21" s="1"/>
  <c r="M7" i="21"/>
  <c r="M9" i="21" s="1"/>
  <c r="L7" i="21"/>
  <c r="L9" i="21" s="1"/>
  <c r="K7" i="21"/>
  <c r="J7" i="21"/>
  <c r="I7" i="21"/>
  <c r="H7" i="21"/>
  <c r="H9" i="21" s="1"/>
  <c r="G7" i="21"/>
  <c r="F7" i="21"/>
  <c r="F9" i="21" s="1"/>
  <c r="C10" i="6"/>
  <c r="G28" i="5"/>
  <c r="G26" i="2"/>
  <c r="G25" i="2"/>
  <c r="C9" i="6"/>
  <c r="D9" i="6" s="1"/>
  <c r="D34" i="2"/>
  <c r="D41" i="2"/>
  <c r="G8" i="2"/>
  <c r="B16" i="5"/>
  <c r="I15" i="5"/>
  <c r="D40" i="2"/>
  <c r="I14" i="5"/>
  <c r="D39" i="2"/>
  <c r="I13" i="5"/>
  <c r="D38" i="2"/>
  <c r="I12" i="5"/>
  <c r="D37" i="2"/>
  <c r="C16" i="6"/>
  <c r="D16" i="6"/>
  <c r="M23" i="2"/>
  <c r="M24" i="2"/>
  <c r="M25" i="2"/>
  <c r="M26" i="2"/>
  <c r="M22" i="2"/>
  <c r="G16" i="2"/>
  <c r="B8" i="6"/>
  <c r="C33" i="2"/>
  <c r="F25" i="2"/>
  <c r="F23" i="2"/>
  <c r="F26" i="2"/>
  <c r="B6" i="6"/>
  <c r="C31" i="2"/>
  <c r="O25" i="2"/>
  <c r="O24" i="2"/>
  <c r="O22" i="2"/>
  <c r="P46" i="17"/>
  <c r="O46" i="17"/>
  <c r="N46" i="17"/>
  <c r="M46" i="17"/>
  <c r="L46" i="17"/>
  <c r="K46" i="17"/>
  <c r="J46" i="17"/>
  <c r="I46" i="17"/>
  <c r="H46" i="17"/>
  <c r="G46" i="17"/>
  <c r="F46" i="17"/>
  <c r="E46" i="17"/>
  <c r="S42" i="17"/>
  <c r="S41" i="17"/>
  <c r="S40" i="17"/>
  <c r="S39" i="17"/>
  <c r="S38" i="17"/>
  <c r="S37" i="17"/>
  <c r="R31" i="17"/>
  <c r="R30" i="17"/>
  <c r="R29" i="17"/>
  <c r="R28" i="17"/>
  <c r="R27" i="17"/>
  <c r="R26" i="17"/>
  <c r="S25" i="17"/>
  <c r="R20" i="17"/>
  <c r="R19" i="17"/>
  <c r="R18" i="17"/>
  <c r="R17" i="17"/>
  <c r="R16" i="17"/>
  <c r="R15" i="17"/>
  <c r="S14" i="17"/>
  <c r="D12" i="17"/>
  <c r="P9" i="17"/>
  <c r="O9" i="17"/>
  <c r="N9" i="17"/>
  <c r="M9" i="17"/>
  <c r="L9" i="17"/>
  <c r="K9" i="17"/>
  <c r="J9" i="17"/>
  <c r="I9" i="17"/>
  <c r="H9" i="17"/>
  <c r="G9" i="17"/>
  <c r="F9" i="17"/>
  <c r="E9" i="17"/>
  <c r="D8" i="17"/>
  <c r="D7" i="17"/>
  <c r="P46" i="16"/>
  <c r="O46" i="16"/>
  <c r="N46" i="16"/>
  <c r="M46" i="16"/>
  <c r="L46" i="16"/>
  <c r="K46" i="16"/>
  <c r="J46" i="16"/>
  <c r="I46" i="16"/>
  <c r="H46" i="16"/>
  <c r="G46" i="16"/>
  <c r="F46" i="16"/>
  <c r="E46" i="16"/>
  <c r="S42" i="16"/>
  <c r="S41" i="16"/>
  <c r="S40" i="16"/>
  <c r="S39" i="16"/>
  <c r="S38" i="16"/>
  <c r="S37" i="16"/>
  <c r="R31" i="16"/>
  <c r="R30" i="16"/>
  <c r="R29" i="16"/>
  <c r="R28" i="16"/>
  <c r="R27" i="16"/>
  <c r="R26" i="16"/>
  <c r="S25" i="16"/>
  <c r="R20" i="16"/>
  <c r="R19" i="16"/>
  <c r="R18" i="16"/>
  <c r="R17" i="16"/>
  <c r="R16" i="16"/>
  <c r="R15" i="16"/>
  <c r="S14" i="16"/>
  <c r="D12" i="16"/>
  <c r="P9" i="16"/>
  <c r="O9" i="16"/>
  <c r="N9" i="16"/>
  <c r="M9" i="16"/>
  <c r="L9" i="16"/>
  <c r="K9" i="16"/>
  <c r="J9" i="16"/>
  <c r="I9" i="16"/>
  <c r="H9" i="16"/>
  <c r="G9" i="16"/>
  <c r="F9" i="16"/>
  <c r="E9" i="16"/>
  <c r="D8" i="16"/>
  <c r="D7" i="16"/>
  <c r="P46" i="15"/>
  <c r="O46" i="15"/>
  <c r="N46" i="15"/>
  <c r="M46" i="15"/>
  <c r="L46" i="15"/>
  <c r="K46" i="15"/>
  <c r="J46" i="15"/>
  <c r="I46" i="15"/>
  <c r="H46" i="15"/>
  <c r="G46" i="15"/>
  <c r="F46" i="15"/>
  <c r="E46" i="15"/>
  <c r="S42" i="15"/>
  <c r="S41" i="15"/>
  <c r="S40" i="15"/>
  <c r="S39" i="15"/>
  <c r="S38" i="15"/>
  <c r="S37" i="15"/>
  <c r="R31" i="15"/>
  <c r="R30" i="15"/>
  <c r="R29" i="15"/>
  <c r="R28" i="15"/>
  <c r="R27" i="15"/>
  <c r="R26" i="15"/>
  <c r="S25" i="15"/>
  <c r="R20" i="15"/>
  <c r="R19" i="15"/>
  <c r="R18" i="15"/>
  <c r="R17" i="15"/>
  <c r="R16" i="15"/>
  <c r="R15" i="15"/>
  <c r="S14" i="15"/>
  <c r="D12" i="15"/>
  <c r="P9" i="15"/>
  <c r="O9" i="15"/>
  <c r="N9" i="15"/>
  <c r="M9" i="15"/>
  <c r="L9" i="15"/>
  <c r="K9" i="15"/>
  <c r="J9" i="15"/>
  <c r="I9" i="15"/>
  <c r="H9" i="15"/>
  <c r="G9" i="15"/>
  <c r="F9" i="15"/>
  <c r="E9" i="15"/>
  <c r="D8" i="15"/>
  <c r="D7" i="15"/>
  <c r="P46" i="14"/>
  <c r="O46" i="14"/>
  <c r="N46" i="14"/>
  <c r="M46" i="14"/>
  <c r="L46" i="14"/>
  <c r="K46" i="14"/>
  <c r="J46" i="14"/>
  <c r="I46" i="14"/>
  <c r="H46" i="14"/>
  <c r="G46" i="14"/>
  <c r="F46" i="14"/>
  <c r="E46" i="14"/>
  <c r="S42" i="14"/>
  <c r="S41" i="14"/>
  <c r="S40" i="14"/>
  <c r="S39" i="14"/>
  <c r="S38" i="14"/>
  <c r="S37" i="14"/>
  <c r="R31" i="14"/>
  <c r="R30" i="14"/>
  <c r="R29" i="14"/>
  <c r="R28" i="14"/>
  <c r="R27" i="14"/>
  <c r="R26" i="14"/>
  <c r="S25" i="14"/>
  <c r="R20" i="14"/>
  <c r="R19" i="14"/>
  <c r="R18" i="14"/>
  <c r="R17" i="14"/>
  <c r="R16" i="14"/>
  <c r="R15" i="14"/>
  <c r="S14" i="14"/>
  <c r="D12" i="14"/>
  <c r="P9" i="14"/>
  <c r="O9" i="14"/>
  <c r="N9" i="14"/>
  <c r="M9" i="14"/>
  <c r="L9" i="14"/>
  <c r="K9" i="14"/>
  <c r="J9" i="14"/>
  <c r="I9" i="14"/>
  <c r="H9" i="14"/>
  <c r="G9" i="14"/>
  <c r="F9" i="14"/>
  <c r="E9" i="14"/>
  <c r="D8" i="14"/>
  <c r="D7" i="14"/>
  <c r="P46" i="13"/>
  <c r="O46" i="13"/>
  <c r="N46" i="13"/>
  <c r="M46" i="13"/>
  <c r="L46" i="13"/>
  <c r="K46" i="13"/>
  <c r="J46" i="13"/>
  <c r="I46" i="13"/>
  <c r="H46" i="13"/>
  <c r="G46" i="13"/>
  <c r="F46" i="13"/>
  <c r="E46" i="13"/>
  <c r="S42" i="13"/>
  <c r="S41" i="13"/>
  <c r="S40" i="13"/>
  <c r="S39" i="13"/>
  <c r="S38" i="13"/>
  <c r="S37" i="13"/>
  <c r="R31" i="13"/>
  <c r="R30" i="13"/>
  <c r="R29" i="13"/>
  <c r="R28" i="13"/>
  <c r="R27" i="13"/>
  <c r="R26" i="13"/>
  <c r="S25" i="13"/>
  <c r="R20" i="13"/>
  <c r="R19" i="13"/>
  <c r="R18" i="13"/>
  <c r="R17" i="13"/>
  <c r="R16" i="13"/>
  <c r="R15" i="13"/>
  <c r="S14" i="13"/>
  <c r="D12" i="13"/>
  <c r="P9" i="13"/>
  <c r="O9" i="13"/>
  <c r="N9" i="13"/>
  <c r="M9" i="13"/>
  <c r="L9" i="13"/>
  <c r="K9" i="13"/>
  <c r="J9" i="13"/>
  <c r="I9" i="13"/>
  <c r="H9" i="13"/>
  <c r="G9" i="13"/>
  <c r="F9" i="13"/>
  <c r="E9" i="13"/>
  <c r="D8" i="13"/>
  <c r="D7" i="13"/>
  <c r="P46" i="11"/>
  <c r="O46" i="11"/>
  <c r="N46" i="11"/>
  <c r="M46" i="11"/>
  <c r="L46" i="11"/>
  <c r="K46" i="11"/>
  <c r="J46" i="11"/>
  <c r="I46" i="11"/>
  <c r="H46" i="11"/>
  <c r="G46" i="11"/>
  <c r="F46" i="11"/>
  <c r="E46" i="11"/>
  <c r="S42" i="11"/>
  <c r="S41" i="11"/>
  <c r="S40" i="11"/>
  <c r="S39" i="11"/>
  <c r="S38" i="11"/>
  <c r="S37" i="11"/>
  <c r="R31" i="11"/>
  <c r="R30" i="11"/>
  <c r="R29" i="11"/>
  <c r="R28" i="11"/>
  <c r="R27" i="11"/>
  <c r="R26" i="11"/>
  <c r="S25" i="11"/>
  <c r="R20" i="11"/>
  <c r="R19" i="11"/>
  <c r="R18" i="11"/>
  <c r="R17" i="11"/>
  <c r="R16" i="11"/>
  <c r="R15" i="11"/>
  <c r="S14" i="11"/>
  <c r="D12" i="11"/>
  <c r="P9" i="11"/>
  <c r="O9" i="11"/>
  <c r="N9" i="11"/>
  <c r="M9" i="11"/>
  <c r="L9" i="11"/>
  <c r="K9" i="11"/>
  <c r="J9" i="11"/>
  <c r="I9" i="11"/>
  <c r="H9" i="11"/>
  <c r="G9" i="11"/>
  <c r="F9" i="11"/>
  <c r="E9" i="11"/>
  <c r="D8" i="11"/>
  <c r="D7" i="11"/>
  <c r="C7" i="6"/>
  <c r="D7" i="6" s="1"/>
  <c r="D33" i="2"/>
  <c r="D32" i="2"/>
  <c r="R14" i="17"/>
  <c r="R41" i="17"/>
  <c r="S36" i="14"/>
  <c r="R40" i="14"/>
  <c r="R37" i="15"/>
  <c r="R14" i="16"/>
  <c r="T14" i="16"/>
  <c r="R38" i="16"/>
  <c r="S36" i="13"/>
  <c r="R40" i="13"/>
  <c r="R14" i="15"/>
  <c r="T14" i="15"/>
  <c r="R41" i="15"/>
  <c r="S36" i="11"/>
  <c r="R14" i="14"/>
  <c r="T14" i="14"/>
  <c r="T18" i="14"/>
  <c r="S36" i="16"/>
  <c r="R40" i="16"/>
  <c r="D9" i="17"/>
  <c r="S36" i="17"/>
  <c r="R14" i="13"/>
  <c r="T14" i="13"/>
  <c r="R38" i="13"/>
  <c r="R42" i="13"/>
  <c r="S36" i="15"/>
  <c r="R40" i="15"/>
  <c r="R37" i="17"/>
  <c r="R39" i="11"/>
  <c r="D46" i="11"/>
  <c r="D9" i="13"/>
  <c r="R39" i="13"/>
  <c r="D46" i="13"/>
  <c r="D9" i="14"/>
  <c r="R39" i="14"/>
  <c r="D46" i="14"/>
  <c r="D9" i="15"/>
  <c r="R39" i="15"/>
  <c r="D46" i="15"/>
  <c r="D9" i="16"/>
  <c r="R39" i="16"/>
  <c r="D46" i="16"/>
  <c r="T14" i="17"/>
  <c r="T16" i="17"/>
  <c r="R39" i="17"/>
  <c r="D46" i="17"/>
  <c r="T18" i="17"/>
  <c r="R38" i="17"/>
  <c r="R42" i="17"/>
  <c r="R40" i="17"/>
  <c r="R25" i="17"/>
  <c r="R36" i="17"/>
  <c r="R42" i="16"/>
  <c r="R37" i="16"/>
  <c r="R41" i="16"/>
  <c r="R25" i="16"/>
  <c r="R38" i="15"/>
  <c r="R42" i="15"/>
  <c r="R25" i="15"/>
  <c r="R38" i="14"/>
  <c r="R42" i="14"/>
  <c r="R37" i="14"/>
  <c r="R41" i="14"/>
  <c r="R25" i="14"/>
  <c r="R37" i="13"/>
  <c r="R41" i="13"/>
  <c r="R25" i="13"/>
  <c r="R40" i="11"/>
  <c r="D9" i="11"/>
  <c r="R38" i="11"/>
  <c r="R42" i="11"/>
  <c r="R14" i="11"/>
  <c r="T14" i="11"/>
  <c r="R37" i="11"/>
  <c r="R41" i="11"/>
  <c r="R25" i="11"/>
  <c r="R36" i="16"/>
  <c r="T36" i="16"/>
  <c r="H14" i="5"/>
  <c r="C39" i="2"/>
  <c r="T15" i="14"/>
  <c r="T20" i="14"/>
  <c r="T36" i="17"/>
  <c r="H15" i="5"/>
  <c r="C40" i="2"/>
  <c r="T17" i="16"/>
  <c r="T20" i="16"/>
  <c r="T15" i="16"/>
  <c r="T16" i="16"/>
  <c r="T15" i="17"/>
  <c r="T16" i="14"/>
  <c r="T17" i="17"/>
  <c r="T20" i="17"/>
  <c r="T19" i="14"/>
  <c r="T17" i="14"/>
  <c r="R36" i="14"/>
  <c r="T36" i="14"/>
  <c r="H12" i="5"/>
  <c r="C37" i="2"/>
  <c r="T19" i="17"/>
  <c r="T17" i="13"/>
  <c r="T19" i="13"/>
  <c r="T20" i="13"/>
  <c r="T15" i="13"/>
  <c r="T18" i="13"/>
  <c r="T16" i="13"/>
  <c r="T16" i="15"/>
  <c r="T17" i="15"/>
  <c r="T20" i="15"/>
  <c r="T18" i="15"/>
  <c r="R36" i="13"/>
  <c r="T36" i="13"/>
  <c r="R36" i="15"/>
  <c r="T36" i="15"/>
  <c r="H13" i="5"/>
  <c r="C38" i="2"/>
  <c r="T25" i="17"/>
  <c r="T31" i="17"/>
  <c r="T25" i="15"/>
  <c r="T26" i="15"/>
  <c r="T15" i="15"/>
  <c r="T19" i="15"/>
  <c r="T19" i="16"/>
  <c r="T18" i="16"/>
  <c r="T41" i="17"/>
  <c r="T30" i="17"/>
  <c r="T39" i="16"/>
  <c r="T40" i="16"/>
  <c r="T38" i="16"/>
  <c r="T41" i="16"/>
  <c r="T37" i="16"/>
  <c r="T42" i="16"/>
  <c r="T25" i="16"/>
  <c r="T40" i="15"/>
  <c r="T28" i="15"/>
  <c r="T29" i="15"/>
  <c r="T41" i="14"/>
  <c r="T25" i="14"/>
  <c r="T25" i="13"/>
  <c r="T20" i="11"/>
  <c r="T15" i="11"/>
  <c r="T17" i="11"/>
  <c r="T18" i="11"/>
  <c r="T16" i="11"/>
  <c r="T19" i="11"/>
  <c r="R36" i="11"/>
  <c r="T36" i="11"/>
  <c r="C34" i="2"/>
  <c r="T25" i="11"/>
  <c r="T40" i="17"/>
  <c r="T42" i="17"/>
  <c r="T39" i="17"/>
  <c r="T38" i="14"/>
  <c r="T40" i="14"/>
  <c r="T38" i="17"/>
  <c r="T27" i="17"/>
  <c r="T37" i="14"/>
  <c r="T29" i="17"/>
  <c r="T37" i="17"/>
  <c r="H16" i="5"/>
  <c r="C41" i="2"/>
  <c r="T39" i="13"/>
  <c r="B16" i="6"/>
  <c r="T42" i="13"/>
  <c r="T26" i="17"/>
  <c r="T27" i="15"/>
  <c r="T37" i="13"/>
  <c r="T38" i="13"/>
  <c r="T39" i="14"/>
  <c r="T38" i="15"/>
  <c r="T41" i="15"/>
  <c r="T30" i="15"/>
  <c r="T37" i="15"/>
  <c r="T41" i="13"/>
  <c r="T40" i="13"/>
  <c r="T42" i="14"/>
  <c r="T31" i="15"/>
  <c r="T42" i="15"/>
  <c r="T39" i="15"/>
  <c r="T28" i="17"/>
  <c r="E23" i="2"/>
  <c r="T38" i="11"/>
  <c r="T26" i="16"/>
  <c r="T29" i="16"/>
  <c r="T28" i="16"/>
  <c r="T31" i="16"/>
  <c r="T27" i="16"/>
  <c r="T30" i="16"/>
  <c r="T27" i="14"/>
  <c r="T29" i="14"/>
  <c r="T28" i="14"/>
  <c r="T30" i="14"/>
  <c r="T31" i="14"/>
  <c r="T26" i="14"/>
  <c r="T26" i="13"/>
  <c r="T31" i="13"/>
  <c r="T28" i="13"/>
  <c r="T27" i="13"/>
  <c r="T30" i="13"/>
  <c r="T29" i="13"/>
  <c r="T41" i="11"/>
  <c r="T42" i="11"/>
  <c r="T40" i="11"/>
  <c r="T39" i="11"/>
  <c r="T37" i="11"/>
  <c r="T27" i="11"/>
  <c r="T29" i="11"/>
  <c r="T28" i="11"/>
  <c r="T26" i="11"/>
  <c r="T31" i="11"/>
  <c r="T30" i="11"/>
  <c r="E22" i="2"/>
  <c r="E25" i="2"/>
  <c r="E24" i="2"/>
  <c r="E26" i="2"/>
  <c r="E27" i="2" s="1"/>
  <c r="E16" i="6"/>
  <c r="F16" i="6"/>
  <c r="D31" i="2"/>
  <c r="G16" i="6"/>
  <c r="D23" i="2"/>
  <c r="D28" i="5"/>
  <c r="D25" i="2"/>
  <c r="D26" i="2"/>
  <c r="D24" i="2"/>
  <c r="O26" i="2"/>
  <c r="O23" i="2"/>
  <c r="G15" i="2"/>
  <c r="G14" i="2"/>
  <c r="G13" i="2"/>
  <c r="G12" i="2"/>
  <c r="G10" i="2"/>
  <c r="G9" i="2"/>
  <c r="G7" i="2"/>
  <c r="E9" i="1"/>
  <c r="B15" i="5"/>
  <c r="B14" i="5"/>
  <c r="B13" i="5"/>
  <c r="B12" i="5"/>
  <c r="L24" i="5"/>
  <c r="L25" i="2"/>
  <c r="L25" i="5"/>
  <c r="L26" i="2"/>
  <c r="K24" i="5"/>
  <c r="K25" i="2"/>
  <c r="L42" i="2"/>
  <c r="J25" i="5"/>
  <c r="J26" i="2"/>
  <c r="I24" i="5"/>
  <c r="I25" i="2"/>
  <c r="I22" i="5"/>
  <c r="I23" i="2"/>
  <c r="I21" i="5"/>
  <c r="I22" i="2"/>
  <c r="J22" i="5"/>
  <c r="J23" i="2"/>
  <c r="I25" i="5"/>
  <c r="I26" i="2"/>
  <c r="L23" i="5"/>
  <c r="L24" i="2"/>
  <c r="L22" i="5"/>
  <c r="L23" i="2"/>
  <c r="L26" i="5"/>
  <c r="L21" i="5"/>
  <c r="L22" i="2"/>
  <c r="K23" i="5"/>
  <c r="K24" i="2"/>
  <c r="K42" i="2"/>
  <c r="K22" i="5"/>
  <c r="K23" i="2"/>
  <c r="J42" i="2"/>
  <c r="K26" i="5"/>
  <c r="K21" i="5"/>
  <c r="K22" i="2"/>
  <c r="I42" i="2"/>
  <c r="N42" i="2"/>
  <c r="K25" i="5"/>
  <c r="K26" i="2"/>
  <c r="M42" i="2"/>
  <c r="J23" i="5"/>
  <c r="J24" i="2"/>
  <c r="J26" i="5"/>
  <c r="J24" i="5"/>
  <c r="J25" i="2"/>
  <c r="J21" i="5"/>
  <c r="J22" i="2"/>
  <c r="I23" i="5"/>
  <c r="I24" i="2"/>
  <c r="I26" i="5"/>
  <c r="G24" i="2"/>
  <c r="G23" i="2"/>
  <c r="F24" i="2"/>
  <c r="F22" i="2"/>
  <c r="L28" i="5"/>
  <c r="K28" i="5"/>
  <c r="J28" i="5"/>
  <c r="I28" i="5"/>
  <c r="F28" i="5"/>
  <c r="C12" i="6"/>
  <c r="D12" i="6"/>
  <c r="C13" i="6"/>
  <c r="D13" i="6"/>
  <c r="C14" i="6"/>
  <c r="D14" i="6"/>
  <c r="C15" i="6"/>
  <c r="D15" i="6"/>
  <c r="B9" i="6"/>
  <c r="E9" i="6" s="1"/>
  <c r="B12" i="6"/>
  <c r="B13" i="6"/>
  <c r="B14" i="6"/>
  <c r="B15" i="6"/>
  <c r="F15" i="6"/>
  <c r="E15" i="6"/>
  <c r="G15" i="6" s="1"/>
  <c r="F14" i="6"/>
  <c r="E14" i="6"/>
  <c r="G14" i="6" s="1"/>
  <c r="F13" i="6"/>
  <c r="E13" i="6"/>
  <c r="G13" i="6" s="1"/>
  <c r="F12" i="6"/>
  <c r="E12" i="6"/>
  <c r="G12" i="6"/>
  <c r="D12" i="2"/>
  <c r="D6" i="2"/>
  <c r="I10" i="2" s="1"/>
  <c r="I16" i="2"/>
  <c r="L15" i="2"/>
  <c r="K40" i="2"/>
  <c r="M40" i="2"/>
  <c r="L40" i="2"/>
  <c r="J40" i="2"/>
  <c r="I40" i="2"/>
  <c r="N40" i="2"/>
  <c r="J41" i="2"/>
  <c r="K41" i="2"/>
  <c r="M41" i="2"/>
  <c r="L41" i="2"/>
  <c r="M39" i="2"/>
  <c r="K39" i="2"/>
  <c r="J39" i="2"/>
  <c r="L39" i="2"/>
  <c r="L38" i="2"/>
  <c r="M38" i="2"/>
  <c r="J38" i="2"/>
  <c r="K38" i="2"/>
  <c r="I14" i="2"/>
  <c r="L13" i="2" s="1"/>
  <c r="I9" i="2"/>
  <c r="I13" i="2"/>
  <c r="I7" i="2"/>
  <c r="I15" i="2"/>
  <c r="I12" i="2"/>
  <c r="C24" i="2"/>
  <c r="C26" i="2"/>
  <c r="C27" i="2" s="1"/>
  <c r="C22" i="2"/>
  <c r="C25" i="2"/>
  <c r="C23" i="2"/>
  <c r="L32" i="2" l="1"/>
  <c r="D27" i="2"/>
  <c r="F27" i="2"/>
  <c r="G22" i="2"/>
  <c r="G27" i="2" s="1"/>
  <c r="D22" i="2"/>
  <c r="K35" i="2"/>
  <c r="M35" i="2"/>
  <c r="J35" i="2"/>
  <c r="M32" i="2"/>
  <c r="J34" i="2"/>
  <c r="F8" i="6"/>
  <c r="G8" i="6"/>
  <c r="D10" i="7" s="1"/>
  <c r="L35" i="2"/>
  <c r="K32" i="2"/>
  <c r="J32" i="2"/>
  <c r="I8" i="2"/>
  <c r="L33" i="2"/>
  <c r="K33" i="2"/>
  <c r="J33" i="2"/>
  <c r="M33" i="2"/>
  <c r="E28" i="5"/>
  <c r="F9" i="6"/>
  <c r="G9" i="6" s="1"/>
  <c r="D11" i="7" s="1"/>
  <c r="L34" i="2"/>
  <c r="M34" i="2"/>
  <c r="K34" i="2"/>
  <c r="D8" i="7"/>
  <c r="I6" i="2"/>
  <c r="C28" i="5"/>
  <c r="D17" i="6"/>
  <c r="J9" i="21"/>
  <c r="C17" i="6"/>
  <c r="D8" i="21"/>
  <c r="I9" i="21"/>
  <c r="R44" i="21"/>
  <c r="R42" i="21"/>
  <c r="R17" i="21"/>
  <c r="T17" i="21" s="1"/>
  <c r="T18" i="21" s="1"/>
  <c r="K9" i="21"/>
  <c r="O9" i="21"/>
  <c r="R41" i="21"/>
  <c r="G9" i="21"/>
  <c r="D36" i="2"/>
  <c r="I37" i="2" s="1"/>
  <c r="R43" i="21"/>
  <c r="R45" i="21"/>
  <c r="R28" i="21"/>
  <c r="H46" i="21"/>
  <c r="N32" i="2"/>
  <c r="I33" i="2"/>
  <c r="N33" i="2" s="1"/>
  <c r="L6" i="2" s="1"/>
  <c r="C9" i="7" s="1"/>
  <c r="I34" i="2"/>
  <c r="N34" i="2" s="1"/>
  <c r="I35" i="2"/>
  <c r="N35" i="2" s="1"/>
  <c r="C11" i="7" s="1"/>
  <c r="I38" i="2"/>
  <c r="N38" i="2" s="1"/>
  <c r="L11" i="2" s="1"/>
  <c r="C14" i="7" s="1"/>
  <c r="I39" i="2"/>
  <c r="N39" i="2" s="1"/>
  <c r="L12" i="2" s="1"/>
  <c r="C15" i="7" s="1"/>
  <c r="I41" i="2"/>
  <c r="N41" i="2" s="1"/>
  <c r="L14" i="2" s="1"/>
  <c r="D35" i="2"/>
  <c r="L7" i="2" l="1"/>
  <c r="C10" i="7" s="1"/>
  <c r="E10" i="7" s="1"/>
  <c r="L5" i="2"/>
  <c r="C8" i="7" s="1"/>
  <c r="E8" i="7" s="1"/>
  <c r="E11" i="7"/>
  <c r="C9" i="21"/>
  <c r="T19" i="21"/>
  <c r="T20" i="21"/>
  <c r="T21" i="21"/>
  <c r="T22" i="21"/>
  <c r="R39" i="21"/>
  <c r="T39" i="21" s="1"/>
  <c r="H23" i="5" s="1"/>
  <c r="H24" i="2" s="1"/>
  <c r="K37" i="2" s="1"/>
  <c r="T23" i="21"/>
  <c r="I46" i="21"/>
  <c r="M46" i="21"/>
  <c r="T28" i="21"/>
  <c r="T34" i="21" s="1"/>
  <c r="L46" i="21"/>
  <c r="P46" i="21"/>
  <c r="G46" i="21"/>
  <c r="N46" i="21"/>
  <c r="O46" i="21"/>
  <c r="J46" i="21"/>
  <c r="T31" i="21"/>
  <c r="K46" i="21"/>
  <c r="F46" i="21"/>
  <c r="K36" i="2"/>
  <c r="L36" i="2"/>
  <c r="M36" i="2"/>
  <c r="J36" i="2"/>
  <c r="C35" i="2"/>
  <c r="B10" i="6"/>
  <c r="C32" i="2"/>
  <c r="B7" i="6"/>
  <c r="N36" i="2" l="1"/>
  <c r="L9" i="2" s="1"/>
  <c r="H21" i="5"/>
  <c r="T43" i="21"/>
  <c r="H24" i="5" s="1"/>
  <c r="H25" i="2" s="1"/>
  <c r="L37" i="2" s="1"/>
  <c r="T45" i="21"/>
  <c r="H26" i="5" s="1"/>
  <c r="H22" i="2"/>
  <c r="T44" i="21"/>
  <c r="H25" i="5" s="1"/>
  <c r="H26" i="2" s="1"/>
  <c r="M37" i="2" s="1"/>
  <c r="T41" i="21"/>
  <c r="H22" i="5" s="1"/>
  <c r="H23" i="2" s="1"/>
  <c r="J37" i="2" s="1"/>
  <c r="C36" i="2"/>
  <c r="C42" i="2" s="1"/>
  <c r="T32" i="21"/>
  <c r="T33" i="21"/>
  <c r="T30" i="21"/>
  <c r="E7" i="6"/>
  <c r="F7" i="6"/>
  <c r="F10" i="6"/>
  <c r="E10" i="6"/>
  <c r="N37" i="2" l="1"/>
  <c r="L10" i="2" s="1"/>
  <c r="G10" i="6"/>
  <c r="D12" i="7" s="1"/>
  <c r="H28" i="5"/>
  <c r="E17" i="6"/>
  <c r="B17" i="6"/>
  <c r="H27" i="2"/>
  <c r="C12" i="7"/>
  <c r="G7" i="6"/>
  <c r="E12" i="7" l="1"/>
  <c r="D13" i="7"/>
  <c r="F17" i="6"/>
  <c r="L16" i="2"/>
  <c r="D9" i="7"/>
  <c r="E9" i="7" s="1"/>
  <c r="G17" i="6" l="1"/>
  <c r="C13" i="7"/>
  <c r="E13" i="7" s="1"/>
</calcChain>
</file>

<file path=xl/sharedStrings.xml><?xml version="1.0" encoding="utf-8"?>
<sst xmlns="http://schemas.openxmlformats.org/spreadsheetml/2006/main" count="806" uniqueCount="204">
  <si>
    <t>Outil de calcul ex post des émissions de réductions // méthode acceptée par le goldstandard, micro échelle.</t>
  </si>
  <si>
    <t>Cet outil présente un calcul des VERs réorganisés de ùanière à ce que les émissions des déchets soient ramenés à l'année de traitement tel qu'autorisé par le GS.</t>
  </si>
  <si>
    <t>AMS III F v11 associées aux outils "emissions from a solid waste disposal sites" am 04 v6,0,1 et "project and leakage emissions from composting" v1 UNFCCC</t>
  </si>
  <si>
    <t>Vous ne devez remplir les cases que des onglets intitulés YearX", ainsi que de l'onglet "fixé en amont" - celui-ci ne se remplit qu'une seule fois</t>
  </si>
  <si>
    <t>Tous les autres calculs se font automatiquement</t>
  </si>
  <si>
    <t>Dans les onglets "Année X", ne remplir que les cases en vert -les autres sont des calculs automatiques</t>
  </si>
  <si>
    <t>Dans un souci de clarté du fichier, le premier onglet est celui des résultats. Néammoins il résulte de tout les  autres onglets.</t>
  </si>
  <si>
    <t>Electricity usage*</t>
  </si>
  <si>
    <t>Monitoring period</t>
  </si>
  <si>
    <t>MWh</t>
  </si>
  <si>
    <t>Tons of waste composted</t>
  </si>
  <si>
    <t>Total waste collected</t>
  </si>
  <si>
    <t>(01/03/2017) - (31/12/2017)</t>
  </si>
  <si>
    <t>(01/01/2018) - (31/12/2018)</t>
  </si>
  <si>
    <t>(01/01/2019) - (31/12/2019)</t>
  </si>
  <si>
    <t>(01/01/2020) - (31/12/2020)</t>
  </si>
  <si>
    <t>(01/01/2021) - (31/12/2021)</t>
  </si>
  <si>
    <t>(01/01/2022) - (31/12/2022)</t>
  </si>
  <si>
    <t>(01/01/2023) - (31/12/2023)</t>
  </si>
  <si>
    <t>(01/01/2024) - (31/12/2024)</t>
  </si>
  <si>
    <t>(01/01/2025) - (31/12/2025)</t>
  </si>
  <si>
    <t>(01/01/2026) - (31/12/2026)</t>
  </si>
  <si>
    <t>(01/01/2027)-(28/02/2027)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</si>
  <si>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</si>
  <si>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</si>
  <si>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</si>
  <si>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</si>
  <si>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</si>
  <si>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</si>
  <si>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</si>
  <si>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</si>
  <si>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</si>
  <si>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</si>
  <si>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% wet weight</t>
  </si>
  <si>
    <t>Wood and wood products</t>
  </si>
  <si>
    <t xml:space="preserve">Pulp, paper and cardboard </t>
  </si>
  <si>
    <t>Textiles</t>
  </si>
  <si>
    <t>Food, food waste, beverages and tobacco</t>
  </si>
  <si>
    <t>Garden, yard and park waste</t>
  </si>
  <si>
    <t>Glass, plastic, metal and other inert waste</t>
  </si>
  <si>
    <t>Total</t>
  </si>
  <si>
    <t>Résults : Emission reductions linked to the project</t>
  </si>
  <si>
    <t>Monitoring year</t>
  </si>
  <si>
    <t>Baseline Emissions (tCO2)</t>
  </si>
  <si>
    <t>Project Emissions (tCO2)</t>
  </si>
  <si>
    <t>Emission reductions (tCO2)</t>
  </si>
  <si>
    <t>Mar'17 - Dec17</t>
  </si>
  <si>
    <t>Jan'18 - Dec'18</t>
  </si>
  <si>
    <t>Jan'19 - Dec'19</t>
  </si>
  <si>
    <t>Jan'20 - Dec'20</t>
  </si>
  <si>
    <t>Jan'21 - Dec'21</t>
  </si>
  <si>
    <t>Jan'22 - Dec'22</t>
  </si>
  <si>
    <t>Jan'23 - Dec'23</t>
  </si>
  <si>
    <t>-</t>
  </si>
  <si>
    <t>Jan'24 - Dec'24</t>
  </si>
  <si>
    <t>Jan'25 - Dec'25</t>
  </si>
  <si>
    <t>Jan'26 - Dec'26</t>
  </si>
  <si>
    <t xml:space="preserve">Baseline Emissions </t>
  </si>
  <si>
    <t>Monitored parameters</t>
  </si>
  <si>
    <t>Fixed parameters</t>
  </si>
  <si>
    <t>GWP CH4</t>
  </si>
  <si>
    <t>f</t>
  </si>
  <si>
    <t>K</t>
  </si>
  <si>
    <t>φ=</t>
  </si>
  <si>
    <t>OX =</t>
  </si>
  <si>
    <t>constant</t>
  </si>
  <si>
    <t>F =</t>
  </si>
  <si>
    <t>DOCf =</t>
  </si>
  <si>
    <t>MCF =</t>
  </si>
  <si>
    <t>K=</t>
  </si>
  <si>
    <t>φ*(1-f)*GWP_CH4*(1-Ox)*16/12*F*DOCf*MCF</t>
  </si>
  <si>
    <t>TOTAL</t>
  </si>
  <si>
    <t>% waste types</t>
  </si>
  <si>
    <r>
      <t>DOC</t>
    </r>
    <r>
      <rPr>
        <b/>
        <vertAlign val="subscript"/>
        <sz val="10"/>
        <rFont val="Arial"/>
        <family val="2"/>
      </rPr>
      <t xml:space="preserve">j </t>
    </r>
  </si>
  <si>
    <t>kj</t>
  </si>
  <si>
    <t>Paper and cardboard</t>
  </si>
  <si>
    <t>Food and Food waste</t>
  </si>
  <si>
    <t>Green Waste</t>
  </si>
  <si>
    <t>% composted out of of the total quantity collected</t>
  </si>
  <si>
    <t>tons of waste colected</t>
  </si>
  <si>
    <t>Year y</t>
  </si>
  <si>
    <t>Year x</t>
  </si>
  <si>
    <t>U</t>
  </si>
  <si>
    <t>(Year of ER calculation)</t>
  </si>
  <si>
    <t>(Year of waste treatment)</t>
  </si>
  <si>
    <t>Σ Ux = I</t>
  </si>
  <si>
    <t>Project Emissions</t>
  </si>
  <si>
    <t>Monitoring Period</t>
  </si>
  <si>
    <t xml:space="preserve">Tons of Waste composted on site/
TOTAL WASTE </t>
  </si>
  <si>
    <t>ELECTRICITY USE (MWh)</t>
  </si>
  <si>
    <t>PEy,power (tCO2)</t>
  </si>
  <si>
    <t>PEy compost - CH4 (tCO2)</t>
  </si>
  <si>
    <t>PEy compost - NO2 (tCO2)</t>
  </si>
  <si>
    <t>PEy total  (tCO2)</t>
  </si>
  <si>
    <t>GWP N20</t>
  </si>
  <si>
    <t>Project Scenario parameters</t>
  </si>
  <si>
    <t>TDL</t>
  </si>
  <si>
    <t>EF élec</t>
  </si>
  <si>
    <t>t CO2e/MWh</t>
  </si>
  <si>
    <t>EF CH4</t>
  </si>
  <si>
    <t>T CH4/T déchets</t>
  </si>
  <si>
    <t>EF NO2</t>
  </si>
  <si>
    <t>T NO2/T déchet</t>
  </si>
  <si>
    <t>Parameter</t>
  </si>
  <si>
    <t>Description:</t>
  </si>
  <si>
    <t>Annual value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</si>
  <si>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</si>
  <si>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</si>
  <si>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</si>
  <si>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</si>
  <si>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</si>
  <si>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</si>
  <si>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</si>
  <si>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</si>
  <si>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</si>
  <si>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</si>
  <si>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</si>
  <si>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</si>
  <si>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GWP</t>
    </r>
    <r>
      <rPr>
        <vertAlign val="subscript"/>
        <sz val="11"/>
        <rFont val="Arial"/>
        <family val="2"/>
      </rPr>
      <t xml:space="preserve">CH4 </t>
    </r>
    <r>
      <rPr>
        <sz val="11"/>
        <rFont val="Arial"/>
        <family val="2"/>
      </rPr>
      <t>(</t>
    </r>
    <r>
      <rPr>
        <sz val="9"/>
        <rFont val="Arial"/>
        <family val="2"/>
      </rPr>
      <t>tCO2e / tCH4)</t>
    </r>
  </si>
  <si>
    <t>Global Warming Potential (GWP) of methane, valid for the relevant commitment period</t>
  </si>
  <si>
    <t>Once a year</t>
  </si>
  <si>
    <t>GWPN20 (tCO2e / tN2O)</t>
  </si>
  <si>
    <t>Global Warming Potential (GWP) of nitrous oxide valid for the relevant commitment period</t>
  </si>
  <si>
    <t>fraction of methane captured and flared, combusted or used in another manner at SWDS</t>
  </si>
  <si>
    <t xml:space="preserve">W (Tons) </t>
  </si>
  <si>
    <t>W Ngui (Tons)</t>
  </si>
  <si>
    <t>Total amount of organic waste prevented from disposal per year  in Ngui</t>
  </si>
  <si>
    <t>W Siteu (Tons)</t>
  </si>
  <si>
    <t>Total amount of organic waste prevented from disposal per year  in Siteu</t>
  </si>
  <si>
    <t>Total amount of waste received in Ngui compost unit (tons)</t>
  </si>
  <si>
    <t>Total amount of  waste received in Siteu compost unit (tons)</t>
  </si>
  <si>
    <t>Tons of waste treated</t>
  </si>
  <si>
    <t>Ngui compost unit</t>
  </si>
  <si>
    <t>Other waste</t>
  </si>
  <si>
    <t xml:space="preserve">Weight fraction of the waste type j in the sample n collected during the year x </t>
  </si>
  <si>
    <t>minimum of 3 samples in 3 month</t>
  </si>
  <si>
    <t>Total house hold</t>
  </si>
  <si>
    <t>total other waste</t>
  </si>
  <si>
    <t>Siteu compost unit</t>
  </si>
  <si>
    <t>P n,j, x  (%)</t>
  </si>
  <si>
    <t>Siteu + Ngui compost unit</t>
  </si>
  <si>
    <r>
      <t>Q</t>
    </r>
    <r>
      <rPr>
        <vertAlign val="subscript"/>
        <sz val="9"/>
        <rFont val="Arial"/>
        <family val="2"/>
      </rPr>
      <t>y,treatment (Tons)</t>
    </r>
  </si>
  <si>
    <t xml:space="preserve">Quantity of compost produced in year y </t>
  </si>
  <si>
    <t>once a week/ once a month</t>
  </si>
  <si>
    <t xml:space="preserve">Quantity of compost sold in year y </t>
  </si>
  <si>
    <t>Ey (kWh)</t>
  </si>
  <si>
    <t xml:space="preserve">Electric energy consumption for compost manufacturing in year y </t>
  </si>
  <si>
    <t>Once a month</t>
  </si>
  <si>
    <t xml:space="preserve">Total amount of organic waste prevented from disposal per year  </t>
  </si>
  <si>
    <t>daily / once a month</t>
  </si>
  <si>
    <t xml:space="preserve">Total tons of waste received </t>
  </si>
  <si>
    <t>Electric energy consumption for compost manufacturing in year y                                  Ngui compost unit</t>
  </si>
  <si>
    <t>Electric energy consumption for compost manufacturing in year y                                  Siteu compost unit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</si>
  <si>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</si>
  <si>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</si>
  <si>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</si>
  <si>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</si>
  <si>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</si>
  <si>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</si>
  <si>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</si>
  <si>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</si>
  <si>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</si>
  <si>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</si>
  <si>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</si>
  <si>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</si>
  <si>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 (Tons)</t>
  </si>
  <si>
    <t>tons of waste treated in Ngui compost unit (tons)</t>
  </si>
  <si>
    <t>tons of waste treated in Siteu compost unit (tons)</t>
  </si>
  <si>
    <t>wood</t>
  </si>
  <si>
    <t>paper</t>
  </si>
  <si>
    <t>food waste</t>
  </si>
  <si>
    <t>textiles</t>
  </si>
  <si>
    <t>garden waste</t>
  </si>
  <si>
    <t>inert waste</t>
  </si>
  <si>
    <t>Old index</t>
  </si>
  <si>
    <t>New index</t>
  </si>
  <si>
    <t>Sale date</t>
  </si>
  <si>
    <r>
      <t xml:space="preserve">Customer type </t>
    </r>
    <r>
      <rPr>
        <i/>
        <sz val="11"/>
        <color indexed="8"/>
        <rFont val="Calibri"/>
        <family val="2"/>
      </rPr>
      <t>(reseller/big customer/other)</t>
    </r>
  </si>
  <si>
    <t>Customer name</t>
  </si>
  <si>
    <t>Quantity bought</t>
  </si>
  <si>
    <t>Majority culture</t>
  </si>
  <si>
    <t>Visit after sale date</t>
  </si>
  <si>
    <t>Comment</t>
  </si>
  <si>
    <t>Données présentées dans le PDD</t>
  </si>
  <si>
    <t xml:space="preserve">Renseigner la température et la pluviométrie moyenne annuelle du pays, </t>
  </si>
  <si>
    <t xml:space="preserve">Niveau de gestion de la décharge : </t>
  </si>
  <si>
    <t>Attention ces données doivent être justifiées, preuves à l'appui</t>
  </si>
  <si>
    <t>données officielles obligatoires, contacter les organismes étatiques compétents</t>
  </si>
  <si>
    <t>Mettre dans cette case le n° de l'option qui correspond. (1 - 2 - 3 ou 4)</t>
  </si>
  <si>
    <t>Température (°C) : &gt;20°C</t>
  </si>
  <si>
    <t>1 - Décharge gérée et anaérobique.</t>
  </si>
  <si>
    <t>Pluviométrie (mm) :</t>
  </si>
  <si>
    <t xml:space="preserve">La décharge doit avoir un contrôle des déchets (ie les déchets doivent être orientés à des endroits spécifiques de dépôts, un degré de contrôle des </t>
  </si>
  <si>
    <t>Potentiel d'évapotranspiration*</t>
  </si>
  <si>
    <t>informels et un degré de contrôle des feux.) et incluera au moins l'un des suivants : matériel de couverture / compactage mécanique / nivellement des déchets.</t>
  </si>
  <si>
    <t>Temp/PET</t>
  </si>
  <si>
    <t>2 - Décharge gérée et semi-aérobique</t>
  </si>
  <si>
    <t xml:space="preserve">La décharge doit avoir un contrôle des déchets et comprendra tout les éléments suivants pour introduire de l'air entre les couches : materiau de couverture </t>
  </si>
  <si>
    <t>perméable / système de drainage des lixiviats / "pondage" régulant / système de ventilation des gaz.</t>
  </si>
  <si>
    <t>3 - Décharge non - gérée - profonde.</t>
  </si>
  <si>
    <t>Ceci comprend toutes les décharges qui ne correspondent pas aux critères de décharge gérée et ont une profondeur supérieure ou égale à 5m.</t>
  </si>
  <si>
    <t>4 - Décharge non gérée peu profonde ou "tas" considéré comme décharge.</t>
  </si>
  <si>
    <t xml:space="preserve">Ceci comprend toutes les décharges qui ne correspondent pas aux critères de décharges gérée et qui ont moins de 5 mètres de profondeur. </t>
  </si>
  <si>
    <t>Ceci inclut les entassement assimilés à des décharges qui ne correspondent pas à la définition de décharge.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</si>
</sst>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0.0"/>
    <numFmt numFmtId="167" formatCode="_-* #,##0.0\ _€_-;\-* #,##0.0\ _€_-;_-* &quot;-&quot;??\ _€_-;_-@_-"/>
    <numFmt numFmtId="168" formatCode="#,##0.00&quot;  t&quot;"/>
    <numFmt numFmtId="169" formatCode="_-* #,##0.00\ _F_C_F_A_-;\-* #,##0.00\ _F_C_F_A_-;_-* &quot;-&quot;??\ _F_C_F_A_-;_-@_-"/>
    <numFmt numFmtId="170" formatCode="_-* #,##0.00\ _€_-;\-* #,##0.00\ _€_-;_-* \-??\ _€_-;_-@_-"/>
    <numFmt numFmtId="171" formatCode="_-* #,##0.00&quot; €&quot;_-;\-* #,##0.00&quot; €&quot;_-;_-* \-??&quot; €&quot;_-;_-@_-"/>
    <numFmt numFmtId="172" formatCode="0.000"/>
    <numFmt numFmtId="173" formatCode="#,##0&quot;  t&quot;"/>
    <numFmt numFmtId="174" formatCode="_-* #,##0\ _€_-;\-* #,##0\ _€_-;_-* &quot;-&quot;??\ _€_-;_-@_-"/>
  </numFmts>
  <fonts count="35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Lucida Grande"/>
      <family val="2"/>
    </font>
    <font>
      <b/>
      <sz val="12"/>
      <color indexed="10"/>
      <name val="Arial"/>
      <family val="2"/>
    </font>
    <font>
      <i/>
      <sz val="11"/>
      <color indexed="8"/>
      <name val="Calibri"/>
      <family val="2"/>
    </font>
    <font>
      <sz val="10"/>
      <name val="Arial"/>
      <family val="2"/>
    </font>
    <font>
      <b/>
      <vertAlign val="subscript"/>
      <sz val="10"/>
      <name val="Arial"/>
      <family val="2"/>
    </font>
    <font>
      <sz val="9"/>
      <name val="Arial"/>
      <family val="2"/>
    </font>
    <font>
      <vertAlign val="subscript"/>
      <sz val="11"/>
      <name val="Arial"/>
      <family val="2"/>
    </font>
    <font>
      <sz val="11"/>
      <name val="Arial"/>
      <family val="2"/>
    </font>
    <font>
      <vertAlign val="subscript"/>
      <sz val="9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color rgb="FF92D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i/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/>
      </patternFill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2B2B2"/>
      </left>
      <right style="thin">
        <color rgb="FFB2B2B2"/>
      </right>
      <top/>
      <bottom/>
      <diagonal/>
    </border>
  </borders>
  <cellStyleXfs count="23">
    <xf numFmtId="0" fontId="0" fillId="0" borderId="0"/>
    <xf numFmtId="0" fontId="14" fillId="5" borderId="0" applyNumberFormat="0" applyBorder="0" applyAlignment="0" applyProtection="0"/>
    <xf numFmtId="0" fontId="14" fillId="3" borderId="0" applyNumberFormat="0" applyBorder="0" applyAlignment="0" applyProtection="0"/>
    <xf numFmtId="0" fontId="16" fillId="6" borderId="0" applyNumberFormat="0" applyBorder="0" applyAlignment="0" applyProtection="0"/>
    <xf numFmtId="0" fontId="15" fillId="2" borderId="41" applyNumberFormat="0" applyAlignment="0" applyProtection="0"/>
    <xf numFmtId="164" fontId="14" fillId="0" borderId="0" applyFont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70" fontId="13" fillId="0" borderId="0" applyFill="0" applyBorder="0" applyAlignment="0" applyProtection="0"/>
    <xf numFmtId="170" fontId="13" fillId="0" borderId="0" applyFill="0" applyBorder="0" applyAlignment="0" applyProtection="0"/>
    <xf numFmtId="16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4" borderId="42" applyNumberFormat="0" applyFont="0" applyAlignment="0" applyProtection="0"/>
    <xf numFmtId="9" fontId="14" fillId="0" borderId="0" applyFont="0" applyFill="0" applyBorder="0" applyAlignment="0" applyProtection="0"/>
    <xf numFmtId="0" fontId="17" fillId="7" borderId="0" applyNumberFormat="0" applyBorder="0" applyAlignment="0" applyProtection="0"/>
  </cellStyleXfs>
  <cellXfs count="386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20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2" fontId="14" fillId="4" borderId="42" xfId="20" applyNumberFormat="1"/>
    <xf numFmtId="0" fontId="15" fillId="2" borderId="41" xfId="4" applyProtection="1"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14" fillId="4" borderId="42" xfId="20" applyAlignment="1">
      <alignment vertical="top" wrapText="1"/>
    </xf>
    <xf numFmtId="0" fontId="14" fillId="4" borderId="42" xfId="20"/>
    <xf numFmtId="0" fontId="14" fillId="4" borderId="42" xfId="20" applyFont="1"/>
    <xf numFmtId="166" fontId="14" fillId="4" borderId="42" xfId="20" applyNumberFormat="1"/>
    <xf numFmtId="9" fontId="14" fillId="4" borderId="42" xfId="20" applyNumberFormat="1"/>
    <xf numFmtId="165" fontId="14" fillId="4" borderId="42" xfId="20" applyNumberFormat="1"/>
    <xf numFmtId="10" fontId="14" fillId="4" borderId="42" xfId="20" applyNumberFormat="1"/>
    <xf numFmtId="0" fontId="11" fillId="0" borderId="0" xfId="0" applyFont="1" applyAlignment="1">
      <alignment vertical="top" wrapText="1"/>
    </xf>
    <xf numFmtId="166" fontId="0" fillId="0" borderId="0" xfId="0" applyNumberFormat="1"/>
    <xf numFmtId="0" fontId="20" fillId="4" borderId="42" xfId="20" applyFont="1"/>
    <xf numFmtId="166" fontId="20" fillId="4" borderId="42" xfId="20" applyNumberFormat="1" applyFont="1"/>
    <xf numFmtId="0" fontId="14" fillId="4" borderId="42" xfId="20" applyFont="1" applyAlignment="1">
      <alignment wrapText="1"/>
    </xf>
    <xf numFmtId="0" fontId="14" fillId="4" borderId="42" xfId="20" applyFont="1" applyAlignment="1">
      <alignment vertical="top" wrapText="1"/>
    </xf>
    <xf numFmtId="0" fontId="14" fillId="4" borderId="42" xfId="20" applyFont="1" applyAlignment="1">
      <alignment horizontal="center" vertical="center" wrapText="1"/>
    </xf>
    <xf numFmtId="0" fontId="0" fillId="0" borderId="0" xfId="0" applyAlignment="1">
      <alignment wrapText="1"/>
    </xf>
    <xf numFmtId="2" fontId="0" fillId="8" borderId="0" xfId="0" applyNumberFormat="1" applyFill="1"/>
    <xf numFmtId="165" fontId="14" fillId="8" borderId="0" xfId="21" applyNumberFormat="1" applyFont="1" applyFill="1"/>
    <xf numFmtId="165" fontId="14" fillId="0" borderId="0" xfId="21" applyNumberFormat="1" applyFont="1"/>
    <xf numFmtId="0" fontId="15" fillId="2" borderId="41" xfId="4"/>
    <xf numFmtId="0" fontId="9" fillId="0" borderId="0" xfId="0" applyFont="1" applyAlignment="1">
      <alignment horizontal="center" vertical="center" wrapText="1"/>
    </xf>
    <xf numFmtId="0" fontId="17" fillId="7" borderId="0" xfId="22"/>
    <xf numFmtId="0" fontId="17" fillId="7" borderId="42" xfId="22" applyBorder="1"/>
    <xf numFmtId="165" fontId="17" fillId="7" borderId="42" xfId="22" applyNumberFormat="1" applyBorder="1"/>
    <xf numFmtId="165" fontId="17" fillId="7" borderId="42" xfId="22" applyNumberFormat="1" applyBorder="1" applyAlignment="1">
      <alignment horizontal="right"/>
    </xf>
    <xf numFmtId="2" fontId="14" fillId="4" borderId="42" xfId="20" applyNumberFormat="1" applyFont="1"/>
    <xf numFmtId="0" fontId="14" fillId="4" borderId="42" xfId="20" applyFont="1" applyAlignment="1">
      <alignment horizontal="left" vertical="top" wrapText="1"/>
    </xf>
    <xf numFmtId="0" fontId="14" fillId="8" borderId="42" xfId="2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42" xfId="20" applyFill="1" applyAlignment="1">
      <alignment vertical="top" wrapText="1"/>
    </xf>
    <xf numFmtId="0" fontId="14" fillId="0" borderId="42" xfId="20" applyFill="1"/>
    <xf numFmtId="165" fontId="14" fillId="0" borderId="42" xfId="20" applyNumberFormat="1" applyFill="1"/>
    <xf numFmtId="10" fontId="14" fillId="0" borderId="42" xfId="20" applyNumberFormat="1" applyFill="1"/>
    <xf numFmtId="2" fontId="14" fillId="0" borderId="42" xfId="20" applyNumberFormat="1" applyFill="1"/>
    <xf numFmtId="165" fontId="17" fillId="0" borderId="42" xfId="22" applyNumberFormat="1" applyFill="1" applyBorder="1"/>
    <xf numFmtId="165" fontId="17" fillId="0" borderId="42" xfId="22" applyNumberFormat="1" applyFill="1" applyBorder="1" applyAlignment="1">
      <alignment horizontal="right"/>
    </xf>
    <xf numFmtId="166" fontId="14" fillId="0" borderId="42" xfId="20" applyNumberFormat="1" applyFill="1"/>
    <xf numFmtId="0" fontId="17" fillId="0" borderId="0" xfId="22" applyFill="1"/>
    <xf numFmtId="0" fontId="24" fillId="4" borderId="42" xfId="20" applyFont="1"/>
    <xf numFmtId="1" fontId="0" fillId="0" borderId="0" xfId="0" applyNumberFormat="1" applyAlignment="1">
      <alignment horizontal="center"/>
    </xf>
    <xf numFmtId="0" fontId="17" fillId="7" borderId="43" xfId="22" applyBorder="1"/>
    <xf numFmtId="0" fontId="14" fillId="4" borderId="42" xfId="20" applyAlignment="1">
      <alignment horizontal="center" vertical="center" wrapText="1"/>
    </xf>
    <xf numFmtId="165" fontId="14" fillId="0" borderId="43" xfId="20" applyNumberFormat="1" applyFill="1" applyBorder="1"/>
    <xf numFmtId="10" fontId="14" fillId="0" borderId="44" xfId="20" applyNumberFormat="1" applyFill="1" applyBorder="1"/>
    <xf numFmtId="165" fontId="17" fillId="7" borderId="45" xfId="22" applyNumberFormat="1" applyBorder="1"/>
    <xf numFmtId="10" fontId="14" fillId="4" borderId="46" xfId="20" applyNumberFormat="1" applyBorder="1"/>
    <xf numFmtId="10" fontId="0" fillId="0" borderId="0" xfId="0" applyNumberFormat="1" applyAlignment="1">
      <alignment horizontal="center"/>
    </xf>
    <xf numFmtId="167" fontId="17" fillId="7" borderId="42" xfId="5" applyNumberFormat="1" applyFont="1" applyFill="1" applyBorder="1"/>
    <xf numFmtId="164" fontId="14" fillId="4" borderId="42" xfId="5" applyFill="1" applyBorder="1"/>
    <xf numFmtId="0" fontId="0" fillId="16" borderId="0" xfId="0" applyFill="1" applyAlignment="1">
      <alignment vertical="center"/>
    </xf>
    <xf numFmtId="0" fontId="0" fillId="16" borderId="0" xfId="0" applyFill="1"/>
    <xf numFmtId="0" fontId="33" fillId="0" borderId="2" xfId="0" applyFont="1" applyBorder="1" applyAlignment="1">
      <alignment horizontal="center" vertical="center"/>
    </xf>
    <xf numFmtId="1" fontId="28" fillId="18" borderId="47" xfId="4" applyNumberFormat="1" applyFont="1" applyFill="1" applyBorder="1" applyAlignment="1" applyProtection="1">
      <alignment horizontal="center"/>
      <protection hidden="1"/>
    </xf>
    <xf numFmtId="2" fontId="28" fillId="9" borderId="47" xfId="4" applyNumberFormat="1" applyFont="1" applyFill="1" applyBorder="1" applyAlignment="1" applyProtection="1">
      <alignment horizontal="center"/>
      <protection hidden="1"/>
    </xf>
    <xf numFmtId="2" fontId="25" fillId="0" borderId="47" xfId="4" applyNumberFormat="1" applyFont="1" applyFill="1" applyBorder="1" applyAlignment="1" applyProtection="1">
      <alignment horizontal="center"/>
      <protection hidden="1"/>
    </xf>
    <xf numFmtId="2" fontId="25" fillId="0" borderId="48" xfId="4" applyNumberFormat="1" applyFont="1" applyFill="1" applyBorder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0" fillId="12" borderId="37" xfId="0" applyFont="1" applyFill="1" applyBorder="1" applyAlignment="1" applyProtection="1">
      <alignment horizontal="center" vertical="center"/>
      <protection hidden="1"/>
    </xf>
    <xf numFmtId="0" fontId="20" fillId="12" borderId="38" xfId="0" applyFont="1" applyFill="1" applyBorder="1" applyAlignment="1" applyProtection="1">
      <alignment horizontal="center" vertical="center"/>
      <protection hidden="1"/>
    </xf>
    <xf numFmtId="0" fontId="20" fillId="12" borderId="25" xfId="0" applyFont="1" applyFill="1" applyBorder="1" applyAlignment="1" applyProtection="1">
      <alignment horizontal="center" vertical="center"/>
      <protection hidden="1"/>
    </xf>
    <xf numFmtId="0" fontId="20" fillId="14" borderId="6" xfId="0" applyFont="1" applyFill="1" applyBorder="1" applyAlignment="1" applyProtection="1">
      <alignment vertical="center"/>
      <protection hidden="1"/>
    </xf>
    <xf numFmtId="0" fontId="20" fillId="14" borderId="18" xfId="0" applyFont="1" applyFill="1" applyBorder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0" fillId="15" borderId="6" xfId="0" applyFont="1" applyFill="1" applyBorder="1" applyAlignment="1" applyProtection="1">
      <alignment horizontal="center" vertical="center"/>
      <protection hidden="1"/>
    </xf>
    <xf numFmtId="0" fontId="20" fillId="15" borderId="18" xfId="0" applyFont="1" applyFill="1" applyBorder="1" applyAlignment="1" applyProtection="1">
      <alignment horizontal="center" vertical="center"/>
      <protection hidden="1"/>
    </xf>
    <xf numFmtId="0" fontId="20" fillId="0" borderId="24" xfId="0" applyFont="1" applyBorder="1" applyAlignment="1" applyProtection="1">
      <alignment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14" fontId="0" fillId="18" borderId="13" xfId="0" applyNumberFormat="1" applyFill="1" applyBorder="1" applyAlignment="1" applyProtection="1">
      <alignment horizontal="center" vertical="center"/>
      <protection hidden="1"/>
    </xf>
    <xf numFmtId="1" fontId="14" fillId="18" borderId="14" xfId="3" applyNumberFormat="1" applyFont="1" applyFill="1" applyBorder="1" applyAlignment="1" applyProtection="1">
      <alignment horizontal="center" vertical="center"/>
      <protection hidden="1"/>
    </xf>
    <xf numFmtId="0" fontId="30" fillId="3" borderId="9" xfId="2" applyFont="1" applyBorder="1" applyAlignment="1" applyProtection="1">
      <alignment vertical="center"/>
      <protection hidden="1"/>
    </xf>
    <xf numFmtId="2" fontId="14" fillId="3" borderId="20" xfId="2" applyNumberFormat="1" applyBorder="1" applyAlignment="1" applyProtection="1">
      <alignment horizontal="right" vertical="center"/>
      <protection hidden="1"/>
    </xf>
    <xf numFmtId="14" fontId="0" fillId="18" borderId="15" xfId="0" applyNumberFormat="1" applyFill="1" applyBorder="1" applyAlignment="1" applyProtection="1">
      <alignment horizontal="center" vertical="center"/>
      <protection hidden="1"/>
    </xf>
    <xf numFmtId="0" fontId="0" fillId="18" borderId="29" xfId="0" applyFill="1" applyBorder="1" applyAlignment="1" applyProtection="1">
      <alignment horizontal="center" vertical="center"/>
      <protection hidden="1"/>
    </xf>
    <xf numFmtId="0" fontId="0" fillId="18" borderId="2" xfId="0" applyFill="1" applyBorder="1" applyAlignment="1" applyProtection="1">
      <alignment horizontal="center" vertical="center"/>
      <protection hidden="1"/>
    </xf>
    <xf numFmtId="0" fontId="0" fillId="18" borderId="4" xfId="0" applyFill="1" applyBorder="1" applyAlignment="1" applyProtection="1">
      <alignment horizontal="center" vertical="center"/>
      <protection hidden="1"/>
    </xf>
    <xf numFmtId="14" fontId="0" fillId="18" borderId="3" xfId="0" applyNumberFormat="1" applyFill="1" applyBorder="1" applyAlignment="1" applyProtection="1">
      <alignment horizontal="center" vertical="center"/>
      <protection hidden="1"/>
    </xf>
    <xf numFmtId="1" fontId="14" fillId="18" borderId="4" xfId="3" applyNumberFormat="1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14" fontId="0" fillId="18" borderId="16" xfId="0" applyNumberFormat="1" applyFill="1" applyBorder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14" fontId="28" fillId="9" borderId="3" xfId="0" applyNumberFormat="1" applyFont="1" applyFill="1" applyBorder="1" applyAlignment="1" applyProtection="1">
      <alignment horizontal="center" vertical="center"/>
      <protection hidden="1"/>
    </xf>
    <xf numFmtId="2" fontId="28" fillId="9" borderId="4" xfId="3" applyNumberFormat="1" applyFont="1" applyFill="1" applyBorder="1" applyAlignment="1" applyProtection="1">
      <alignment horizontal="center" vertical="center"/>
      <protection hidden="1"/>
    </xf>
    <xf numFmtId="2" fontId="0" fillId="0" borderId="0" xfId="0" applyNumberFormat="1" applyAlignment="1" applyProtection="1">
      <alignment vertical="center"/>
      <protection hidden="1"/>
    </xf>
    <xf numFmtId="14" fontId="0" fillId="9" borderId="16" xfId="0" applyNumberFormat="1" applyFill="1" applyBorder="1" applyAlignment="1" applyProtection="1">
      <alignment horizontal="center" vertical="center"/>
      <protection hidden="1"/>
    </xf>
    <xf numFmtId="0" fontId="0" fillId="9" borderId="29" xfId="0" applyFill="1" applyBorder="1" applyAlignment="1" applyProtection="1">
      <alignment horizontal="center" vertical="center"/>
      <protection hidden="1"/>
    </xf>
    <xf numFmtId="0" fontId="0" fillId="9" borderId="2" xfId="0" applyFill="1" applyBorder="1" applyAlignment="1" applyProtection="1">
      <alignment horizontal="center" vertical="center"/>
      <protection hidden="1"/>
    </xf>
    <xf numFmtId="0" fontId="0" fillId="9" borderId="4" xfId="0" applyFill="1" applyBorder="1" applyAlignment="1" applyProtection="1">
      <alignment horizontal="center" vertical="center"/>
      <protection hidden="1"/>
    </xf>
    <xf numFmtId="14" fontId="0" fillId="0" borderId="3" xfId="0" applyNumberFormat="1" applyBorder="1" applyAlignment="1" applyProtection="1">
      <alignment horizontal="center" vertical="center"/>
      <protection hidden="1"/>
    </xf>
    <xf numFmtId="2" fontId="16" fillId="18" borderId="4" xfId="3" applyNumberFormat="1" applyFill="1" applyBorder="1" applyAlignment="1" applyProtection="1">
      <alignment vertical="center"/>
      <protection hidden="1"/>
    </xf>
    <xf numFmtId="0" fontId="14" fillId="3" borderId="3" xfId="2" applyBorder="1" applyAlignment="1" applyProtection="1">
      <alignment vertical="center"/>
      <protection hidden="1"/>
    </xf>
    <xf numFmtId="0" fontId="14" fillId="3" borderId="4" xfId="2" applyBorder="1" applyAlignment="1" applyProtection="1">
      <alignment horizontal="right" vertical="center"/>
      <protection hidden="1"/>
    </xf>
    <xf numFmtId="14" fontId="0" fillId="0" borderId="16" xfId="0" applyNumberFormat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11" borderId="5" xfId="0" applyFill="1" applyBorder="1" applyAlignment="1" applyProtection="1">
      <alignment vertical="center"/>
      <protection hidden="1"/>
    </xf>
    <xf numFmtId="0" fontId="0" fillId="11" borderId="8" xfId="0" applyFill="1" applyBorder="1" applyAlignment="1" applyProtection="1">
      <alignment vertical="center"/>
      <protection hidden="1"/>
    </xf>
    <xf numFmtId="14" fontId="0" fillId="0" borderId="5" xfId="0" applyNumberFormat="1" applyBorder="1" applyAlignment="1" applyProtection="1">
      <alignment horizontal="center" vertical="center"/>
      <protection hidden="1"/>
    </xf>
    <xf numFmtId="14" fontId="0" fillId="0" borderId="17" xfId="0" applyNumberFormat="1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2" fontId="20" fillId="0" borderId="5" xfId="0" applyNumberFormat="1" applyFont="1" applyBorder="1" applyAlignment="1" applyProtection="1">
      <alignment vertical="center"/>
      <protection hidden="1"/>
    </xf>
    <xf numFmtId="2" fontId="16" fillId="18" borderId="8" xfId="3" applyNumberFormat="1" applyFill="1" applyBorder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2" fontId="1" fillId="0" borderId="0" xfId="0" applyNumberFormat="1" applyFont="1" applyAlignment="1" applyProtection="1">
      <alignment vertical="center"/>
      <protection hidden="1"/>
    </xf>
    <xf numFmtId="0" fontId="0" fillId="0" borderId="9" xfId="0" applyBorder="1" applyAlignment="1" applyProtection="1">
      <alignment vertical="center" wrapText="1"/>
      <protection hidden="1"/>
    </xf>
    <xf numFmtId="0" fontId="20" fillId="20" borderId="23" xfId="2" applyFont="1" applyFill="1" applyBorder="1" applyAlignment="1" applyProtection="1">
      <alignment horizontal="center" vertical="center" wrapText="1"/>
      <protection hidden="1"/>
    </xf>
    <xf numFmtId="0" fontId="20" fillId="20" borderId="39" xfId="2" applyFont="1" applyFill="1" applyBorder="1" applyAlignment="1" applyProtection="1">
      <alignment horizontal="center" vertical="center" wrapText="1"/>
      <protection hidden="1"/>
    </xf>
    <xf numFmtId="0" fontId="20" fillId="13" borderId="6" xfId="0" applyFont="1" applyFill="1" applyBorder="1" applyAlignment="1" applyProtection="1">
      <alignment horizontal="center" vertical="center"/>
      <protection hidden="1"/>
    </xf>
    <xf numFmtId="0" fontId="20" fillId="13" borderId="18" xfId="2" applyFont="1" applyFill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vertical="center" wrapText="1"/>
      <protection hidden="1"/>
    </xf>
    <xf numFmtId="14" fontId="0" fillId="18" borderId="2" xfId="0" applyNumberFormat="1" applyFill="1" applyBorder="1" applyAlignment="1" applyProtection="1">
      <alignment horizontal="center" vertical="center"/>
      <protection hidden="1"/>
    </xf>
    <xf numFmtId="14" fontId="28" fillId="18" borderId="2" xfId="0" applyNumberFormat="1" applyFont="1" applyFill="1" applyBorder="1" applyAlignment="1" applyProtection="1">
      <alignment horizontal="center" vertical="center"/>
      <protection hidden="1"/>
    </xf>
    <xf numFmtId="14" fontId="0" fillId="9" borderId="2" xfId="0" applyNumberFormat="1" applyFill="1" applyBorder="1" applyAlignment="1" applyProtection="1">
      <alignment horizontal="center" vertical="center"/>
      <protection hidden="1"/>
    </xf>
    <xf numFmtId="14" fontId="0" fillId="0" borderId="2" xfId="0" applyNumberFormat="1" applyBorder="1" applyAlignment="1" applyProtection="1">
      <alignment horizontal="center" vertical="center"/>
      <protection hidden="1"/>
    </xf>
    <xf numFmtId="0" fontId="26" fillId="0" borderId="13" xfId="0" applyFont="1" applyBorder="1" applyAlignment="1" applyProtection="1">
      <alignment vertical="center"/>
      <protection hidden="1"/>
    </xf>
    <xf numFmtId="0" fontId="26" fillId="0" borderId="14" xfId="0" applyFont="1" applyBorder="1" applyAlignment="1" applyProtection="1">
      <alignment vertical="center"/>
      <protection hidden="1"/>
    </xf>
    <xf numFmtId="0" fontId="1" fillId="0" borderId="15" xfId="0" applyFont="1" applyBorder="1" applyAlignment="1" applyProtection="1">
      <alignment vertical="center" wrapText="1"/>
      <protection hidden="1"/>
    </xf>
    <xf numFmtId="165" fontId="0" fillId="18" borderId="29" xfId="0" applyNumberFormat="1" applyFill="1" applyBorder="1" applyAlignment="1" applyProtection="1">
      <alignment horizontal="center" vertical="center"/>
      <protection hidden="1"/>
    </xf>
    <xf numFmtId="165" fontId="0" fillId="18" borderId="2" xfId="0" applyNumberFormat="1" applyFill="1" applyBorder="1" applyAlignment="1" applyProtection="1">
      <alignment horizontal="center" vertical="center"/>
      <protection hidden="1"/>
    </xf>
    <xf numFmtId="165" fontId="29" fillId="18" borderId="2" xfId="0" applyNumberFormat="1" applyFont="1" applyFill="1" applyBorder="1" applyAlignment="1" applyProtection="1">
      <alignment horizontal="center" vertical="center"/>
      <protection hidden="1"/>
    </xf>
    <xf numFmtId="165" fontId="29" fillId="9" borderId="2" xfId="0" applyNumberFormat="1" applyFont="1" applyFill="1" applyBorder="1" applyAlignment="1" applyProtection="1">
      <alignment vertical="center"/>
      <protection hidden="1"/>
    </xf>
    <xf numFmtId="165" fontId="26" fillId="0" borderId="2" xfId="0" applyNumberFormat="1" applyFont="1" applyBorder="1" applyAlignment="1" applyProtection="1">
      <alignment vertical="center"/>
      <protection hidden="1"/>
    </xf>
    <xf numFmtId="165" fontId="26" fillId="0" borderId="11" xfId="0" applyNumberFormat="1" applyFont="1" applyBorder="1" applyAlignment="1" applyProtection="1">
      <alignment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165" fontId="0" fillId="0" borderId="0" xfId="0" applyNumberFormat="1" applyAlignment="1" applyProtection="1">
      <alignment vertical="center"/>
      <protection hidden="1"/>
    </xf>
    <xf numFmtId="165" fontId="26" fillId="0" borderId="0" xfId="0" applyNumberFormat="1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1" fillId="0" borderId="16" xfId="0" applyFont="1" applyBorder="1" applyAlignment="1" applyProtection="1">
      <alignment vertical="center" wrapText="1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2" fontId="26" fillId="0" borderId="0" xfId="0" applyNumberFormat="1" applyFont="1" applyAlignment="1" applyProtection="1">
      <alignment vertical="center"/>
      <protection hidden="1"/>
    </xf>
    <xf numFmtId="0" fontId="20" fillId="0" borderId="17" xfId="0" applyFont="1" applyBorder="1" applyAlignment="1" applyProtection="1">
      <alignment vertical="center"/>
      <protection hidden="1"/>
    </xf>
    <xf numFmtId="165" fontId="0" fillId="18" borderId="30" xfId="0" applyNumberFormat="1" applyFill="1" applyBorder="1" applyAlignment="1" applyProtection="1">
      <alignment horizontal="center" vertical="center"/>
      <protection hidden="1"/>
    </xf>
    <xf numFmtId="165" fontId="0" fillId="18" borderId="10" xfId="0" applyNumberFormat="1" applyFill="1" applyBorder="1" applyAlignment="1" applyProtection="1">
      <alignment horizontal="center" vertical="center"/>
      <protection hidden="1"/>
    </xf>
    <xf numFmtId="165" fontId="29" fillId="9" borderId="10" xfId="0" applyNumberFormat="1" applyFont="1" applyFill="1" applyBorder="1" applyAlignment="1" applyProtection="1">
      <alignment horizontal="center" vertical="center"/>
      <protection hidden="1"/>
    </xf>
    <xf numFmtId="0" fontId="26" fillId="0" borderId="10" xfId="0" applyFont="1" applyBorder="1" applyAlignment="1" applyProtection="1">
      <alignment vertical="center"/>
      <protection hidden="1"/>
    </xf>
    <xf numFmtId="0" fontId="26" fillId="0" borderId="12" xfId="0" applyFont="1" applyBorder="1" applyAlignment="1" applyProtection="1">
      <alignment vertical="center"/>
      <protection hidden="1"/>
    </xf>
    <xf numFmtId="0" fontId="26" fillId="0" borderId="5" xfId="0" applyFont="1" applyBorder="1" applyAlignment="1" applyProtection="1">
      <alignment vertical="center"/>
      <protection hidden="1"/>
    </xf>
    <xf numFmtId="0" fontId="0" fillId="0" borderId="8" xfId="0" applyBorder="1" applyAlignment="1" applyProtection="1">
      <alignment vertical="center"/>
      <protection hidden="1"/>
    </xf>
    <xf numFmtId="0" fontId="20" fillId="0" borderId="6" xfId="0" applyFont="1" applyBorder="1" applyAlignment="1" applyProtection="1">
      <alignment vertical="center"/>
      <protection hidden="1"/>
    </xf>
    <xf numFmtId="0" fontId="14" fillId="12" borderId="18" xfId="2" applyFill="1" applyBorder="1" applyAlignment="1" applyProtection="1">
      <alignment horizontal="center" vertical="center"/>
      <protection hidden="1"/>
    </xf>
    <xf numFmtId="0" fontId="20" fillId="0" borderId="19" xfId="0" applyFont="1" applyBorder="1" applyAlignment="1" applyProtection="1">
      <alignment horizontal="center" vertical="center" wrapText="1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vertical="center"/>
      <protection hidden="1"/>
    </xf>
    <xf numFmtId="2" fontId="5" fillId="18" borderId="14" xfId="0" applyNumberFormat="1" applyFont="1" applyFill="1" applyBorder="1" applyAlignment="1" applyProtection="1">
      <alignment horizontal="center" vertical="center"/>
      <protection hidden="1"/>
    </xf>
    <xf numFmtId="172" fontId="5" fillId="18" borderId="14" xfId="0" applyNumberFormat="1" applyFont="1" applyFill="1" applyBorder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32" fillId="0" borderId="31" xfId="0" applyFont="1" applyBorder="1" applyAlignment="1" applyProtection="1">
      <alignment horizontal="center" vertical="center" wrapText="1"/>
      <protection hidden="1"/>
    </xf>
    <xf numFmtId="0" fontId="1" fillId="0" borderId="31" xfId="0" applyFont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14" fontId="0" fillId="18" borderId="3" xfId="0" applyNumberFormat="1" applyFill="1" applyBorder="1" applyAlignment="1" applyProtection="1">
      <alignment vertical="center"/>
      <protection hidden="1"/>
    </xf>
    <xf numFmtId="2" fontId="0" fillId="18" borderId="2" xfId="0" applyNumberFormat="1" applyFill="1" applyBorder="1" applyAlignment="1" applyProtection="1">
      <alignment horizontal="center" vertical="center"/>
      <protection hidden="1"/>
    </xf>
    <xf numFmtId="2" fontId="0" fillId="18" borderId="4" xfId="0" applyNumberFormat="1" applyFill="1" applyBorder="1" applyAlignment="1" applyProtection="1">
      <alignment horizontal="center" vertical="center"/>
      <protection hidden="1"/>
    </xf>
    <xf numFmtId="2" fontId="5" fillId="18" borderId="14" xfId="0" applyNumberFormat="1" applyFont="1" applyFill="1" applyBorder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14" fontId="29" fillId="18" borderId="3" xfId="0" applyNumberFormat="1" applyFont="1" applyFill="1" applyBorder="1" applyAlignment="1" applyProtection="1">
      <alignment horizontal="center" vertical="center"/>
      <protection hidden="1"/>
    </xf>
    <xf numFmtId="14" fontId="0" fillId="9" borderId="3" xfId="0" applyNumberFormat="1" applyFill="1" applyBorder="1" applyAlignment="1" applyProtection="1">
      <alignment horizontal="center" vertical="center"/>
      <protection hidden="1"/>
    </xf>
    <xf numFmtId="2" fontId="5" fillId="9" borderId="14" xfId="0" applyNumberFormat="1" applyFont="1" applyFill="1" applyBorder="1" applyAlignment="1" applyProtection="1">
      <alignment horizontal="center" vertical="center"/>
      <protection hidden="1"/>
    </xf>
    <xf numFmtId="2" fontId="5" fillId="9" borderId="14" xfId="0" applyNumberFormat="1" applyFont="1" applyFill="1" applyBorder="1" applyAlignment="1" applyProtection="1">
      <alignment vertical="center"/>
      <protection hidden="1"/>
    </xf>
    <xf numFmtId="0" fontId="29" fillId="18" borderId="2" xfId="0" applyFont="1" applyFill="1" applyBorder="1" applyAlignment="1" applyProtection="1">
      <alignment horizontal="center" vertical="center"/>
      <protection hidden="1"/>
    </xf>
    <xf numFmtId="2" fontId="29" fillId="18" borderId="2" xfId="0" applyNumberFormat="1" applyFont="1" applyFill="1" applyBorder="1" applyAlignment="1" applyProtection="1">
      <alignment horizontal="center" vertical="center"/>
      <protection hidden="1"/>
    </xf>
    <xf numFmtId="2" fontId="29" fillId="18" borderId="4" xfId="0" applyNumberFormat="1" applyFont="1" applyFill="1" applyBorder="1" applyAlignment="1" applyProtection="1">
      <alignment horizontal="center" vertical="center"/>
      <protection hidden="1"/>
    </xf>
    <xf numFmtId="2" fontId="5" fillId="0" borderId="14" xfId="0" applyNumberFormat="1" applyFont="1" applyBorder="1" applyAlignment="1" applyProtection="1">
      <alignment horizontal="center" vertical="center"/>
      <protection hidden="1"/>
    </xf>
    <xf numFmtId="2" fontId="5" fillId="0" borderId="14" xfId="0" applyNumberFormat="1" applyFont="1" applyBorder="1" applyAlignment="1" applyProtection="1">
      <alignment vertical="center"/>
      <protection hidden="1"/>
    </xf>
    <xf numFmtId="2" fontId="0" fillId="9" borderId="2" xfId="0" applyNumberFormat="1" applyFill="1" applyBorder="1" applyAlignment="1" applyProtection="1">
      <alignment horizontal="center" vertical="center"/>
      <protection hidden="1"/>
    </xf>
    <xf numFmtId="2" fontId="0" fillId="9" borderId="4" xfId="0" applyNumberFormat="1" applyFill="1" applyBorder="1" applyAlignment="1" applyProtection="1">
      <alignment horizontal="center" vertical="center"/>
      <protection hidden="1"/>
    </xf>
    <xf numFmtId="2" fontId="0" fillId="0" borderId="2" xfId="0" applyNumberFormat="1" applyBorder="1" applyAlignment="1" applyProtection="1">
      <alignment horizontal="center" vertical="center"/>
      <protection hidden="1"/>
    </xf>
    <xf numFmtId="2" fontId="0" fillId="0" borderId="4" xfId="0" applyNumberFormat="1" applyBorder="1" applyAlignment="1" applyProtection="1">
      <alignment horizontal="center" vertical="center"/>
      <protection hidden="1"/>
    </xf>
    <xf numFmtId="14" fontId="0" fillId="0" borderId="7" xfId="0" applyNumberFormat="1" applyBorder="1" applyAlignment="1" applyProtection="1">
      <alignment horizontal="center" vertical="center"/>
      <protection hidden="1"/>
    </xf>
    <xf numFmtId="2" fontId="20" fillId="0" borderId="18" xfId="0" applyNumberFormat="1" applyFont="1" applyBorder="1" applyAlignment="1" applyProtection="1">
      <alignment vertical="center"/>
      <protection hidden="1"/>
    </xf>
    <xf numFmtId="2" fontId="0" fillId="0" borderId="10" xfId="0" applyNumberFormat="1" applyBorder="1" applyAlignment="1" applyProtection="1">
      <alignment horizontal="center" vertical="center"/>
      <protection hidden="1"/>
    </xf>
    <xf numFmtId="2" fontId="0" fillId="0" borderId="8" xfId="0" applyNumberFormat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28" fillId="10" borderId="1" xfId="0" applyFont="1" applyFill="1" applyBorder="1" applyAlignment="1" applyProtection="1">
      <alignment horizontal="center" vertical="center" wrapText="1"/>
      <protection hidden="1"/>
    </xf>
    <xf numFmtId="0" fontId="29" fillId="10" borderId="21" xfId="2" applyFont="1" applyFill="1" applyBorder="1" applyAlignment="1" applyProtection="1">
      <alignment vertical="center" wrapText="1"/>
      <protection hidden="1"/>
    </xf>
    <xf numFmtId="0" fontId="29" fillId="10" borderId="19" xfId="2" applyFont="1" applyFill="1" applyBorder="1" applyAlignment="1" applyProtection="1">
      <alignment vertical="center" wrapText="1"/>
      <protection hidden="1"/>
    </xf>
    <xf numFmtId="0" fontId="29" fillId="10" borderId="19" xfId="1" applyFont="1" applyFill="1" applyBorder="1" applyAlignment="1" applyProtection="1">
      <alignment vertical="center" wrapText="1"/>
      <protection hidden="1"/>
    </xf>
    <xf numFmtId="0" fontId="29" fillId="10" borderId="18" xfId="3" applyFont="1" applyFill="1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20" fillId="15" borderId="6" xfId="0" applyFont="1" applyFill="1" applyBorder="1" applyProtection="1">
      <protection hidden="1"/>
    </xf>
    <xf numFmtId="0" fontId="20" fillId="15" borderId="18" xfId="0" applyFont="1" applyFill="1" applyBorder="1" applyProtection="1"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14" fontId="0" fillId="18" borderId="32" xfId="0" applyNumberFormat="1" applyFill="1" applyBorder="1" applyAlignment="1" applyProtection="1">
      <alignment horizontal="center" vertical="center"/>
      <protection hidden="1"/>
    </xf>
    <xf numFmtId="1" fontId="0" fillId="18" borderId="33" xfId="0" applyNumberFormat="1" applyFill="1" applyBorder="1" applyAlignment="1" applyProtection="1">
      <alignment horizontal="center"/>
      <protection hidden="1"/>
    </xf>
    <xf numFmtId="1" fontId="0" fillId="18" borderId="31" xfId="0" applyNumberFormat="1" applyFill="1" applyBorder="1" applyAlignment="1" applyProtection="1">
      <alignment horizontal="center"/>
      <protection hidden="1"/>
    </xf>
    <xf numFmtId="1" fontId="14" fillId="18" borderId="31" xfId="1" applyNumberFormat="1" applyFill="1" applyBorder="1" applyAlignment="1" applyProtection="1">
      <alignment horizontal="center"/>
      <protection hidden="1"/>
    </xf>
    <xf numFmtId="1" fontId="29" fillId="18" borderId="14" xfId="3" applyNumberFormat="1" applyFont="1" applyFill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9" xfId="0" applyBorder="1" applyProtection="1">
      <protection hidden="1"/>
    </xf>
    <xf numFmtId="0" fontId="0" fillId="0" borderId="20" xfId="0" applyBorder="1" applyProtection="1">
      <protection hidden="1"/>
    </xf>
    <xf numFmtId="1" fontId="0" fillId="18" borderId="29" xfId="0" applyNumberFormat="1" applyFill="1" applyBorder="1" applyAlignment="1" applyProtection="1">
      <alignment horizontal="center"/>
      <protection hidden="1"/>
    </xf>
    <xf numFmtId="1" fontId="0" fillId="18" borderId="2" xfId="0" applyNumberFormat="1" applyFill="1" applyBorder="1" applyAlignment="1" applyProtection="1">
      <alignment horizontal="center"/>
      <protection hidden="1"/>
    </xf>
    <xf numFmtId="1" fontId="14" fillId="18" borderId="2" xfId="1" applyNumberFormat="1" applyFill="1" applyBorder="1" applyAlignment="1" applyProtection="1">
      <alignment horizontal="center"/>
      <protection hidden="1"/>
    </xf>
    <xf numFmtId="1" fontId="29" fillId="18" borderId="4" xfId="3" applyNumberFormat="1" applyFont="1" applyFill="1" applyBorder="1" applyAlignment="1" applyProtection="1">
      <alignment horizontal="center"/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1" fontId="0" fillId="0" borderId="3" xfId="0" applyNumberFormat="1" applyBorder="1" applyProtection="1">
      <protection hidden="1"/>
    </xf>
    <xf numFmtId="172" fontId="0" fillId="0" borderId="2" xfId="0" applyNumberFormat="1" applyBorder="1" applyAlignment="1" applyProtection="1">
      <alignment horizontal="center" vertical="center"/>
      <protection hidden="1"/>
    </xf>
    <xf numFmtId="1" fontId="0" fillId="0" borderId="4" xfId="0" applyNumberFormat="1" applyBorder="1" applyProtection="1">
      <protection hidden="1"/>
    </xf>
    <xf numFmtId="1" fontId="0" fillId="18" borderId="16" xfId="0" applyNumberFormat="1" applyFill="1" applyBorder="1" applyAlignment="1" applyProtection="1">
      <alignment horizontal="center" vertical="center"/>
      <protection hidden="1"/>
    </xf>
    <xf numFmtId="1" fontId="0" fillId="0" borderId="0" xfId="0" applyNumberFormat="1" applyProtection="1">
      <protection hidden="1"/>
    </xf>
    <xf numFmtId="0" fontId="0" fillId="0" borderId="5" xfId="0" applyBorder="1" applyProtection="1">
      <protection hidden="1"/>
    </xf>
    <xf numFmtId="0" fontId="0" fillId="0" borderId="8" xfId="0" applyBorder="1" applyProtection="1">
      <protection hidden="1"/>
    </xf>
    <xf numFmtId="0" fontId="20" fillId="0" borderId="0" xfId="0" applyFont="1" applyProtection="1">
      <protection hidden="1"/>
    </xf>
    <xf numFmtId="14" fontId="28" fillId="9" borderId="16" xfId="0" applyNumberFormat="1" applyFont="1" applyFill="1" applyBorder="1" applyAlignment="1" applyProtection="1">
      <alignment horizontal="center" vertical="center"/>
      <protection hidden="1"/>
    </xf>
    <xf numFmtId="1" fontId="28" fillId="9" borderId="29" xfId="0" applyNumberFormat="1" applyFont="1" applyFill="1" applyBorder="1" applyAlignment="1" applyProtection="1">
      <alignment horizontal="center"/>
      <protection hidden="1"/>
    </xf>
    <xf numFmtId="1" fontId="28" fillId="9" borderId="2" xfId="0" applyNumberFormat="1" applyFont="1" applyFill="1" applyBorder="1" applyAlignment="1" applyProtection="1">
      <alignment horizontal="center"/>
      <protection hidden="1"/>
    </xf>
    <xf numFmtId="1" fontId="28" fillId="9" borderId="2" xfId="1" applyNumberFormat="1" applyFont="1" applyFill="1" applyBorder="1" applyAlignment="1" applyProtection="1">
      <alignment horizontal="center"/>
      <protection hidden="1"/>
    </xf>
    <xf numFmtId="1" fontId="28" fillId="9" borderId="4" xfId="3" applyNumberFormat="1" applyFont="1" applyFill="1" applyBorder="1" applyAlignment="1" applyProtection="1">
      <alignment horizontal="center"/>
      <protection hidden="1"/>
    </xf>
    <xf numFmtId="0" fontId="0" fillId="9" borderId="3" xfId="0" applyFill="1" applyBorder="1" applyAlignment="1" applyProtection="1">
      <alignment horizontal="center" vertical="center"/>
      <protection hidden="1"/>
    </xf>
    <xf numFmtId="1" fontId="26" fillId="0" borderId="29" xfId="0" applyNumberFormat="1" applyFont="1" applyBorder="1" applyAlignment="1" applyProtection="1">
      <alignment horizontal="center"/>
      <protection hidden="1"/>
    </xf>
    <xf numFmtId="1" fontId="26" fillId="0" borderId="2" xfId="0" applyNumberFormat="1" applyFont="1" applyBorder="1" applyAlignment="1" applyProtection="1">
      <alignment horizontal="center"/>
      <protection hidden="1"/>
    </xf>
    <xf numFmtId="1" fontId="26" fillId="0" borderId="2" xfId="1" applyNumberFormat="1" applyFont="1" applyFill="1" applyBorder="1" applyAlignment="1" applyProtection="1">
      <alignment horizontal="center"/>
      <protection hidden="1"/>
    </xf>
    <xf numFmtId="1" fontId="26" fillId="0" borderId="4" xfId="3" applyNumberFormat="1" applyFont="1" applyFill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14" fontId="0" fillId="0" borderId="22" xfId="0" applyNumberFormat="1" applyBorder="1" applyAlignment="1" applyProtection="1">
      <alignment horizontal="center" vertical="center"/>
      <protection hidden="1"/>
    </xf>
    <xf numFmtId="1" fontId="26" fillId="0" borderId="34" xfId="0" applyNumberFormat="1" applyFont="1" applyBorder="1" applyAlignment="1" applyProtection="1">
      <alignment horizontal="center"/>
      <protection hidden="1"/>
    </xf>
    <xf numFmtId="1" fontId="26" fillId="0" borderId="35" xfId="0" applyNumberFormat="1" applyFont="1" applyBorder="1" applyAlignment="1" applyProtection="1">
      <alignment horizontal="center"/>
      <protection hidden="1"/>
    </xf>
    <xf numFmtId="1" fontId="26" fillId="0" borderId="35" xfId="1" applyNumberFormat="1" applyFont="1" applyFill="1" applyBorder="1" applyAlignment="1" applyProtection="1">
      <alignment horizontal="center"/>
      <protection hidden="1"/>
    </xf>
    <xf numFmtId="1" fontId="26" fillId="0" borderId="36" xfId="3" applyNumberFormat="1" applyFont="1" applyFill="1" applyBorder="1" applyAlignment="1" applyProtection="1">
      <alignment horizontal="center"/>
      <protection hidden="1"/>
    </xf>
    <xf numFmtId="0" fontId="26" fillId="0" borderId="1" xfId="0" applyFont="1" applyBorder="1" applyAlignment="1" applyProtection="1">
      <alignment vertical="center"/>
      <protection hidden="1"/>
    </xf>
    <xf numFmtId="166" fontId="0" fillId="0" borderId="27" xfId="0" applyNumberFormat="1" applyBorder="1" applyProtection="1">
      <protection hidden="1"/>
    </xf>
    <xf numFmtId="166" fontId="0" fillId="0" borderId="28" xfId="0" applyNumberFormat="1" applyBorder="1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top" wrapText="1"/>
      <protection hidden="1"/>
    </xf>
    <xf numFmtId="0" fontId="20" fillId="9" borderId="26" xfId="0" applyFont="1" applyFill="1" applyBorder="1" applyAlignment="1" applyProtection="1">
      <alignment horizontal="center"/>
      <protection hidden="1"/>
    </xf>
    <xf numFmtId="0" fontId="20" fillId="9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top" wrapText="1"/>
      <protection hidden="1"/>
    </xf>
    <xf numFmtId="1" fontId="0" fillId="0" borderId="2" xfId="0" applyNumberForma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0" fontId="7" fillId="0" borderId="0" xfId="0" applyFont="1" applyAlignment="1" applyProtection="1">
      <alignment vertical="top" wrapText="1"/>
      <protection hidden="1"/>
    </xf>
    <xf numFmtId="0" fontId="17" fillId="7" borderId="0" xfId="22" applyProtection="1"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4" borderId="42" xfId="20" applyFont="1" applyAlignment="1" applyProtection="1">
      <alignment vertical="top" wrapText="1"/>
      <protection hidden="1"/>
    </xf>
    <xf numFmtId="0" fontId="14" fillId="4" borderId="42" xfId="20" applyAlignment="1" applyProtection="1">
      <alignment vertical="top" wrapText="1"/>
      <protection hidden="1"/>
    </xf>
    <xf numFmtId="2" fontId="14" fillId="4" borderId="42" xfId="20" applyNumberFormat="1" applyProtection="1">
      <protection hidden="1"/>
    </xf>
    <xf numFmtId="0" fontId="14" fillId="4" borderId="42" xfId="20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174" fontId="14" fillId="4" borderId="42" xfId="5" applyNumberFormat="1" applyFill="1" applyBorder="1" applyProtection="1">
      <protection hidden="1"/>
    </xf>
    <xf numFmtId="174" fontId="17" fillId="17" borderId="42" xfId="5" applyNumberFormat="1" applyFont="1" applyFill="1" applyBorder="1" applyProtection="1">
      <protection hidden="1"/>
    </xf>
    <xf numFmtId="174" fontId="17" fillId="17" borderId="42" xfId="22" applyNumberFormat="1" applyFill="1" applyBorder="1" applyProtection="1">
      <protection hidden="1"/>
    </xf>
    <xf numFmtId="164" fontId="14" fillId="4" borderId="42" xfId="20" applyNumberFormat="1" applyAlignment="1" applyProtection="1">
      <alignment vertical="top" wrapText="1"/>
      <protection hidden="1"/>
    </xf>
    <xf numFmtId="174" fontId="20" fillId="8" borderId="42" xfId="20" applyNumberFormat="1" applyFont="1" applyFill="1" applyProtection="1">
      <protection hidden="1"/>
    </xf>
    <xf numFmtId="174" fontId="20" fillId="4" borderId="42" xfId="20" applyNumberFormat="1" applyFont="1" applyProtection="1">
      <protection hidden="1"/>
    </xf>
    <xf numFmtId="0" fontId="14" fillId="4" borderId="42" xfId="20" applyFont="1" applyAlignment="1" applyProtection="1">
      <alignment wrapText="1"/>
      <protection hidden="1"/>
    </xf>
    <xf numFmtId="1" fontId="14" fillId="4" borderId="42" xfId="20" applyNumberFormat="1" applyProtection="1">
      <protection hidden="1"/>
    </xf>
    <xf numFmtId="0" fontId="14" fillId="4" borderId="42" xfId="20" applyFont="1" applyAlignment="1" applyProtection="1">
      <alignment horizontal="center" vertical="center" wrapText="1"/>
      <protection hidden="1"/>
    </xf>
    <xf numFmtId="174" fontId="14" fillId="4" borderId="42" xfId="20" applyNumberFormat="1" applyProtection="1">
      <protection hidden="1"/>
    </xf>
    <xf numFmtId="0" fontId="20" fillId="4" borderId="42" xfId="20" applyFont="1" applyAlignment="1" applyProtection="1">
      <alignment wrapText="1"/>
      <protection hidden="1"/>
    </xf>
    <xf numFmtId="0" fontId="20" fillId="4" borderId="42" xfId="20" applyFont="1" applyProtection="1">
      <protection hidden="1"/>
    </xf>
    <xf numFmtId="164" fontId="20" fillId="8" borderId="42" xfId="20" applyNumberFormat="1" applyFont="1" applyFill="1" applyProtection="1">
      <protection hidden="1"/>
    </xf>
    <xf numFmtId="164" fontId="20" fillId="4" borderId="42" xfId="20" applyNumberFormat="1" applyFont="1" applyProtection="1">
      <protection hidden="1"/>
    </xf>
    <xf numFmtId="0" fontId="24" fillId="4" borderId="42" xfId="20" applyFont="1" applyProtection="1">
      <protection hidden="1"/>
    </xf>
    <xf numFmtId="10" fontId="14" fillId="4" borderId="42" xfId="20" applyNumberFormat="1" applyProtection="1">
      <protection hidden="1"/>
    </xf>
    <xf numFmtId="166" fontId="14" fillId="4" borderId="42" xfId="20" applyNumberFormat="1" applyProtection="1">
      <protection hidden="1"/>
    </xf>
    <xf numFmtId="0" fontId="14" fillId="4" borderId="42" xfId="20" applyFont="1" applyProtection="1">
      <protection hidden="1"/>
    </xf>
    <xf numFmtId="10" fontId="20" fillId="4" borderId="42" xfId="20" applyNumberFormat="1" applyFont="1" applyProtection="1">
      <protection hidden="1"/>
    </xf>
    <xf numFmtId="10" fontId="17" fillId="7" borderId="42" xfId="22" applyNumberFormat="1" applyBorder="1" applyProtection="1">
      <protection hidden="1"/>
    </xf>
    <xf numFmtId="0" fontId="14" fillId="4" borderId="42" xfId="20" applyFont="1" applyAlignment="1" applyProtection="1">
      <alignment horizontal="left" vertical="top" wrapText="1"/>
      <protection hidden="1"/>
    </xf>
    <xf numFmtId="0" fontId="14" fillId="18" borderId="45" xfId="20" applyFont="1" applyFill="1" applyBorder="1" applyAlignment="1" applyProtection="1">
      <alignment horizontal="center" vertical="center" wrapText="1"/>
      <protection hidden="1"/>
    </xf>
    <xf numFmtId="0" fontId="14" fillId="18" borderId="0" xfId="20" applyFont="1" applyFill="1" applyBorder="1" applyAlignment="1" applyProtection="1">
      <alignment horizontal="center" vertical="center" wrapText="1"/>
      <protection hidden="1"/>
    </xf>
    <xf numFmtId="9" fontId="14" fillId="4" borderId="42" xfId="20" applyNumberFormat="1" applyProtection="1">
      <protection hidden="1"/>
    </xf>
    <xf numFmtId="2" fontId="0" fillId="18" borderId="50" xfId="0" applyNumberFormat="1" applyFill="1" applyBorder="1" applyAlignment="1" applyProtection="1">
      <alignment horizontal="center" vertical="center"/>
      <protection hidden="1"/>
    </xf>
    <xf numFmtId="2" fontId="0" fillId="18" borderId="0" xfId="0" applyNumberFormat="1" applyFill="1" applyAlignment="1" applyProtection="1">
      <alignment horizontal="center" vertical="center"/>
      <protection hidden="1"/>
    </xf>
    <xf numFmtId="165" fontId="14" fillId="4" borderId="42" xfId="20" applyNumberFormat="1" applyProtection="1">
      <protection hidden="1"/>
    </xf>
    <xf numFmtId="165" fontId="17" fillId="7" borderId="42" xfId="22" applyNumberFormat="1" applyBorder="1" applyAlignment="1" applyProtection="1">
      <alignment horizontal="right"/>
      <protection hidden="1"/>
    </xf>
    <xf numFmtId="165" fontId="17" fillId="7" borderId="42" xfId="22" applyNumberFormat="1" applyBorder="1" applyProtection="1">
      <protection hidden="1"/>
    </xf>
    <xf numFmtId="165" fontId="14" fillId="18" borderId="50" xfId="21" applyNumberFormat="1" applyFont="1" applyFill="1" applyBorder="1" applyAlignment="1" applyProtection="1">
      <alignment horizontal="center" vertical="center"/>
      <protection hidden="1"/>
    </xf>
    <xf numFmtId="165" fontId="14" fillId="18" borderId="0" xfId="21" applyNumberFormat="1" applyFont="1" applyFill="1" applyBorder="1" applyAlignment="1" applyProtection="1">
      <alignment horizontal="center" vertical="center"/>
      <protection hidden="1"/>
    </xf>
    <xf numFmtId="165" fontId="17" fillId="7" borderId="45" xfId="22" applyNumberFormat="1" applyBorder="1" applyProtection="1">
      <protection hidden="1"/>
    </xf>
    <xf numFmtId="0" fontId="14" fillId="0" borderId="42" xfId="20" applyFill="1" applyAlignment="1" applyProtection="1">
      <alignment vertical="top" wrapText="1"/>
      <protection hidden="1"/>
    </xf>
    <xf numFmtId="0" fontId="14" fillId="0" borderId="42" xfId="20" applyFill="1" applyProtection="1">
      <protection hidden="1"/>
    </xf>
    <xf numFmtId="165" fontId="14" fillId="0" borderId="43" xfId="20" applyNumberFormat="1" applyFill="1" applyBorder="1" applyProtection="1">
      <protection hidden="1"/>
    </xf>
    <xf numFmtId="10" fontId="0" fillId="0" borderId="0" xfId="0" applyNumberFormat="1" applyAlignment="1" applyProtection="1">
      <alignment horizontal="center"/>
      <protection hidden="1"/>
    </xf>
    <xf numFmtId="10" fontId="0" fillId="0" borderId="49" xfId="0" applyNumberFormat="1" applyBorder="1" applyAlignment="1" applyProtection="1">
      <alignment horizontal="center"/>
      <protection hidden="1"/>
    </xf>
    <xf numFmtId="10" fontId="14" fillId="0" borderId="42" xfId="20" applyNumberFormat="1" applyFill="1" applyProtection="1">
      <protection hidden="1"/>
    </xf>
    <xf numFmtId="2" fontId="14" fillId="0" borderId="42" xfId="20" applyNumberFormat="1" applyFill="1" applyProtection="1">
      <protection hidden="1"/>
    </xf>
    <xf numFmtId="165" fontId="14" fillId="0" borderId="0" xfId="21" applyNumberFormat="1" applyFont="1" applyAlignment="1" applyProtection="1">
      <alignment horizontal="center" vertical="center"/>
      <protection hidden="1"/>
    </xf>
    <xf numFmtId="10" fontId="14" fillId="4" borderId="46" xfId="20" applyNumberFormat="1" applyBorder="1" applyProtection="1">
      <protection hidden="1"/>
    </xf>
    <xf numFmtId="165" fontId="14" fillId="0" borderId="42" xfId="20" applyNumberFormat="1" applyFill="1" applyProtection="1">
      <protection hidden="1"/>
    </xf>
    <xf numFmtId="165" fontId="17" fillId="0" borderId="42" xfId="22" applyNumberFormat="1" applyFill="1" applyBorder="1" applyProtection="1">
      <protection hidden="1"/>
    </xf>
    <xf numFmtId="166" fontId="14" fillId="0" borderId="42" xfId="20" applyNumberFormat="1" applyFill="1" applyProtection="1">
      <protection hidden="1"/>
    </xf>
    <xf numFmtId="0" fontId="17" fillId="0" borderId="0" xfId="22" applyFill="1" applyProtection="1">
      <protection hidden="1"/>
    </xf>
    <xf numFmtId="0" fontId="14" fillId="4" borderId="45" xfId="20" applyBorder="1" applyAlignment="1" applyProtection="1">
      <alignment vertical="top" wrapText="1"/>
      <protection hidden="1"/>
    </xf>
    <xf numFmtId="0" fontId="14" fillId="4" borderId="45" xfId="20" applyFont="1" applyBorder="1" applyProtection="1">
      <protection hidden="1"/>
    </xf>
    <xf numFmtId="0" fontId="14" fillId="4" borderId="45" xfId="20" applyBorder="1" applyProtection="1">
      <protection hidden="1"/>
    </xf>
    <xf numFmtId="10" fontId="14" fillId="4" borderId="45" xfId="20" applyNumberFormat="1" applyBorder="1" applyProtection="1">
      <protection hidden="1"/>
    </xf>
    <xf numFmtId="166" fontId="14" fillId="4" borderId="45" xfId="20" applyNumberFormat="1" applyBorder="1" applyProtection="1">
      <protection hidden="1"/>
    </xf>
    <xf numFmtId="2" fontId="14" fillId="4" borderId="45" xfId="20" applyNumberFormat="1" applyBorder="1" applyProtection="1">
      <protection hidden="1"/>
    </xf>
    <xf numFmtId="0" fontId="14" fillId="4" borderId="2" xfId="20" applyBorder="1" applyAlignment="1" applyProtection="1">
      <alignment vertical="top" wrapText="1"/>
      <protection hidden="1"/>
    </xf>
    <xf numFmtId="0" fontId="14" fillId="4" borderId="2" xfId="20" applyFont="1" applyBorder="1" applyAlignment="1" applyProtection="1">
      <alignment horizontal="left" vertical="top" wrapText="1"/>
      <protection hidden="1"/>
    </xf>
    <xf numFmtId="0" fontId="14" fillId="4" borderId="2" xfId="20" applyBorder="1" applyProtection="1">
      <protection hidden="1"/>
    </xf>
    <xf numFmtId="10" fontId="14" fillId="4" borderId="2" xfId="20" applyNumberFormat="1" applyBorder="1" applyProtection="1">
      <protection hidden="1"/>
    </xf>
    <xf numFmtId="166" fontId="14" fillId="4" borderId="2" xfId="20" applyNumberFormat="1" applyBorder="1" applyProtection="1">
      <protection hidden="1"/>
    </xf>
    <xf numFmtId="0" fontId="14" fillId="4" borderId="2" xfId="2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20" fillId="8" borderId="2" xfId="20" applyFont="1" applyFill="1" applyBorder="1" applyAlignment="1" applyProtection="1">
      <alignment horizontal="center" vertical="center" wrapText="1"/>
      <protection hidden="1"/>
    </xf>
    <xf numFmtId="0" fontId="14" fillId="8" borderId="0" xfId="20" applyFont="1" applyFill="1" applyBorder="1" applyAlignment="1" applyProtection="1">
      <alignment horizontal="center" vertical="center" wrapText="1"/>
      <protection hidden="1"/>
    </xf>
    <xf numFmtId="2" fontId="14" fillId="4" borderId="2" xfId="20" applyNumberFormat="1" applyBorder="1" applyProtection="1">
      <protection hidden="1"/>
    </xf>
    <xf numFmtId="2" fontId="20" fillId="8" borderId="2" xfId="0" applyNumberFormat="1" applyFont="1" applyFill="1" applyBorder="1" applyAlignment="1" applyProtection="1">
      <alignment horizontal="center" vertical="center"/>
      <protection hidden="1"/>
    </xf>
    <xf numFmtId="2" fontId="0" fillId="8" borderId="0" xfId="0" applyNumberFormat="1" applyFill="1" applyAlignment="1" applyProtection="1">
      <alignment horizontal="center" vertical="center"/>
      <protection hidden="1"/>
    </xf>
    <xf numFmtId="165" fontId="17" fillId="7" borderId="2" xfId="22" applyNumberFormat="1" applyBorder="1" applyProtection="1">
      <protection hidden="1"/>
    </xf>
    <xf numFmtId="10" fontId="20" fillId="8" borderId="2" xfId="21" applyNumberFormat="1" applyFont="1" applyFill="1" applyBorder="1" applyAlignment="1" applyProtection="1">
      <alignment horizontal="center" vertical="center"/>
      <protection hidden="1"/>
    </xf>
    <xf numFmtId="9" fontId="14" fillId="8" borderId="0" xfId="21" applyFont="1" applyFill="1" applyBorder="1" applyAlignment="1" applyProtection="1">
      <alignment horizontal="center" vertical="center"/>
      <protection hidden="1"/>
    </xf>
    <xf numFmtId="165" fontId="14" fillId="4" borderId="2" xfId="20" applyNumberFormat="1" applyBorder="1" applyProtection="1">
      <protection hidden="1"/>
    </xf>
    <xf numFmtId="0" fontId="14" fillId="0" borderId="46" xfId="20" applyFill="1" applyBorder="1" applyAlignment="1" applyProtection="1">
      <alignment vertical="top" wrapText="1"/>
      <protection hidden="1"/>
    </xf>
    <xf numFmtId="0" fontId="14" fillId="0" borderId="46" xfId="20" applyFill="1" applyBorder="1" applyProtection="1">
      <protection hidden="1"/>
    </xf>
    <xf numFmtId="165" fontId="14" fillId="0" borderId="46" xfId="20" applyNumberFormat="1" applyFill="1" applyBorder="1" applyProtection="1">
      <protection hidden="1"/>
    </xf>
    <xf numFmtId="165" fontId="17" fillId="0" borderId="46" xfId="22" applyNumberFormat="1" applyFill="1" applyBorder="1" applyProtection="1">
      <protection hidden="1"/>
    </xf>
    <xf numFmtId="166" fontId="14" fillId="0" borderId="51" xfId="20" applyNumberFormat="1" applyFill="1" applyBorder="1" applyProtection="1">
      <protection hidden="1"/>
    </xf>
    <xf numFmtId="2" fontId="14" fillId="0" borderId="51" xfId="20" applyNumberFormat="1" applyFill="1" applyBorder="1" applyProtection="1">
      <protection hidden="1"/>
    </xf>
    <xf numFmtId="0" fontId="11" fillId="0" borderId="0" xfId="0" applyFont="1" applyAlignment="1" applyProtection="1">
      <alignment vertical="top" wrapText="1"/>
      <protection hidden="1"/>
    </xf>
    <xf numFmtId="173" fontId="20" fillId="0" borderId="0" xfId="0" applyNumberFormat="1" applyFont="1" applyProtection="1">
      <protection hidden="1"/>
    </xf>
    <xf numFmtId="168" fontId="31" fillId="0" borderId="2" xfId="0" applyNumberFormat="1" applyFont="1" applyBorder="1" applyAlignment="1" applyProtection="1">
      <alignment horizontal="center" vertical="center" wrapText="1"/>
      <protection hidden="1"/>
    </xf>
    <xf numFmtId="168" fontId="12" fillId="16" borderId="2" xfId="0" applyNumberFormat="1" applyFont="1" applyFill="1" applyBorder="1" applyAlignment="1" applyProtection="1">
      <alignment horizontal="center" vertical="center" wrapText="1"/>
      <protection hidden="1"/>
    </xf>
    <xf numFmtId="168" fontId="12" fillId="16" borderId="11" xfId="0" applyNumberFormat="1" applyFont="1" applyFill="1" applyBorder="1" applyAlignment="1" applyProtection="1">
      <alignment horizontal="center" vertical="center" wrapText="1"/>
      <protection hidden="1"/>
    </xf>
    <xf numFmtId="168" fontId="12" fillId="16" borderId="26" xfId="0" applyNumberFormat="1" applyFont="1" applyFill="1" applyBorder="1" applyAlignment="1" applyProtection="1">
      <alignment horizontal="center" vertical="center" wrapText="1"/>
      <protection hidden="1"/>
    </xf>
    <xf numFmtId="0" fontId="17" fillId="16" borderId="0" xfId="22" applyFill="1" applyBorder="1" applyProtection="1">
      <protection hidden="1"/>
    </xf>
    <xf numFmtId="168" fontId="12" fillId="0" borderId="2" xfId="0" applyNumberFormat="1" applyFont="1" applyBorder="1" applyAlignment="1" applyProtection="1">
      <alignment horizontal="center" vertical="center" wrapText="1"/>
      <protection hidden="1"/>
    </xf>
    <xf numFmtId="166" fontId="0" fillId="0" borderId="0" xfId="0" applyNumberFormat="1" applyProtection="1">
      <protection hidden="1"/>
    </xf>
    <xf numFmtId="0" fontId="0" fillId="4" borderId="42" xfId="20" applyFont="1" applyAlignment="1" applyProtection="1">
      <alignment vertical="top" wrapText="1"/>
      <protection hidden="1"/>
    </xf>
    <xf numFmtId="0" fontId="20" fillId="9" borderId="2" xfId="0" applyFont="1" applyFill="1" applyBorder="1" applyAlignment="1" applyProtection="1">
      <alignment horizontal="center"/>
      <protection hidden="1"/>
    </xf>
    <xf numFmtId="0" fontId="20" fillId="19" borderId="2" xfId="0" applyFont="1" applyFill="1" applyBorder="1" applyAlignment="1" applyProtection="1">
      <alignment horizontal="center"/>
      <protection hidden="1"/>
    </xf>
    <xf numFmtId="1" fontId="20" fillId="19" borderId="2" xfId="0" applyNumberFormat="1" applyFont="1" applyFill="1" applyBorder="1" applyAlignment="1" applyProtection="1">
      <alignment horizontal="center"/>
      <protection hidden="1"/>
    </xf>
    <xf numFmtId="0" fontId="0" fillId="19" borderId="2" xfId="0" applyFill="1" applyBorder="1" applyAlignment="1" applyProtection="1">
      <alignment horizontal="center"/>
      <protection hidden="1"/>
    </xf>
    <xf numFmtId="1" fontId="0" fillId="19" borderId="2" xfId="0" applyNumberFormat="1" applyFill="1" applyBorder="1" applyAlignment="1" applyProtection="1">
      <alignment horizontal="center"/>
      <protection hidden="1"/>
    </xf>
    <xf numFmtId="0" fontId="0" fillId="9" borderId="2" xfId="0" applyFill="1" applyBorder="1" applyAlignment="1" applyProtection="1">
      <alignment horizontal="center"/>
      <protection hidden="1"/>
    </xf>
    <xf numFmtId="2" fontId="0" fillId="9" borderId="2" xfId="0" applyNumberFormat="1" applyFill="1" applyBorder="1" applyAlignment="1" applyProtection="1">
      <alignment horizontal="center"/>
      <protection hidden="1"/>
    </xf>
    <xf numFmtId="1" fontId="0" fillId="9" borderId="2" xfId="0" applyNumberFormat="1" applyFill="1" applyBorder="1" applyAlignment="1" applyProtection="1">
      <alignment horizontal="center"/>
      <protection hidden="1"/>
    </xf>
    <xf numFmtId="1" fontId="20" fillId="9" borderId="2" xfId="0" applyNumberFormat="1" applyFont="1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20" fillId="16" borderId="2" xfId="0" applyFont="1" applyFill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0" fillId="12" borderId="25" xfId="0" applyFill="1" applyBorder="1" applyProtection="1">
      <protection hidden="1"/>
    </xf>
    <xf numFmtId="0" fontId="14" fillId="12" borderId="18" xfId="2" applyFill="1" applyBorder="1" applyAlignment="1" applyProtection="1">
      <alignment horizontal="center" vertical="center" wrapText="1"/>
      <protection hidden="1"/>
    </xf>
    <xf numFmtId="2" fontId="28" fillId="18" borderId="47" xfId="4" applyNumberFormat="1" applyFont="1" applyFill="1" applyBorder="1" applyProtection="1">
      <protection hidden="1"/>
    </xf>
    <xf numFmtId="0" fontId="28" fillId="18" borderId="47" xfId="4" applyFont="1" applyFill="1" applyBorder="1" applyProtection="1">
      <protection hidden="1"/>
    </xf>
    <xf numFmtId="14" fontId="29" fillId="18" borderId="16" xfId="0" applyNumberFormat="1" applyFont="1" applyFill="1" applyBorder="1" applyAlignment="1" applyProtection="1">
      <alignment horizontal="center" vertical="center"/>
      <protection hidden="1"/>
    </xf>
    <xf numFmtId="14" fontId="29" fillId="9" borderId="16" xfId="0" applyNumberFormat="1" applyFont="1" applyFill="1" applyBorder="1" applyAlignment="1" applyProtection="1">
      <alignment horizontal="center" vertical="center"/>
      <protection hidden="1"/>
    </xf>
    <xf numFmtId="172" fontId="28" fillId="9" borderId="47" xfId="4" applyNumberFormat="1" applyFont="1" applyFill="1" applyBorder="1" applyProtection="1">
      <protection hidden="1"/>
    </xf>
    <xf numFmtId="0" fontId="25" fillId="2" borderId="47" xfId="4" applyFont="1" applyBorder="1" applyProtection="1">
      <protection hidden="1"/>
    </xf>
    <xf numFmtId="0" fontId="25" fillId="2" borderId="48" xfId="4" applyFont="1" applyBorder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9" fontId="28" fillId="18" borderId="41" xfId="4" applyNumberFormat="1" applyFont="1" applyFill="1" applyProtection="1">
      <protection hidden="1"/>
    </xf>
    <xf numFmtId="165" fontId="28" fillId="18" borderId="41" xfId="21" applyNumberFormat="1" applyFont="1" applyFill="1" applyBorder="1" applyProtection="1">
      <protection hidden="1"/>
    </xf>
    <xf numFmtId="10" fontId="28" fillId="9" borderId="41" xfId="21" applyNumberFormat="1" applyFont="1" applyFill="1" applyBorder="1" applyProtection="1">
      <protection hidden="1"/>
    </xf>
    <xf numFmtId="165" fontId="25" fillId="0" borderId="41" xfId="21" applyNumberFormat="1" applyFont="1" applyFill="1" applyBorder="1" applyProtection="1">
      <protection hidden="1"/>
    </xf>
    <xf numFmtId="9" fontId="14" fillId="0" borderId="0" xfId="21" applyFont="1" applyProtection="1">
      <protection hidden="1"/>
    </xf>
    <xf numFmtId="9" fontId="14" fillId="3" borderId="0" xfId="2" applyNumberFormat="1" applyProtection="1">
      <protection hidden="1"/>
    </xf>
  </cellXfs>
  <cellStyles count="23">
    <cellStyle name="20 % - Accent3" xfId="1" builtinId="38"/>
    <cellStyle name="40 % - Accent2" xfId="2" builtinId="35"/>
    <cellStyle name="Accent3" xfId="3" builtinId="37"/>
    <cellStyle name="Calcul" xfId="4" builtinId="22"/>
    <cellStyle name="Milliers" xfId="5" builtinId="3"/>
    <cellStyle name="Milliers 2" xfId="6" xr:uid="{00000000-0005-0000-0000-000006000000}"/>
    <cellStyle name="Milliers 2 2" xfId="7" xr:uid="{00000000-0005-0000-0000-000007000000}"/>
    <cellStyle name="Milliers 3" xfId="8" xr:uid="{00000000-0005-0000-0000-000008000000}"/>
    <cellStyle name="Milliers 3 2" xfId="9" xr:uid="{00000000-0005-0000-0000-000009000000}"/>
    <cellStyle name="Milliers 4" xfId="10" xr:uid="{00000000-0005-0000-0000-00000A000000}"/>
    <cellStyle name="Milliers 5" xfId="11" xr:uid="{00000000-0005-0000-0000-00000B000000}"/>
    <cellStyle name="Milliers 6" xfId="12" xr:uid="{00000000-0005-0000-0000-00000C000000}"/>
    <cellStyle name="Milliers 7" xfId="13" xr:uid="{00000000-0005-0000-0000-00000D000000}"/>
    <cellStyle name="Monétaire 2" xfId="14" xr:uid="{00000000-0005-0000-0000-00000E000000}"/>
    <cellStyle name="Monétaire 2 2" xfId="15" xr:uid="{00000000-0005-0000-0000-00000F000000}"/>
    <cellStyle name="Normal" xfId="0" builtinId="0"/>
    <cellStyle name="Normal 2" xfId="16" xr:uid="{00000000-0005-0000-0000-000011000000}"/>
    <cellStyle name="Normal 2 2" xfId="17" xr:uid="{00000000-0005-0000-0000-000012000000}"/>
    <cellStyle name="Normal 3" xfId="18" xr:uid="{00000000-0005-0000-0000-000013000000}"/>
    <cellStyle name="Normal 3 14" xfId="19" xr:uid="{00000000-0005-0000-0000-000014000000}"/>
    <cellStyle name="Note" xfId="20" builtinId="10"/>
    <cellStyle name="Pourcentage" xfId="21" builtinId="5"/>
    <cellStyle name="Satisfaisant" xfId="2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5</xdr:row>
      <xdr:rowOff>28575</xdr:rowOff>
    </xdr:to>
    <xdr:pic>
      <xdr:nvPicPr>
        <xdr:cNvPr id="1025" name="Image 1">
          <a:extLst>
            <a:ext uri="{FF2B5EF4-FFF2-40B4-BE49-F238E27FC236}">
              <a16:creationId xmlns:a16="http://schemas.microsoft.com/office/drawing/2014/main" id="{BC74FF1B-E0A6-8EB3-AE7B-0ADC30402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35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3352800</xdr:colOff>
      <xdr:row>0</xdr:row>
      <xdr:rowOff>219075</xdr:rowOff>
    </xdr:from>
    <xdr:to>
      <xdr:col>7</xdr:col>
      <xdr:colOff>2095500</xdr:colOff>
      <xdr:row>0</xdr:row>
      <xdr:rowOff>1390650</xdr:rowOff>
    </xdr:to>
    <xdr:pic>
      <xdr:nvPicPr>
        <xdr:cNvPr id="2049" name="Image 3">
          <a:extLst>
            <a:ext uri="{FF2B5EF4-FFF2-40B4-BE49-F238E27FC236}">
              <a16:creationId xmlns:a16="http://schemas.microsoft.com/office/drawing/2014/main" id="{A44F2826-F06D-32D9-222D-19F3D2AC9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219075"/>
          <a:ext cx="72390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14"/>
  <sheetViews>
    <sheetView workbookViewId="0">
      <selection activeCell="C27" sqref="C27"/>
    </sheetView>
  </sheetViews>
  <sheetFormatPr baseColWidth="10" defaultColWidth="8.7265625" defaultRowHeight="14.5"/>
  <cols>
    <col min="1" max="256" width="11.453125" customWidth="1"/>
  </cols>
  <sheetData>
    <row r="6" spans="1:1" ht="18.5">
      <c r="A6" s="1" t="s">
        <v>0</v>
      </c>
    </row>
    <row r="7" spans="1:1">
      <c r="A7" s="2" t="s">
        <v>1</v>
      </c>
    </row>
    <row r="8" spans="1:1">
      <c r="A8" s="2" t="s">
        <v>2</v>
      </c>
    </row>
    <row r="11" spans="1:1">
      <c r="A11" t="s">
        <v>3</v>
      </c>
    </row>
    <row r="12" spans="1:1">
      <c r="A12" t="s">
        <v>4</v>
      </c>
    </row>
    <row r="13" spans="1:1">
      <c r="A13" t="s">
        <v>5</v>
      </c>
    </row>
    <row r="14" spans="1:1">
      <c r="A14" t="s">
        <v>6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1"/>
  <sheetViews>
    <sheetView workbookViewId="0">
      <selection sqref="A1:IV65536"/>
    </sheetView>
  </sheetViews>
  <sheetFormatPr baseColWidth="10" defaultColWidth="8.7265625" defaultRowHeight="14.5"/>
  <cols>
    <col min="1" max="1" width="6.1796875" customWidth="1"/>
    <col min="2" max="2" width="23.54296875" customWidth="1"/>
    <col min="3" max="16" width="11.81640625" customWidth="1"/>
    <col min="17" max="17" width="5.1796875" customWidth="1"/>
    <col min="18" max="19" width="11.453125" customWidth="1"/>
    <col min="20" max="20" width="25.453125" customWidth="1"/>
    <col min="21" max="256" width="11.453125" customWidth="1"/>
  </cols>
  <sheetData>
    <row r="1" spans="1:21">
      <c r="A1" s="18"/>
      <c r="B1" s="19"/>
      <c r="D1" s="20"/>
      <c r="E1" s="20"/>
      <c r="F1" s="20"/>
      <c r="G1" s="20"/>
      <c r="H1" s="20"/>
    </row>
    <row r="2" spans="1:21" ht="29">
      <c r="A2" s="21" t="s">
        <v>103</v>
      </c>
      <c r="B2" s="21" t="s">
        <v>104</v>
      </c>
      <c r="D2" s="20" t="s">
        <v>105</v>
      </c>
      <c r="E2" s="61" t="s">
        <v>153</v>
      </c>
      <c r="F2" s="61" t="s">
        <v>154</v>
      </c>
      <c r="G2" s="61" t="s">
        <v>155</v>
      </c>
      <c r="H2" s="61" t="s">
        <v>156</v>
      </c>
      <c r="I2" s="61" t="s">
        <v>157</v>
      </c>
      <c r="J2" s="61" t="s">
        <v>158</v>
      </c>
      <c r="K2" s="61" t="s">
        <v>159</v>
      </c>
      <c r="L2" s="61" t="s">
        <v>160</v>
      </c>
      <c r="M2" s="61" t="s">
        <v>161</v>
      </c>
      <c r="N2" s="61" t="s">
        <v>162</v>
      </c>
      <c r="O2" s="61" t="s">
        <v>163</v>
      </c>
      <c r="P2" s="61" t="s">
        <v>164</v>
      </c>
      <c r="R2" s="61" t="s">
        <v>40</v>
      </c>
    </row>
    <row r="3" spans="1:21" ht="57.5" hidden="1">
      <c r="A3" s="22" t="s">
        <v>118</v>
      </c>
      <c r="B3" s="22" t="s">
        <v>119</v>
      </c>
      <c r="C3" s="22" t="s">
        <v>120</v>
      </c>
      <c r="D3" s="43">
        <v>25</v>
      </c>
    </row>
    <row r="4" spans="1:21" ht="46" hidden="1">
      <c r="A4" s="22" t="s">
        <v>121</v>
      </c>
      <c r="B4" s="22" t="s">
        <v>122</v>
      </c>
      <c r="C4" s="22"/>
      <c r="D4" s="43">
        <v>298</v>
      </c>
    </row>
    <row r="5" spans="1:21" ht="34.5" hidden="1">
      <c r="A5" s="42" t="s">
        <v>61</v>
      </c>
      <c r="B5" s="22" t="s">
        <v>123</v>
      </c>
      <c r="C5" s="22"/>
      <c r="D5" s="43">
        <v>0</v>
      </c>
    </row>
    <row r="6" spans="1:21" ht="48" customHeight="1">
      <c r="A6" s="23" t="s">
        <v>165</v>
      </c>
      <c r="B6" s="23" t="s">
        <v>148</v>
      </c>
      <c r="C6" s="23" t="s">
        <v>149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21" ht="29">
      <c r="A7" s="23"/>
      <c r="B7" s="34" t="s">
        <v>166</v>
      </c>
      <c r="C7" s="24"/>
      <c r="D7" s="70">
        <f>SUM(E7:P7)</f>
        <v>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24"/>
      <c r="R7" s="24"/>
    </row>
    <row r="8" spans="1:21" ht="29">
      <c r="A8" s="23"/>
      <c r="B8" s="34" t="s">
        <v>167</v>
      </c>
      <c r="C8" s="24"/>
      <c r="D8" s="24">
        <f>SUM(E8:P8)</f>
        <v>0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24"/>
      <c r="R8" s="24"/>
    </row>
    <row r="9" spans="1:21">
      <c r="A9" s="24"/>
      <c r="B9" s="32" t="s">
        <v>131</v>
      </c>
      <c r="C9" s="32"/>
      <c r="D9" s="33">
        <f>SUM(E9:P9)</f>
        <v>0</v>
      </c>
      <c r="E9" s="33">
        <f>SUM(E7:E8)</f>
        <v>0</v>
      </c>
      <c r="F9" s="33">
        <f t="shared" ref="F9:P9" si="0">SUM(F7:F8)</f>
        <v>0</v>
      </c>
      <c r="G9" s="33">
        <f t="shared" si="0"/>
        <v>0</v>
      </c>
      <c r="H9" s="33">
        <f t="shared" si="0"/>
        <v>0</v>
      </c>
      <c r="I9" s="33">
        <f t="shared" si="0"/>
        <v>0</v>
      </c>
      <c r="J9" s="33">
        <f t="shared" si="0"/>
        <v>0</v>
      </c>
      <c r="K9" s="33">
        <f t="shared" si="0"/>
        <v>0</v>
      </c>
      <c r="L9" s="33">
        <f t="shared" si="0"/>
        <v>0</v>
      </c>
      <c r="M9" s="33">
        <f t="shared" si="0"/>
        <v>0</v>
      </c>
      <c r="N9" s="33">
        <f t="shared" si="0"/>
        <v>0</v>
      </c>
      <c r="O9" s="33">
        <f t="shared" si="0"/>
        <v>0</v>
      </c>
      <c r="P9" s="33">
        <f t="shared" si="0"/>
        <v>0</v>
      </c>
      <c r="Q9" s="24"/>
      <c r="R9" s="24"/>
    </row>
    <row r="11" spans="1:21">
      <c r="A11" s="35"/>
      <c r="B11" s="60" t="s">
        <v>132</v>
      </c>
      <c r="C11" s="24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6"/>
      <c r="R11" s="16"/>
    </row>
    <row r="12" spans="1:21">
      <c r="A12" s="23"/>
      <c r="B12" s="25" t="s">
        <v>133</v>
      </c>
      <c r="C12" s="24"/>
      <c r="D12" s="32">
        <f>SUM(E12:P12)</f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24"/>
      <c r="R12" s="24"/>
    </row>
    <row r="13" spans="1:21" ht="58">
      <c r="A13" s="23"/>
      <c r="B13" s="48" t="s">
        <v>134</v>
      </c>
      <c r="C13" s="23" t="s">
        <v>135</v>
      </c>
      <c r="D13" s="24"/>
      <c r="E13" s="16"/>
      <c r="F13" s="47"/>
      <c r="G13" s="16"/>
      <c r="H13" s="16"/>
      <c r="I13" s="16"/>
      <c r="J13" s="16"/>
      <c r="K13" s="16"/>
      <c r="L13" s="16"/>
      <c r="M13" s="16"/>
      <c r="N13" s="24"/>
      <c r="O13" s="24"/>
      <c r="P13" s="24"/>
      <c r="Q13" s="24"/>
      <c r="R13" s="36" t="s">
        <v>136</v>
      </c>
      <c r="S13" s="50" t="s">
        <v>137</v>
      </c>
      <c r="T13" s="49" t="s">
        <v>134</v>
      </c>
    </row>
    <row r="14" spans="1:21">
      <c r="A14" s="23"/>
      <c r="B14" s="24"/>
      <c r="C14" s="23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6"/>
      <c r="R14" s="16">
        <f>SUM(R15:R20)</f>
        <v>0</v>
      </c>
      <c r="S14">
        <f>SUM(S15:S20)</f>
        <v>0</v>
      </c>
      <c r="T14" s="38">
        <f>S14+R14</f>
        <v>0</v>
      </c>
    </row>
    <row r="15" spans="1:21">
      <c r="A15" s="23"/>
      <c r="B15" s="24" t="s">
        <v>168</v>
      </c>
      <c r="C15" s="24"/>
      <c r="D15" s="28"/>
      <c r="E15" s="45"/>
      <c r="F15" s="45"/>
      <c r="G15" s="45"/>
      <c r="H15" s="45"/>
      <c r="I15" s="45"/>
      <c r="J15" s="45"/>
      <c r="K15" s="45"/>
      <c r="L15" s="46"/>
      <c r="M15" s="46"/>
      <c r="N15" s="45"/>
      <c r="O15" s="46"/>
      <c r="P15" s="45"/>
      <c r="Q15" s="26"/>
      <c r="R15" s="16">
        <f t="shared" ref="R15:R20" si="1">E15*$E$7+F15*$F$7+G15*$G$7+H15*$H$7+I15*$I$7+J15*$J$7+K15*$K$7+L15*$L$7+M15*$M$7+N15*$N$7+O15*$O$7+P15*$P$7</f>
        <v>0</v>
      </c>
      <c r="S15" s="43"/>
      <c r="T15" s="39" t="e">
        <f t="shared" ref="T15:T20" si="2">(R15+S15)/$T$14</f>
        <v>#DIV/0!</v>
      </c>
      <c r="U15" s="40"/>
    </row>
    <row r="16" spans="1:21">
      <c r="A16" s="23"/>
      <c r="B16" s="24" t="s">
        <v>169</v>
      </c>
      <c r="C16" s="24"/>
      <c r="D16" s="28"/>
      <c r="E16" s="45"/>
      <c r="F16" s="45"/>
      <c r="G16" s="45"/>
      <c r="H16" s="45"/>
      <c r="I16" s="45"/>
      <c r="J16" s="45"/>
      <c r="K16" s="45"/>
      <c r="L16" s="46"/>
      <c r="M16" s="46"/>
      <c r="N16" s="45"/>
      <c r="O16" s="46"/>
      <c r="P16" s="45"/>
      <c r="Q16" s="26"/>
      <c r="R16" s="16">
        <f t="shared" si="1"/>
        <v>0</v>
      </c>
      <c r="S16" s="43"/>
      <c r="T16" s="39" t="e">
        <f t="shared" si="2"/>
        <v>#DIV/0!</v>
      </c>
      <c r="U16" s="40"/>
    </row>
    <row r="17" spans="1:21">
      <c r="A17" s="23"/>
      <c r="B17" s="24" t="s">
        <v>170</v>
      </c>
      <c r="C17" s="24"/>
      <c r="D17" s="28"/>
      <c r="E17" s="45"/>
      <c r="F17" s="45"/>
      <c r="G17" s="45"/>
      <c r="H17" s="45"/>
      <c r="I17" s="45"/>
      <c r="J17" s="45"/>
      <c r="K17" s="45"/>
      <c r="L17" s="46"/>
      <c r="M17" s="46"/>
      <c r="N17" s="45"/>
      <c r="O17" s="46"/>
      <c r="P17" s="45"/>
      <c r="Q17" s="26"/>
      <c r="R17" s="16">
        <f t="shared" si="1"/>
        <v>0</v>
      </c>
      <c r="S17" s="43"/>
      <c r="T17" s="39" t="e">
        <f t="shared" si="2"/>
        <v>#DIV/0!</v>
      </c>
      <c r="U17" s="40"/>
    </row>
    <row r="18" spans="1:21">
      <c r="A18" s="23"/>
      <c r="B18" s="24" t="s">
        <v>171</v>
      </c>
      <c r="C18" s="24"/>
      <c r="D18" s="28"/>
      <c r="E18" s="45"/>
      <c r="F18" s="45"/>
      <c r="G18" s="45"/>
      <c r="H18" s="45"/>
      <c r="I18" s="45"/>
      <c r="J18" s="45"/>
      <c r="K18" s="45"/>
      <c r="L18" s="46"/>
      <c r="M18" s="46"/>
      <c r="N18" s="45"/>
      <c r="O18" s="46"/>
      <c r="P18" s="45"/>
      <c r="Q18" s="26"/>
      <c r="R18" s="16">
        <f t="shared" si="1"/>
        <v>0</v>
      </c>
      <c r="S18" s="43"/>
      <c r="T18" s="39" t="e">
        <f t="shared" si="2"/>
        <v>#DIV/0!</v>
      </c>
      <c r="U18" s="40"/>
    </row>
    <row r="19" spans="1:21">
      <c r="A19" s="23"/>
      <c r="B19" s="24" t="s">
        <v>172</v>
      </c>
      <c r="C19" s="24"/>
      <c r="D19" s="28"/>
      <c r="E19" s="45"/>
      <c r="F19" s="45"/>
      <c r="G19" s="45"/>
      <c r="H19" s="45"/>
      <c r="I19" s="45"/>
      <c r="J19" s="45"/>
      <c r="K19" s="45"/>
      <c r="L19" s="46"/>
      <c r="M19" s="46"/>
      <c r="N19" s="45"/>
      <c r="O19" s="46"/>
      <c r="P19" s="45"/>
      <c r="Q19" s="26"/>
      <c r="R19" s="16">
        <f t="shared" si="1"/>
        <v>0</v>
      </c>
      <c r="S19" s="43"/>
      <c r="T19" s="39" t="e">
        <f t="shared" si="2"/>
        <v>#DIV/0!</v>
      </c>
      <c r="U19" s="40"/>
    </row>
    <row r="20" spans="1:21">
      <c r="A20" s="23"/>
      <c r="B20" s="24" t="s">
        <v>173</v>
      </c>
      <c r="C20" s="24"/>
      <c r="D20" s="28"/>
      <c r="E20" s="66"/>
      <c r="F20" s="45"/>
      <c r="G20" s="45"/>
      <c r="H20" s="45"/>
      <c r="I20" s="45"/>
      <c r="J20" s="45"/>
      <c r="K20" s="45"/>
      <c r="L20" s="46"/>
      <c r="M20" s="46"/>
      <c r="N20" s="45"/>
      <c r="O20" s="46"/>
      <c r="P20" s="45"/>
      <c r="Q20" s="26"/>
      <c r="R20" s="16">
        <f t="shared" si="1"/>
        <v>0</v>
      </c>
      <c r="S20" s="43"/>
      <c r="T20" s="39" t="e">
        <f t="shared" si="2"/>
        <v>#DIV/0!</v>
      </c>
      <c r="U20" s="40"/>
    </row>
    <row r="21" spans="1:21">
      <c r="A21" s="51"/>
      <c r="B21" s="52"/>
      <c r="C21" s="52"/>
      <c r="D21" s="64"/>
      <c r="E21" s="68"/>
      <c r="F21" s="65"/>
      <c r="G21" s="65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5"/>
      <c r="T21" s="40"/>
      <c r="U21" s="40"/>
    </row>
    <row r="22" spans="1:21">
      <c r="A22" s="35"/>
      <c r="B22" s="60" t="s">
        <v>138</v>
      </c>
      <c r="C22" s="24"/>
      <c r="D22" s="29"/>
      <c r="E22" s="67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16"/>
    </row>
    <row r="23" spans="1:21">
      <c r="A23" s="23"/>
      <c r="B23" s="25" t="s">
        <v>133</v>
      </c>
      <c r="C23" s="24"/>
      <c r="D23" s="29"/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26"/>
      <c r="R23" s="16"/>
    </row>
    <row r="24" spans="1:21" ht="58">
      <c r="A24" s="23"/>
      <c r="B24" s="48" t="s">
        <v>134</v>
      </c>
      <c r="C24" s="24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6"/>
      <c r="R24" s="36" t="s">
        <v>136</v>
      </c>
      <c r="S24" s="50" t="s">
        <v>137</v>
      </c>
      <c r="T24" s="49" t="s">
        <v>134</v>
      </c>
    </row>
    <row r="25" spans="1:21">
      <c r="A25" s="23"/>
      <c r="B25" s="24"/>
      <c r="C25" s="2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6"/>
      <c r="R25" s="16">
        <f>SUM(R26:R31)</f>
        <v>0</v>
      </c>
      <c r="S25">
        <f>SUM(S26:S31)</f>
        <v>0</v>
      </c>
      <c r="T25" s="38">
        <f>S25+R25</f>
        <v>0</v>
      </c>
    </row>
    <row r="26" spans="1:21">
      <c r="A26" s="23"/>
      <c r="B26" s="24" t="s">
        <v>168</v>
      </c>
      <c r="C26" s="24"/>
      <c r="D26" s="29"/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26"/>
      <c r="R26" s="16">
        <f t="shared" ref="R26:R31" si="3">E26*$E$8+F26*$F$8+G26*$G$8+H26*$H$8+I26*$I$8+J26*$J$8+K26*$K$8+L26*$L$8+M26*$M$8+N26*$N$8+O26*$O$8+P26*$P$8</f>
        <v>0</v>
      </c>
      <c r="S26" s="43"/>
      <c r="T26" s="39" t="e">
        <f t="shared" ref="T26:T31" si="4">(R26+S26)/$T$25</f>
        <v>#DIV/0!</v>
      </c>
    </row>
    <row r="27" spans="1:21">
      <c r="A27" s="23"/>
      <c r="B27" s="24" t="s">
        <v>169</v>
      </c>
      <c r="C27" s="24"/>
      <c r="D27" s="29"/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26"/>
      <c r="R27" s="16">
        <f t="shared" si="3"/>
        <v>0</v>
      </c>
      <c r="S27" s="43"/>
      <c r="T27" s="39" t="e">
        <f t="shared" si="4"/>
        <v>#DIV/0!</v>
      </c>
    </row>
    <row r="28" spans="1:21">
      <c r="A28" s="23"/>
      <c r="B28" s="24" t="s">
        <v>170</v>
      </c>
      <c r="C28" s="24"/>
      <c r="D28" s="29"/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26"/>
      <c r="R28" s="16">
        <f t="shared" si="3"/>
        <v>0</v>
      </c>
      <c r="S28" s="43"/>
      <c r="T28" s="39" t="e">
        <f t="shared" si="4"/>
        <v>#DIV/0!</v>
      </c>
    </row>
    <row r="29" spans="1:21">
      <c r="A29" s="23"/>
      <c r="B29" s="24" t="s">
        <v>171</v>
      </c>
      <c r="C29" s="24"/>
      <c r="D29" s="29"/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26"/>
      <c r="R29" s="16">
        <f t="shared" si="3"/>
        <v>0</v>
      </c>
      <c r="S29" s="43"/>
      <c r="T29" s="39" t="e">
        <f t="shared" si="4"/>
        <v>#DIV/0!</v>
      </c>
    </row>
    <row r="30" spans="1:21" ht="17.5" customHeight="1">
      <c r="A30" s="23"/>
      <c r="B30" s="24" t="s">
        <v>172</v>
      </c>
      <c r="C30" s="24"/>
      <c r="D30" s="29"/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26"/>
      <c r="R30" s="16">
        <f t="shared" si="3"/>
        <v>0</v>
      </c>
      <c r="S30" s="43"/>
      <c r="T30" s="39" t="e">
        <f t="shared" si="4"/>
        <v>#DIV/0!</v>
      </c>
    </row>
    <row r="31" spans="1:21">
      <c r="A31" s="23"/>
      <c r="B31" s="24" t="s">
        <v>173</v>
      </c>
      <c r="C31" s="24"/>
      <c r="D31" s="28"/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26"/>
      <c r="R31" s="16">
        <f t="shared" si="3"/>
        <v>0</v>
      </c>
      <c r="S31" s="43"/>
      <c r="T31" s="39" t="e">
        <f t="shared" si="4"/>
        <v>#DIV/0!</v>
      </c>
      <c r="U31" s="40"/>
    </row>
    <row r="32" spans="1:21">
      <c r="A32" s="51"/>
      <c r="B32" s="52"/>
      <c r="C32" s="52"/>
      <c r="D32" s="53"/>
      <c r="E32" s="56"/>
      <c r="F32" s="56"/>
      <c r="G32" s="56"/>
      <c r="H32" s="56"/>
      <c r="I32" s="56"/>
      <c r="J32" s="56"/>
      <c r="K32" s="56"/>
      <c r="L32" s="57"/>
      <c r="M32" s="57"/>
      <c r="N32" s="56"/>
      <c r="O32" s="57"/>
      <c r="P32" s="56"/>
      <c r="Q32" s="58"/>
      <c r="R32" s="55"/>
      <c r="S32" s="59"/>
      <c r="T32" s="40"/>
      <c r="U32" s="40"/>
    </row>
    <row r="33" spans="1:21" ht="29">
      <c r="A33" s="35" t="s">
        <v>139</v>
      </c>
      <c r="B33" s="60" t="s">
        <v>140</v>
      </c>
      <c r="C33" s="24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16"/>
    </row>
    <row r="34" spans="1:21">
      <c r="A34" s="23"/>
      <c r="B34" s="25" t="s">
        <v>133</v>
      </c>
      <c r="C34" s="24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6"/>
      <c r="R34" s="16"/>
    </row>
    <row r="35" spans="1:21" ht="58">
      <c r="A35" s="23"/>
      <c r="B35" s="48" t="s">
        <v>134</v>
      </c>
      <c r="C35" s="24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6"/>
      <c r="R35" s="36" t="s">
        <v>136</v>
      </c>
      <c r="S35" s="50" t="s">
        <v>137</v>
      </c>
      <c r="T35" s="49" t="s">
        <v>134</v>
      </c>
    </row>
    <row r="36" spans="1:21">
      <c r="A36" s="23"/>
      <c r="B36" s="24"/>
      <c r="C36" s="24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6"/>
      <c r="R36" s="16">
        <f t="shared" ref="R36:S38" si="5">R25+R14</f>
        <v>0</v>
      </c>
      <c r="S36" s="26">
        <f t="shared" si="5"/>
        <v>0</v>
      </c>
      <c r="T36" s="38">
        <f>S36+R36</f>
        <v>0</v>
      </c>
    </row>
    <row r="37" spans="1:21">
      <c r="A37" s="23"/>
      <c r="B37" s="24" t="s">
        <v>168</v>
      </c>
      <c r="C37" s="24"/>
      <c r="D37" s="29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26"/>
      <c r="R37" s="16">
        <f t="shared" si="5"/>
        <v>0</v>
      </c>
      <c r="S37" s="26">
        <f t="shared" si="5"/>
        <v>0</v>
      </c>
      <c r="T37" s="39" t="e">
        <f t="shared" ref="T37:T42" si="6">(R37+S37)/$T$36</f>
        <v>#DIV/0!</v>
      </c>
    </row>
    <row r="38" spans="1:21">
      <c r="A38" s="23"/>
      <c r="B38" s="24" t="s">
        <v>169</v>
      </c>
      <c r="C38" s="24"/>
      <c r="D38" s="29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26"/>
      <c r="R38" s="16">
        <f t="shared" si="5"/>
        <v>0</v>
      </c>
      <c r="S38" s="26">
        <f t="shared" si="5"/>
        <v>0</v>
      </c>
      <c r="T38" s="39" t="e">
        <f t="shared" si="6"/>
        <v>#DIV/0!</v>
      </c>
    </row>
    <row r="39" spans="1:21">
      <c r="A39" s="23"/>
      <c r="B39" s="24" t="s">
        <v>170</v>
      </c>
      <c r="C39" s="24"/>
      <c r="D39" s="29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26"/>
      <c r="R39" s="16">
        <f t="shared" ref="R39:S42" si="7">R28+R17</f>
        <v>0</v>
      </c>
      <c r="S39" s="26">
        <f t="shared" si="7"/>
        <v>0</v>
      </c>
      <c r="T39" s="39" t="e">
        <f t="shared" si="6"/>
        <v>#DIV/0!</v>
      </c>
    </row>
    <row r="40" spans="1:21">
      <c r="A40" s="23"/>
      <c r="B40" s="24" t="s">
        <v>171</v>
      </c>
      <c r="C40" s="24"/>
      <c r="D40" s="29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26"/>
      <c r="R40" s="16">
        <f t="shared" si="7"/>
        <v>0</v>
      </c>
      <c r="S40" s="26">
        <f t="shared" si="7"/>
        <v>0</v>
      </c>
      <c r="T40" s="39" t="e">
        <f t="shared" si="6"/>
        <v>#DIV/0!</v>
      </c>
    </row>
    <row r="41" spans="1:21" ht="17.5" customHeight="1">
      <c r="A41" s="23"/>
      <c r="B41" s="24" t="s">
        <v>172</v>
      </c>
      <c r="C41" s="24"/>
      <c r="D41" s="29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26"/>
      <c r="R41" s="16">
        <f t="shared" si="7"/>
        <v>0</v>
      </c>
      <c r="S41" s="26">
        <f>S30+S19</f>
        <v>0</v>
      </c>
      <c r="T41" s="39" t="e">
        <f t="shared" si="6"/>
        <v>#DIV/0!</v>
      </c>
    </row>
    <row r="42" spans="1:21">
      <c r="A42" s="23"/>
      <c r="B42" s="24" t="s">
        <v>173</v>
      </c>
      <c r="C42" s="24"/>
      <c r="D42" s="28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26"/>
      <c r="R42" s="16">
        <f t="shared" si="7"/>
        <v>0</v>
      </c>
      <c r="S42" s="26">
        <f t="shared" si="7"/>
        <v>0</v>
      </c>
      <c r="T42" s="39" t="e">
        <f t="shared" si="6"/>
        <v>#DIV/0!</v>
      </c>
      <c r="U42" s="40"/>
    </row>
    <row r="43" spans="1:21">
      <c r="A43" s="51"/>
      <c r="B43" s="52"/>
      <c r="C43" s="52"/>
      <c r="D43" s="53"/>
      <c r="E43" s="56"/>
      <c r="F43" s="56"/>
      <c r="G43" s="56"/>
      <c r="H43" s="56"/>
      <c r="I43" s="56"/>
      <c r="J43" s="56"/>
      <c r="K43" s="56"/>
      <c r="L43" s="57"/>
      <c r="M43" s="57"/>
      <c r="N43" s="56"/>
      <c r="O43" s="57"/>
      <c r="P43" s="56"/>
      <c r="Q43" s="58"/>
      <c r="R43" s="55"/>
      <c r="T43" s="40"/>
      <c r="U43" s="40"/>
    </row>
    <row r="44" spans="1:21" ht="27">
      <c r="A44" s="22" t="s">
        <v>141</v>
      </c>
      <c r="B44" s="30" t="s">
        <v>142</v>
      </c>
      <c r="C44" s="22" t="s">
        <v>143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R44" s="44"/>
    </row>
    <row r="45" spans="1:21">
      <c r="A45" s="22"/>
      <c r="B45" s="22"/>
      <c r="C45" s="22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</row>
    <row r="46" spans="1:21" ht="43.5">
      <c r="A46" s="23" t="s">
        <v>145</v>
      </c>
      <c r="B46" s="35" t="s">
        <v>146</v>
      </c>
      <c r="C46" s="23" t="s">
        <v>147</v>
      </c>
      <c r="D46" s="24">
        <f>SUM(E46:P46)</f>
        <v>0</v>
      </c>
      <c r="E46" s="24">
        <f>E48-E47</f>
        <v>0</v>
      </c>
      <c r="F46" s="24">
        <f t="shared" ref="F46:P46" si="8">F48-F47</f>
        <v>0</v>
      </c>
      <c r="G46" s="24">
        <f t="shared" si="8"/>
        <v>0</v>
      </c>
      <c r="H46" s="24">
        <f t="shared" si="8"/>
        <v>0</v>
      </c>
      <c r="I46" s="24">
        <f t="shared" si="8"/>
        <v>0</v>
      </c>
      <c r="J46" s="24">
        <f t="shared" si="8"/>
        <v>0</v>
      </c>
      <c r="K46" s="24">
        <f t="shared" si="8"/>
        <v>0</v>
      </c>
      <c r="L46" s="24">
        <f t="shared" si="8"/>
        <v>0</v>
      </c>
      <c r="M46" s="24">
        <f t="shared" si="8"/>
        <v>0</v>
      </c>
      <c r="N46" s="24">
        <f t="shared" si="8"/>
        <v>0</v>
      </c>
      <c r="O46" s="24">
        <f t="shared" si="8"/>
        <v>0</v>
      </c>
      <c r="P46" s="24">
        <f t="shared" si="8"/>
        <v>0</v>
      </c>
    </row>
    <row r="47" spans="1:21">
      <c r="A47" s="23"/>
      <c r="B47" s="23" t="s">
        <v>174</v>
      </c>
      <c r="C47" s="23"/>
      <c r="D47" s="2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</row>
    <row r="48" spans="1:21">
      <c r="A48" s="23"/>
      <c r="B48" s="23" t="s">
        <v>175</v>
      </c>
      <c r="C48" s="23"/>
      <c r="D48" s="2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1:8">
      <c r="A49" s="22"/>
      <c r="B49" s="22"/>
      <c r="C49" s="22"/>
    </row>
    <row r="51" spans="1:8" s="19" customFormat="1" ht="72.5">
      <c r="B51" s="63" t="s">
        <v>176</v>
      </c>
      <c r="C51" s="63" t="s">
        <v>177</v>
      </c>
      <c r="D51" s="63" t="s">
        <v>178</v>
      </c>
      <c r="E51" s="63" t="s">
        <v>179</v>
      </c>
      <c r="F51" s="36" t="s">
        <v>180</v>
      </c>
      <c r="G51" s="63" t="s">
        <v>181</v>
      </c>
      <c r="H51" s="63" t="s">
        <v>182</v>
      </c>
    </row>
    <row r="52" spans="1:8">
      <c r="B52" s="44"/>
      <c r="C52" s="44"/>
      <c r="D52" s="44"/>
      <c r="E52" s="44"/>
      <c r="F52" s="44"/>
      <c r="G52" s="44"/>
      <c r="H52" s="62"/>
    </row>
    <row r="53" spans="1:8">
      <c r="B53" s="44"/>
      <c r="C53" s="44"/>
      <c r="D53" s="44"/>
      <c r="E53" s="44"/>
      <c r="F53" s="44"/>
      <c r="G53" s="44"/>
      <c r="H53" s="62"/>
    </row>
    <row r="54" spans="1:8">
      <c r="B54" s="44"/>
      <c r="C54" s="44"/>
      <c r="D54" s="44"/>
      <c r="E54" s="44"/>
      <c r="F54" s="44"/>
      <c r="G54" s="44"/>
      <c r="H54" s="62"/>
    </row>
    <row r="55" spans="1:8">
      <c r="B55" s="44"/>
      <c r="C55" s="44"/>
      <c r="D55" s="44"/>
      <c r="E55" s="44"/>
      <c r="F55" s="44"/>
      <c r="G55" s="44"/>
      <c r="H55" s="62"/>
    </row>
    <row r="56" spans="1:8">
      <c r="B56" s="44"/>
      <c r="C56" s="44"/>
      <c r="D56" s="44"/>
      <c r="E56" s="44"/>
      <c r="F56" s="44"/>
      <c r="G56" s="44"/>
      <c r="H56" s="62"/>
    </row>
    <row r="57" spans="1:8">
      <c r="B57" s="44"/>
      <c r="C57" s="44"/>
      <c r="D57" s="44"/>
      <c r="E57" s="44"/>
      <c r="F57" s="44"/>
      <c r="G57" s="44"/>
      <c r="H57" s="62"/>
    </row>
    <row r="58" spans="1:8">
      <c r="B58" s="44"/>
      <c r="C58" s="44"/>
      <c r="D58" s="44"/>
      <c r="E58" s="44"/>
      <c r="F58" s="44"/>
      <c r="G58" s="44"/>
      <c r="H58" s="62"/>
    </row>
    <row r="59" spans="1:8">
      <c r="B59" s="44"/>
      <c r="C59" s="44"/>
      <c r="D59" s="44"/>
      <c r="E59" s="44"/>
      <c r="F59" s="44"/>
      <c r="G59" s="44"/>
      <c r="H59" s="62"/>
    </row>
    <row r="60" spans="1:8">
      <c r="B60" s="44"/>
      <c r="C60" s="44"/>
      <c r="D60" s="44"/>
      <c r="E60" s="44"/>
      <c r="F60" s="44"/>
      <c r="G60" s="44"/>
      <c r="H60" s="62"/>
    </row>
    <row r="61" spans="1:8">
      <c r="B61" s="44"/>
      <c r="C61" s="44"/>
      <c r="D61" s="44"/>
      <c r="E61" s="44"/>
      <c r="F61" s="44"/>
      <c r="G61" s="44"/>
      <c r="H61" s="62"/>
    </row>
    <row r="62" spans="1:8">
      <c r="B62" s="44"/>
      <c r="C62" s="44"/>
      <c r="D62" s="44"/>
      <c r="E62" s="44"/>
      <c r="F62" s="44"/>
      <c r="G62" s="44"/>
      <c r="H62" s="62"/>
    </row>
    <row r="63" spans="1:8">
      <c r="B63" s="44"/>
      <c r="C63" s="44"/>
      <c r="D63" s="44"/>
      <c r="E63" s="44"/>
      <c r="F63" s="44"/>
      <c r="G63" s="44"/>
      <c r="H63" s="62"/>
    </row>
    <row r="64" spans="1:8">
      <c r="B64" s="44"/>
      <c r="C64" s="44"/>
      <c r="D64" s="44"/>
      <c r="E64" s="44"/>
      <c r="F64" s="44"/>
      <c r="G64" s="44"/>
      <c r="H64" s="62"/>
    </row>
    <row r="65" spans="2:8">
      <c r="B65" s="44"/>
      <c r="C65" s="44"/>
      <c r="D65" s="44"/>
      <c r="E65" s="44"/>
      <c r="F65" s="44"/>
      <c r="G65" s="44"/>
      <c r="H65" s="62"/>
    </row>
    <row r="66" spans="2:8">
      <c r="B66" s="44"/>
      <c r="C66" s="44"/>
      <c r="D66" s="44"/>
      <c r="E66" s="44"/>
      <c r="F66" s="44"/>
      <c r="G66" s="44"/>
      <c r="H66" s="62"/>
    </row>
    <row r="67" spans="2:8">
      <c r="B67" s="44"/>
      <c r="C67" s="44"/>
      <c r="D67" s="44"/>
      <c r="E67" s="44"/>
      <c r="F67" s="44"/>
      <c r="G67" s="44"/>
      <c r="H67" s="62"/>
    </row>
    <row r="68" spans="2:8">
      <c r="B68" s="44"/>
      <c r="C68" s="44"/>
      <c r="D68" s="44"/>
      <c r="E68" s="44"/>
      <c r="F68" s="44"/>
      <c r="G68" s="44"/>
      <c r="H68" s="62"/>
    </row>
    <row r="69" spans="2:8">
      <c r="B69" s="44"/>
      <c r="C69" s="44"/>
      <c r="D69" s="44"/>
      <c r="E69" s="44"/>
      <c r="F69" s="44"/>
      <c r="G69" s="44"/>
      <c r="H69" s="62"/>
    </row>
    <row r="70" spans="2:8">
      <c r="B70" s="44"/>
      <c r="C70" s="44"/>
      <c r="D70" s="44"/>
      <c r="E70" s="44"/>
      <c r="F70" s="44"/>
      <c r="G70" s="44"/>
      <c r="H70" s="62"/>
    </row>
    <row r="71" spans="2:8">
      <c r="B71" s="44"/>
      <c r="C71" s="44"/>
      <c r="D71" s="44"/>
      <c r="E71" s="44"/>
      <c r="F71" s="44"/>
      <c r="G71" s="44"/>
      <c r="H71" s="62"/>
    </row>
    <row r="72" spans="2:8">
      <c r="B72" s="44"/>
      <c r="C72" s="44"/>
      <c r="D72" s="44"/>
      <c r="E72" s="44"/>
      <c r="F72" s="44"/>
      <c r="G72" s="44"/>
      <c r="H72" s="62"/>
    </row>
    <row r="73" spans="2:8">
      <c r="B73" s="44"/>
      <c r="C73" s="44"/>
      <c r="D73" s="44"/>
      <c r="E73" s="44"/>
      <c r="F73" s="44"/>
      <c r="G73" s="44"/>
      <c r="H73" s="62"/>
    </row>
    <row r="74" spans="2:8">
      <c r="B74" s="44"/>
      <c r="C74" s="44"/>
      <c r="D74" s="44"/>
      <c r="E74" s="44"/>
      <c r="F74" s="44"/>
      <c r="G74" s="44"/>
      <c r="H74" s="62"/>
    </row>
    <row r="75" spans="2:8">
      <c r="B75" s="44"/>
      <c r="C75" s="44"/>
      <c r="D75" s="44"/>
      <c r="E75" s="44"/>
      <c r="F75" s="44"/>
      <c r="G75" s="44"/>
      <c r="H75" s="62"/>
    </row>
    <row r="76" spans="2:8">
      <c r="B76" s="44"/>
      <c r="C76" s="44"/>
      <c r="D76" s="44"/>
      <c r="E76" s="44"/>
      <c r="F76" s="44"/>
      <c r="G76" s="44"/>
      <c r="H76" s="62"/>
    </row>
    <row r="77" spans="2:8">
      <c r="B77" s="44"/>
      <c r="C77" s="44"/>
      <c r="D77" s="44"/>
      <c r="E77" s="44"/>
      <c r="F77" s="44"/>
      <c r="G77" s="44"/>
      <c r="H77" s="62"/>
    </row>
    <row r="78" spans="2:8">
      <c r="B78" s="44"/>
      <c r="C78" s="44"/>
      <c r="D78" s="44"/>
      <c r="E78" s="44"/>
      <c r="F78" s="44"/>
      <c r="G78" s="44"/>
      <c r="H78" s="62"/>
    </row>
    <row r="79" spans="2:8">
      <c r="B79" s="44"/>
      <c r="C79" s="44"/>
      <c r="D79" s="44"/>
      <c r="E79" s="44"/>
      <c r="F79" s="44"/>
      <c r="G79" s="44"/>
      <c r="H79" s="62"/>
    </row>
    <row r="80" spans="2:8">
      <c r="B80" s="44"/>
      <c r="C80" s="44"/>
      <c r="D80" s="44"/>
      <c r="E80" s="44"/>
      <c r="F80" s="44"/>
      <c r="G80" s="44"/>
      <c r="H80" s="62"/>
    </row>
    <row r="81" spans="2:8">
      <c r="B81" s="44"/>
      <c r="C81" s="44"/>
      <c r="D81" s="44"/>
      <c r="E81" s="44"/>
      <c r="F81" s="44"/>
      <c r="G81" s="44"/>
      <c r="H81" s="62"/>
    </row>
    <row r="82" spans="2:8">
      <c r="B82" s="44"/>
      <c r="C82" s="44"/>
      <c r="D82" s="44"/>
      <c r="E82" s="44"/>
      <c r="F82" s="44"/>
      <c r="G82" s="44"/>
      <c r="H82" s="62"/>
    </row>
    <row r="83" spans="2:8">
      <c r="B83" s="44"/>
      <c r="C83" s="44"/>
      <c r="D83" s="44"/>
      <c r="E83" s="44"/>
      <c r="F83" s="44"/>
      <c r="G83" s="44"/>
      <c r="H83" s="62"/>
    </row>
    <row r="84" spans="2:8">
      <c r="B84" s="44"/>
      <c r="C84" s="44"/>
      <c r="D84" s="44"/>
      <c r="E84" s="44"/>
      <c r="F84" s="44"/>
      <c r="G84" s="44"/>
      <c r="H84" s="62"/>
    </row>
    <row r="85" spans="2:8">
      <c r="B85" s="44"/>
      <c r="C85" s="44"/>
      <c r="D85" s="44"/>
      <c r="E85" s="44"/>
      <c r="F85" s="44"/>
      <c r="G85" s="44"/>
      <c r="H85" s="62"/>
    </row>
    <row r="86" spans="2:8">
      <c r="B86" s="44"/>
      <c r="C86" s="44"/>
      <c r="D86" s="44"/>
      <c r="E86" s="44"/>
      <c r="F86" s="44"/>
      <c r="G86" s="44"/>
      <c r="H86" s="62"/>
    </row>
    <row r="87" spans="2:8">
      <c r="B87" s="44"/>
      <c r="C87" s="44"/>
      <c r="D87" s="44"/>
      <c r="E87" s="44"/>
      <c r="F87" s="44"/>
      <c r="G87" s="44"/>
      <c r="H87" s="62"/>
    </row>
    <row r="88" spans="2:8">
      <c r="B88" s="44"/>
      <c r="C88" s="44"/>
      <c r="D88" s="44"/>
      <c r="E88" s="44"/>
      <c r="F88" s="44"/>
      <c r="G88" s="44"/>
      <c r="H88" s="62"/>
    </row>
    <row r="89" spans="2:8">
      <c r="B89" s="44"/>
      <c r="C89" s="44"/>
      <c r="D89" s="44"/>
      <c r="E89" s="44"/>
      <c r="F89" s="44"/>
      <c r="G89" s="44"/>
      <c r="H89" s="62"/>
    </row>
    <row r="90" spans="2:8">
      <c r="B90" s="44"/>
      <c r="C90" s="44"/>
      <c r="D90" s="44"/>
      <c r="E90" s="44"/>
      <c r="F90" s="44"/>
      <c r="G90" s="44"/>
      <c r="H90" s="62"/>
    </row>
    <row r="91" spans="2:8">
      <c r="B91" s="44"/>
      <c r="C91" s="44"/>
      <c r="D91" s="44"/>
      <c r="E91" s="44"/>
      <c r="F91" s="44"/>
      <c r="G91" s="44"/>
      <c r="H91" s="62"/>
    </row>
  </sheetData>
  <dataValidations count="1">
    <dataValidation type="list" allowBlank="1" showInputMessage="1" showErrorMessage="1" sqref="C52:C108" xr:uid="{00000000-0002-0000-0E00-000000000000}">
      <formula1>"resellers,big customer,others"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91"/>
  <sheetViews>
    <sheetView workbookViewId="0">
      <selection sqref="A1:IV65536"/>
    </sheetView>
  </sheetViews>
  <sheetFormatPr baseColWidth="10" defaultColWidth="8.7265625" defaultRowHeight="14.5"/>
  <cols>
    <col min="1" max="1" width="6.1796875" customWidth="1"/>
    <col min="2" max="2" width="23.54296875" customWidth="1"/>
    <col min="3" max="16" width="11.81640625" customWidth="1"/>
    <col min="17" max="17" width="5.1796875" customWidth="1"/>
    <col min="18" max="19" width="11.453125" customWidth="1"/>
    <col min="20" max="20" width="25.453125" customWidth="1"/>
    <col min="21" max="256" width="11.453125" customWidth="1"/>
  </cols>
  <sheetData>
    <row r="1" spans="1:21">
      <c r="A1" s="18"/>
      <c r="B1" s="19"/>
      <c r="D1" s="20"/>
      <c r="E1" s="20"/>
      <c r="F1" s="20"/>
      <c r="G1" s="20"/>
      <c r="H1" s="20"/>
    </row>
    <row r="2" spans="1:21" ht="29">
      <c r="A2" s="21" t="s">
        <v>103</v>
      </c>
      <c r="B2" s="21" t="s">
        <v>104</v>
      </c>
      <c r="D2" s="20" t="s">
        <v>105</v>
      </c>
      <c r="E2" s="61" t="s">
        <v>153</v>
      </c>
      <c r="F2" s="61" t="s">
        <v>154</v>
      </c>
      <c r="G2" s="61" t="s">
        <v>155</v>
      </c>
      <c r="H2" s="61" t="s">
        <v>156</v>
      </c>
      <c r="I2" s="61" t="s">
        <v>157</v>
      </c>
      <c r="J2" s="61" t="s">
        <v>158</v>
      </c>
      <c r="K2" s="61" t="s">
        <v>159</v>
      </c>
      <c r="L2" s="61" t="s">
        <v>160</v>
      </c>
      <c r="M2" s="61" t="s">
        <v>161</v>
      </c>
      <c r="N2" s="61" t="s">
        <v>162</v>
      </c>
      <c r="O2" s="61" t="s">
        <v>163</v>
      </c>
      <c r="P2" s="61" t="s">
        <v>164</v>
      </c>
      <c r="R2" s="61" t="s">
        <v>40</v>
      </c>
    </row>
    <row r="3" spans="1:21" ht="57.5" hidden="1">
      <c r="A3" s="22" t="s">
        <v>118</v>
      </c>
      <c r="B3" s="22" t="s">
        <v>119</v>
      </c>
      <c r="C3" s="22" t="s">
        <v>120</v>
      </c>
      <c r="D3" s="43">
        <v>25</v>
      </c>
    </row>
    <row r="4" spans="1:21" ht="46" hidden="1">
      <c r="A4" s="22" t="s">
        <v>121</v>
      </c>
      <c r="B4" s="22" t="s">
        <v>122</v>
      </c>
      <c r="C4" s="22"/>
      <c r="D4" s="43">
        <v>298</v>
      </c>
    </row>
    <row r="5" spans="1:21" ht="34.5" hidden="1">
      <c r="A5" s="42" t="s">
        <v>61</v>
      </c>
      <c r="B5" s="22" t="s">
        <v>123</v>
      </c>
      <c r="C5" s="22"/>
      <c r="D5" s="43">
        <v>0</v>
      </c>
    </row>
    <row r="6" spans="1:21" ht="48" customHeight="1">
      <c r="A6" s="23" t="s">
        <v>165</v>
      </c>
      <c r="B6" s="23" t="s">
        <v>148</v>
      </c>
      <c r="C6" s="23" t="s">
        <v>149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21" ht="29">
      <c r="A7" s="23"/>
      <c r="B7" s="34" t="s">
        <v>166</v>
      </c>
      <c r="C7" s="24"/>
      <c r="D7" s="70">
        <f>SUM(E7:P7)</f>
        <v>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24"/>
      <c r="R7" s="24"/>
    </row>
    <row r="8" spans="1:21" ht="29">
      <c r="A8" s="23"/>
      <c r="B8" s="34" t="s">
        <v>167</v>
      </c>
      <c r="C8" s="24"/>
      <c r="D8" s="24">
        <f>SUM(E8:P8)</f>
        <v>0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24"/>
      <c r="R8" s="24"/>
    </row>
    <row r="9" spans="1:21">
      <c r="A9" s="24"/>
      <c r="B9" s="32" t="s">
        <v>131</v>
      </c>
      <c r="C9" s="32"/>
      <c r="D9" s="33">
        <f>SUM(E9:P9)</f>
        <v>0</v>
      </c>
      <c r="E9" s="33">
        <f>SUM(E7:E8)</f>
        <v>0</v>
      </c>
      <c r="F9" s="33">
        <f t="shared" ref="F9:P9" si="0">SUM(F7:F8)</f>
        <v>0</v>
      </c>
      <c r="G9" s="33">
        <f t="shared" si="0"/>
        <v>0</v>
      </c>
      <c r="H9" s="33">
        <f t="shared" si="0"/>
        <v>0</v>
      </c>
      <c r="I9" s="33">
        <f t="shared" si="0"/>
        <v>0</v>
      </c>
      <c r="J9" s="33">
        <f t="shared" si="0"/>
        <v>0</v>
      </c>
      <c r="K9" s="33">
        <f t="shared" si="0"/>
        <v>0</v>
      </c>
      <c r="L9" s="33">
        <f t="shared" si="0"/>
        <v>0</v>
      </c>
      <c r="M9" s="33">
        <f t="shared" si="0"/>
        <v>0</v>
      </c>
      <c r="N9" s="33">
        <f t="shared" si="0"/>
        <v>0</v>
      </c>
      <c r="O9" s="33">
        <f t="shared" si="0"/>
        <v>0</v>
      </c>
      <c r="P9" s="33">
        <f t="shared" si="0"/>
        <v>0</v>
      </c>
      <c r="Q9" s="24"/>
      <c r="R9" s="24"/>
    </row>
    <row r="11" spans="1:21">
      <c r="A11" s="35"/>
      <c r="B11" s="60" t="s">
        <v>132</v>
      </c>
      <c r="C11" s="24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6"/>
      <c r="R11" s="16"/>
    </row>
    <row r="12" spans="1:21">
      <c r="A12" s="23"/>
      <c r="B12" s="25" t="s">
        <v>133</v>
      </c>
      <c r="C12" s="24"/>
      <c r="D12" s="32">
        <f>SUM(E12:P12)</f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24"/>
      <c r="R12" s="24"/>
    </row>
    <row r="13" spans="1:21" ht="58">
      <c r="A13" s="23"/>
      <c r="B13" s="48" t="s">
        <v>134</v>
      </c>
      <c r="C13" s="23" t="s">
        <v>135</v>
      </c>
      <c r="D13" s="24"/>
      <c r="E13" s="16"/>
      <c r="F13" s="47"/>
      <c r="G13" s="16"/>
      <c r="H13" s="16"/>
      <c r="I13" s="16"/>
      <c r="J13" s="16"/>
      <c r="K13" s="16"/>
      <c r="L13" s="16"/>
      <c r="M13" s="16"/>
      <c r="N13" s="24"/>
      <c r="O13" s="24"/>
      <c r="P13" s="24"/>
      <c r="Q13" s="24"/>
      <c r="R13" s="36" t="s">
        <v>136</v>
      </c>
      <c r="S13" s="50" t="s">
        <v>137</v>
      </c>
      <c r="T13" s="49" t="s">
        <v>134</v>
      </c>
    </row>
    <row r="14" spans="1:21">
      <c r="A14" s="23"/>
      <c r="B14" s="24"/>
      <c r="C14" s="23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6"/>
      <c r="R14" s="16">
        <f>SUM(R15:R20)</f>
        <v>0</v>
      </c>
      <c r="S14">
        <f>SUM(S15:S20)</f>
        <v>0</v>
      </c>
      <c r="T14" s="38">
        <f>S14+R14</f>
        <v>0</v>
      </c>
    </row>
    <row r="15" spans="1:21">
      <c r="A15" s="23"/>
      <c r="B15" s="24" t="s">
        <v>168</v>
      </c>
      <c r="C15" s="24"/>
      <c r="D15" s="28"/>
      <c r="E15" s="45"/>
      <c r="F15" s="45"/>
      <c r="G15" s="45"/>
      <c r="H15" s="45"/>
      <c r="I15" s="45"/>
      <c r="J15" s="45"/>
      <c r="K15" s="45"/>
      <c r="L15" s="46"/>
      <c r="M15" s="46"/>
      <c r="N15" s="45"/>
      <c r="O15" s="46"/>
      <c r="P15" s="45"/>
      <c r="Q15" s="26"/>
      <c r="R15" s="16">
        <f t="shared" ref="R15:R20" si="1">E15*$E$7+F15*$F$7+G15*$G$7+H15*$H$7+I15*$I$7+J15*$J$7+K15*$K$7+L15*$L$7+M15*$M$7+N15*$N$7+O15*$O$7+P15*$P$7</f>
        <v>0</v>
      </c>
      <c r="S15" s="43"/>
      <c r="T15" s="39" t="e">
        <f t="shared" ref="T15:T20" si="2">(R15+S15)/$T$14</f>
        <v>#DIV/0!</v>
      </c>
      <c r="U15" s="40"/>
    </row>
    <row r="16" spans="1:21">
      <c r="A16" s="23"/>
      <c r="B16" s="24" t="s">
        <v>169</v>
      </c>
      <c r="C16" s="24"/>
      <c r="D16" s="28"/>
      <c r="E16" s="45"/>
      <c r="F16" s="45"/>
      <c r="G16" s="45"/>
      <c r="H16" s="45"/>
      <c r="I16" s="45"/>
      <c r="J16" s="45"/>
      <c r="K16" s="45"/>
      <c r="L16" s="46"/>
      <c r="M16" s="46"/>
      <c r="N16" s="45"/>
      <c r="O16" s="46"/>
      <c r="P16" s="45"/>
      <c r="Q16" s="26"/>
      <c r="R16" s="16">
        <f t="shared" si="1"/>
        <v>0</v>
      </c>
      <c r="S16" s="43"/>
      <c r="T16" s="39" t="e">
        <f t="shared" si="2"/>
        <v>#DIV/0!</v>
      </c>
      <c r="U16" s="40"/>
    </row>
    <row r="17" spans="1:21">
      <c r="A17" s="23"/>
      <c r="B17" s="24" t="s">
        <v>170</v>
      </c>
      <c r="C17" s="24"/>
      <c r="D17" s="28"/>
      <c r="E17" s="45"/>
      <c r="F17" s="45"/>
      <c r="G17" s="45"/>
      <c r="H17" s="45"/>
      <c r="I17" s="45"/>
      <c r="J17" s="45"/>
      <c r="K17" s="45"/>
      <c r="L17" s="46"/>
      <c r="M17" s="46"/>
      <c r="N17" s="45"/>
      <c r="O17" s="46"/>
      <c r="P17" s="45"/>
      <c r="Q17" s="26"/>
      <c r="R17" s="16">
        <f t="shared" si="1"/>
        <v>0</v>
      </c>
      <c r="S17" s="43"/>
      <c r="T17" s="39" t="e">
        <f t="shared" si="2"/>
        <v>#DIV/0!</v>
      </c>
      <c r="U17" s="40"/>
    </row>
    <row r="18" spans="1:21">
      <c r="A18" s="23"/>
      <c r="B18" s="24" t="s">
        <v>171</v>
      </c>
      <c r="C18" s="24"/>
      <c r="D18" s="28"/>
      <c r="E18" s="45"/>
      <c r="F18" s="45"/>
      <c r="G18" s="45"/>
      <c r="H18" s="45"/>
      <c r="I18" s="45"/>
      <c r="J18" s="45"/>
      <c r="K18" s="45"/>
      <c r="L18" s="46"/>
      <c r="M18" s="46"/>
      <c r="N18" s="45"/>
      <c r="O18" s="46"/>
      <c r="P18" s="45"/>
      <c r="Q18" s="26"/>
      <c r="R18" s="16">
        <f t="shared" si="1"/>
        <v>0</v>
      </c>
      <c r="S18" s="43"/>
      <c r="T18" s="39" t="e">
        <f t="shared" si="2"/>
        <v>#DIV/0!</v>
      </c>
      <c r="U18" s="40"/>
    </row>
    <row r="19" spans="1:21">
      <c r="A19" s="23"/>
      <c r="B19" s="24" t="s">
        <v>172</v>
      </c>
      <c r="C19" s="24"/>
      <c r="D19" s="28"/>
      <c r="E19" s="45"/>
      <c r="F19" s="45"/>
      <c r="G19" s="45"/>
      <c r="H19" s="45"/>
      <c r="I19" s="45"/>
      <c r="J19" s="45"/>
      <c r="K19" s="45"/>
      <c r="L19" s="46"/>
      <c r="M19" s="46"/>
      <c r="N19" s="45"/>
      <c r="O19" s="46"/>
      <c r="P19" s="45"/>
      <c r="Q19" s="26"/>
      <c r="R19" s="16">
        <f t="shared" si="1"/>
        <v>0</v>
      </c>
      <c r="S19" s="43"/>
      <c r="T19" s="39" t="e">
        <f t="shared" si="2"/>
        <v>#DIV/0!</v>
      </c>
      <c r="U19" s="40"/>
    </row>
    <row r="20" spans="1:21">
      <c r="A20" s="23"/>
      <c r="B20" s="24" t="s">
        <v>173</v>
      </c>
      <c r="C20" s="24"/>
      <c r="D20" s="28"/>
      <c r="E20" s="66"/>
      <c r="F20" s="45"/>
      <c r="G20" s="45"/>
      <c r="H20" s="45"/>
      <c r="I20" s="45"/>
      <c r="J20" s="45"/>
      <c r="K20" s="45"/>
      <c r="L20" s="46"/>
      <c r="M20" s="46"/>
      <c r="N20" s="45"/>
      <c r="O20" s="46"/>
      <c r="P20" s="45"/>
      <c r="Q20" s="26"/>
      <c r="R20" s="16">
        <f t="shared" si="1"/>
        <v>0</v>
      </c>
      <c r="S20" s="43"/>
      <c r="T20" s="39" t="e">
        <f t="shared" si="2"/>
        <v>#DIV/0!</v>
      </c>
      <c r="U20" s="40"/>
    </row>
    <row r="21" spans="1:21">
      <c r="A21" s="51"/>
      <c r="B21" s="52"/>
      <c r="C21" s="52"/>
      <c r="D21" s="64"/>
      <c r="E21" s="68"/>
      <c r="F21" s="65"/>
      <c r="G21" s="65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5"/>
      <c r="T21" s="40"/>
      <c r="U21" s="40"/>
    </row>
    <row r="22" spans="1:21">
      <c r="A22" s="35"/>
      <c r="B22" s="60" t="s">
        <v>138</v>
      </c>
      <c r="C22" s="24"/>
      <c r="D22" s="29"/>
      <c r="E22" s="67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16"/>
    </row>
    <row r="23" spans="1:21">
      <c r="A23" s="23"/>
      <c r="B23" s="25" t="s">
        <v>133</v>
      </c>
      <c r="C23" s="24"/>
      <c r="D23" s="29"/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26"/>
      <c r="R23" s="16"/>
    </row>
    <row r="24" spans="1:21" ht="58">
      <c r="A24" s="23"/>
      <c r="B24" s="48" t="s">
        <v>134</v>
      </c>
      <c r="C24" s="24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6"/>
      <c r="R24" s="36" t="s">
        <v>136</v>
      </c>
      <c r="S24" s="50" t="s">
        <v>137</v>
      </c>
      <c r="T24" s="49" t="s">
        <v>134</v>
      </c>
    </row>
    <row r="25" spans="1:21">
      <c r="A25" s="23"/>
      <c r="B25" s="24"/>
      <c r="C25" s="2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6"/>
      <c r="R25" s="16">
        <f>SUM(R26:R31)</f>
        <v>0</v>
      </c>
      <c r="S25">
        <f>SUM(S26:S31)</f>
        <v>0</v>
      </c>
      <c r="T25" s="38">
        <f>S25+R25</f>
        <v>0</v>
      </c>
    </row>
    <row r="26" spans="1:21">
      <c r="A26" s="23"/>
      <c r="B26" s="24" t="s">
        <v>168</v>
      </c>
      <c r="C26" s="24"/>
      <c r="D26" s="29"/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26"/>
      <c r="R26" s="16">
        <f t="shared" ref="R26:R31" si="3">E26*$E$8+F26*$F$8+G26*$G$8+H26*$H$8+I26*$I$8+J26*$J$8+K26*$K$8+L26*$L$8+M26*$M$8+N26*$N$8+O26*$O$8+P26*$P$8</f>
        <v>0</v>
      </c>
      <c r="S26" s="43"/>
      <c r="T26" s="39" t="e">
        <f t="shared" ref="T26:T31" si="4">(R26+S26)/$T$25</f>
        <v>#DIV/0!</v>
      </c>
    </row>
    <row r="27" spans="1:21">
      <c r="A27" s="23"/>
      <c r="B27" s="24" t="s">
        <v>169</v>
      </c>
      <c r="C27" s="24"/>
      <c r="D27" s="29"/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26"/>
      <c r="R27" s="16">
        <f t="shared" si="3"/>
        <v>0</v>
      </c>
      <c r="S27" s="43"/>
      <c r="T27" s="39" t="e">
        <f t="shared" si="4"/>
        <v>#DIV/0!</v>
      </c>
    </row>
    <row r="28" spans="1:21">
      <c r="A28" s="23"/>
      <c r="B28" s="24" t="s">
        <v>170</v>
      </c>
      <c r="C28" s="24"/>
      <c r="D28" s="29"/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26"/>
      <c r="R28" s="16">
        <f t="shared" si="3"/>
        <v>0</v>
      </c>
      <c r="S28" s="43"/>
      <c r="T28" s="39" t="e">
        <f t="shared" si="4"/>
        <v>#DIV/0!</v>
      </c>
    </row>
    <row r="29" spans="1:21">
      <c r="A29" s="23"/>
      <c r="B29" s="24" t="s">
        <v>171</v>
      </c>
      <c r="C29" s="24"/>
      <c r="D29" s="29"/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26"/>
      <c r="R29" s="16">
        <f t="shared" si="3"/>
        <v>0</v>
      </c>
      <c r="S29" s="43"/>
      <c r="T29" s="39" t="e">
        <f t="shared" si="4"/>
        <v>#DIV/0!</v>
      </c>
    </row>
    <row r="30" spans="1:21" ht="17.5" customHeight="1">
      <c r="A30" s="23"/>
      <c r="B30" s="24" t="s">
        <v>172</v>
      </c>
      <c r="C30" s="24"/>
      <c r="D30" s="29"/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26"/>
      <c r="R30" s="16">
        <f t="shared" si="3"/>
        <v>0</v>
      </c>
      <c r="S30" s="43"/>
      <c r="T30" s="39" t="e">
        <f t="shared" si="4"/>
        <v>#DIV/0!</v>
      </c>
    </row>
    <row r="31" spans="1:21">
      <c r="A31" s="23"/>
      <c r="B31" s="24" t="s">
        <v>173</v>
      </c>
      <c r="C31" s="24"/>
      <c r="D31" s="28"/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26"/>
      <c r="R31" s="16">
        <f t="shared" si="3"/>
        <v>0</v>
      </c>
      <c r="S31" s="43"/>
      <c r="T31" s="39" t="e">
        <f t="shared" si="4"/>
        <v>#DIV/0!</v>
      </c>
      <c r="U31" s="40"/>
    </row>
    <row r="32" spans="1:21">
      <c r="A32" s="51"/>
      <c r="B32" s="52"/>
      <c r="C32" s="52"/>
      <c r="D32" s="53"/>
      <c r="E32" s="56"/>
      <c r="F32" s="56"/>
      <c r="G32" s="56"/>
      <c r="H32" s="56"/>
      <c r="I32" s="56"/>
      <c r="J32" s="56"/>
      <c r="K32" s="56"/>
      <c r="L32" s="57"/>
      <c r="M32" s="57"/>
      <c r="N32" s="56"/>
      <c r="O32" s="57"/>
      <c r="P32" s="56"/>
      <c r="Q32" s="58"/>
      <c r="R32" s="55"/>
      <c r="S32" s="59"/>
      <c r="T32" s="40"/>
      <c r="U32" s="40"/>
    </row>
    <row r="33" spans="1:21" ht="29">
      <c r="A33" s="35" t="s">
        <v>139</v>
      </c>
      <c r="B33" s="60" t="s">
        <v>140</v>
      </c>
      <c r="C33" s="24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16"/>
    </row>
    <row r="34" spans="1:21">
      <c r="A34" s="23"/>
      <c r="B34" s="25" t="s">
        <v>133</v>
      </c>
      <c r="C34" s="24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6"/>
      <c r="R34" s="16"/>
    </row>
    <row r="35" spans="1:21" ht="58">
      <c r="A35" s="23"/>
      <c r="B35" s="48" t="s">
        <v>134</v>
      </c>
      <c r="C35" s="24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6"/>
      <c r="R35" s="36" t="s">
        <v>136</v>
      </c>
      <c r="S35" s="50" t="s">
        <v>137</v>
      </c>
      <c r="T35" s="49" t="s">
        <v>134</v>
      </c>
    </row>
    <row r="36" spans="1:21">
      <c r="A36" s="23"/>
      <c r="B36" s="24"/>
      <c r="C36" s="24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6"/>
      <c r="R36" s="16">
        <f t="shared" ref="R36:S38" si="5">R25+R14</f>
        <v>0</v>
      </c>
      <c r="S36" s="26">
        <f t="shared" si="5"/>
        <v>0</v>
      </c>
      <c r="T36" s="38">
        <f>S36+R36</f>
        <v>0</v>
      </c>
    </row>
    <row r="37" spans="1:21">
      <c r="A37" s="23"/>
      <c r="B37" s="24" t="s">
        <v>168</v>
      </c>
      <c r="C37" s="24"/>
      <c r="D37" s="29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26"/>
      <c r="R37" s="16">
        <f t="shared" si="5"/>
        <v>0</v>
      </c>
      <c r="S37" s="26">
        <f t="shared" si="5"/>
        <v>0</v>
      </c>
      <c r="T37" s="39" t="e">
        <f t="shared" ref="T37:T42" si="6">(R37+S37)/$T$36</f>
        <v>#DIV/0!</v>
      </c>
    </row>
    <row r="38" spans="1:21">
      <c r="A38" s="23"/>
      <c r="B38" s="24" t="s">
        <v>169</v>
      </c>
      <c r="C38" s="24"/>
      <c r="D38" s="29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26"/>
      <c r="R38" s="16">
        <f t="shared" si="5"/>
        <v>0</v>
      </c>
      <c r="S38" s="26">
        <f t="shared" si="5"/>
        <v>0</v>
      </c>
      <c r="T38" s="39" t="e">
        <f t="shared" si="6"/>
        <v>#DIV/0!</v>
      </c>
    </row>
    <row r="39" spans="1:21">
      <c r="A39" s="23"/>
      <c r="B39" s="24" t="s">
        <v>170</v>
      </c>
      <c r="C39" s="24"/>
      <c r="D39" s="29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26"/>
      <c r="R39" s="16">
        <f t="shared" ref="R39:S42" si="7">R28+R17</f>
        <v>0</v>
      </c>
      <c r="S39" s="26">
        <f t="shared" si="7"/>
        <v>0</v>
      </c>
      <c r="T39" s="39" t="e">
        <f t="shared" si="6"/>
        <v>#DIV/0!</v>
      </c>
    </row>
    <row r="40" spans="1:21">
      <c r="A40" s="23"/>
      <c r="B40" s="24" t="s">
        <v>171</v>
      </c>
      <c r="C40" s="24"/>
      <c r="D40" s="29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26"/>
      <c r="R40" s="16">
        <f t="shared" si="7"/>
        <v>0</v>
      </c>
      <c r="S40" s="26">
        <f t="shared" si="7"/>
        <v>0</v>
      </c>
      <c r="T40" s="39" t="e">
        <f t="shared" si="6"/>
        <v>#DIV/0!</v>
      </c>
    </row>
    <row r="41" spans="1:21" ht="17.5" customHeight="1">
      <c r="A41" s="23"/>
      <c r="B41" s="24" t="s">
        <v>172</v>
      </c>
      <c r="C41" s="24"/>
      <c r="D41" s="29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26"/>
      <c r="R41" s="16">
        <f t="shared" si="7"/>
        <v>0</v>
      </c>
      <c r="S41" s="26">
        <f>S30+S19</f>
        <v>0</v>
      </c>
      <c r="T41" s="39" t="e">
        <f t="shared" si="6"/>
        <v>#DIV/0!</v>
      </c>
    </row>
    <row r="42" spans="1:21">
      <c r="A42" s="23"/>
      <c r="B42" s="24" t="s">
        <v>173</v>
      </c>
      <c r="C42" s="24"/>
      <c r="D42" s="28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26"/>
      <c r="R42" s="16">
        <f t="shared" si="7"/>
        <v>0</v>
      </c>
      <c r="S42" s="26">
        <f t="shared" si="7"/>
        <v>0</v>
      </c>
      <c r="T42" s="39" t="e">
        <f t="shared" si="6"/>
        <v>#DIV/0!</v>
      </c>
      <c r="U42" s="40"/>
    </row>
    <row r="43" spans="1:21">
      <c r="A43" s="51"/>
      <c r="B43" s="52"/>
      <c r="C43" s="52"/>
      <c r="D43" s="53"/>
      <c r="E43" s="56"/>
      <c r="F43" s="56"/>
      <c r="G43" s="56"/>
      <c r="H43" s="56"/>
      <c r="I43" s="56"/>
      <c r="J43" s="56"/>
      <c r="K43" s="56"/>
      <c r="L43" s="57"/>
      <c r="M43" s="57"/>
      <c r="N43" s="56"/>
      <c r="O43" s="57"/>
      <c r="P43" s="56"/>
      <c r="Q43" s="58"/>
      <c r="R43" s="55"/>
      <c r="T43" s="40"/>
      <c r="U43" s="40"/>
    </row>
    <row r="44" spans="1:21" ht="27">
      <c r="A44" s="22" t="s">
        <v>141</v>
      </c>
      <c r="B44" s="30" t="s">
        <v>142</v>
      </c>
      <c r="C44" s="22" t="s">
        <v>143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R44" s="44"/>
    </row>
    <row r="45" spans="1:21">
      <c r="A45" s="22"/>
      <c r="B45" s="22"/>
      <c r="C45" s="22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</row>
    <row r="46" spans="1:21" ht="43.5">
      <c r="A46" s="23" t="s">
        <v>145</v>
      </c>
      <c r="B46" s="35" t="s">
        <v>146</v>
      </c>
      <c r="C46" s="23" t="s">
        <v>147</v>
      </c>
      <c r="D46" s="24">
        <f>SUM(E46:P46)</f>
        <v>0</v>
      </c>
      <c r="E46" s="24">
        <f>E48-E47</f>
        <v>0</v>
      </c>
      <c r="F46" s="24">
        <f t="shared" ref="F46:P46" si="8">F48-F47</f>
        <v>0</v>
      </c>
      <c r="G46" s="24">
        <f t="shared" si="8"/>
        <v>0</v>
      </c>
      <c r="H46" s="24">
        <f t="shared" si="8"/>
        <v>0</v>
      </c>
      <c r="I46" s="24">
        <f t="shared" si="8"/>
        <v>0</v>
      </c>
      <c r="J46" s="24">
        <f t="shared" si="8"/>
        <v>0</v>
      </c>
      <c r="K46" s="24">
        <f t="shared" si="8"/>
        <v>0</v>
      </c>
      <c r="L46" s="24">
        <f t="shared" si="8"/>
        <v>0</v>
      </c>
      <c r="M46" s="24">
        <f t="shared" si="8"/>
        <v>0</v>
      </c>
      <c r="N46" s="24">
        <f t="shared" si="8"/>
        <v>0</v>
      </c>
      <c r="O46" s="24">
        <f t="shared" si="8"/>
        <v>0</v>
      </c>
      <c r="P46" s="24">
        <f t="shared" si="8"/>
        <v>0</v>
      </c>
    </row>
    <row r="47" spans="1:21">
      <c r="A47" s="23"/>
      <c r="B47" s="23" t="s">
        <v>174</v>
      </c>
      <c r="C47" s="23"/>
      <c r="D47" s="2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</row>
    <row r="48" spans="1:21">
      <c r="A48" s="23"/>
      <c r="B48" s="23" t="s">
        <v>175</v>
      </c>
      <c r="C48" s="23"/>
      <c r="D48" s="2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1:8">
      <c r="A49" s="22"/>
      <c r="B49" s="22"/>
      <c r="C49" s="22"/>
    </row>
    <row r="51" spans="1:8" s="19" customFormat="1" ht="72.5">
      <c r="B51" s="63" t="s">
        <v>176</v>
      </c>
      <c r="C51" s="63" t="s">
        <v>177</v>
      </c>
      <c r="D51" s="63" t="s">
        <v>178</v>
      </c>
      <c r="E51" s="63" t="s">
        <v>179</v>
      </c>
      <c r="F51" s="36" t="s">
        <v>180</v>
      </c>
      <c r="G51" s="63" t="s">
        <v>181</v>
      </c>
      <c r="H51" s="63" t="s">
        <v>182</v>
      </c>
    </row>
    <row r="52" spans="1:8">
      <c r="B52" s="44"/>
      <c r="C52" s="44"/>
      <c r="D52" s="44"/>
      <c r="E52" s="44"/>
      <c r="F52" s="44"/>
      <c r="G52" s="44"/>
      <c r="H52" s="62"/>
    </row>
    <row r="53" spans="1:8">
      <c r="B53" s="44"/>
      <c r="C53" s="44"/>
      <c r="D53" s="44"/>
      <c r="E53" s="44"/>
      <c r="F53" s="44"/>
      <c r="G53" s="44"/>
      <c r="H53" s="62"/>
    </row>
    <row r="54" spans="1:8">
      <c r="B54" s="44"/>
      <c r="C54" s="44"/>
      <c r="D54" s="44"/>
      <c r="E54" s="44"/>
      <c r="F54" s="44"/>
      <c r="G54" s="44"/>
      <c r="H54" s="62"/>
    </row>
    <row r="55" spans="1:8">
      <c r="B55" s="44"/>
      <c r="C55" s="44"/>
      <c r="D55" s="44"/>
      <c r="E55" s="44"/>
      <c r="F55" s="44"/>
      <c r="G55" s="44"/>
      <c r="H55" s="62"/>
    </row>
    <row r="56" spans="1:8">
      <c r="B56" s="44"/>
      <c r="C56" s="44"/>
      <c r="D56" s="44"/>
      <c r="E56" s="44"/>
      <c r="F56" s="44"/>
      <c r="G56" s="44"/>
      <c r="H56" s="62"/>
    </row>
    <row r="57" spans="1:8">
      <c r="B57" s="44"/>
      <c r="C57" s="44"/>
      <c r="D57" s="44"/>
      <c r="E57" s="44"/>
      <c r="F57" s="44"/>
      <c r="G57" s="44"/>
      <c r="H57" s="62"/>
    </row>
    <row r="58" spans="1:8">
      <c r="B58" s="44"/>
      <c r="C58" s="44"/>
      <c r="D58" s="44"/>
      <c r="E58" s="44"/>
      <c r="F58" s="44"/>
      <c r="G58" s="44"/>
      <c r="H58" s="62"/>
    </row>
    <row r="59" spans="1:8">
      <c r="B59" s="44"/>
      <c r="C59" s="44"/>
      <c r="D59" s="44"/>
      <c r="E59" s="44"/>
      <c r="F59" s="44"/>
      <c r="G59" s="44"/>
      <c r="H59" s="62"/>
    </row>
    <row r="60" spans="1:8">
      <c r="B60" s="44"/>
      <c r="C60" s="44"/>
      <c r="D60" s="44"/>
      <c r="E60" s="44"/>
      <c r="F60" s="44"/>
      <c r="G60" s="44"/>
      <c r="H60" s="62"/>
    </row>
    <row r="61" spans="1:8">
      <c r="B61" s="44"/>
      <c r="C61" s="44"/>
      <c r="D61" s="44"/>
      <c r="E61" s="44"/>
      <c r="F61" s="44"/>
      <c r="G61" s="44"/>
      <c r="H61" s="62"/>
    </row>
    <row r="62" spans="1:8">
      <c r="B62" s="44"/>
      <c r="C62" s="44"/>
      <c r="D62" s="44"/>
      <c r="E62" s="44"/>
      <c r="F62" s="44"/>
      <c r="G62" s="44"/>
      <c r="H62" s="62"/>
    </row>
    <row r="63" spans="1:8">
      <c r="B63" s="44"/>
      <c r="C63" s="44"/>
      <c r="D63" s="44"/>
      <c r="E63" s="44"/>
      <c r="F63" s="44"/>
      <c r="G63" s="44"/>
      <c r="H63" s="62"/>
    </row>
    <row r="64" spans="1:8">
      <c r="B64" s="44"/>
      <c r="C64" s="44"/>
      <c r="D64" s="44"/>
      <c r="E64" s="44"/>
      <c r="F64" s="44"/>
      <c r="G64" s="44"/>
      <c r="H64" s="62"/>
    </row>
    <row r="65" spans="2:8">
      <c r="B65" s="44"/>
      <c r="C65" s="44"/>
      <c r="D65" s="44"/>
      <c r="E65" s="44"/>
      <c r="F65" s="44"/>
      <c r="G65" s="44"/>
      <c r="H65" s="62"/>
    </row>
    <row r="66" spans="2:8">
      <c r="B66" s="44"/>
      <c r="C66" s="44"/>
      <c r="D66" s="44"/>
      <c r="E66" s="44"/>
      <c r="F66" s="44"/>
      <c r="G66" s="44"/>
      <c r="H66" s="62"/>
    </row>
    <row r="67" spans="2:8">
      <c r="B67" s="44"/>
      <c r="C67" s="44"/>
      <c r="D67" s="44"/>
      <c r="E67" s="44"/>
      <c r="F67" s="44"/>
      <c r="G67" s="44"/>
      <c r="H67" s="62"/>
    </row>
    <row r="68" spans="2:8">
      <c r="B68" s="44"/>
      <c r="C68" s="44"/>
      <c r="D68" s="44"/>
      <c r="E68" s="44"/>
      <c r="F68" s="44"/>
      <c r="G68" s="44"/>
      <c r="H68" s="62"/>
    </row>
    <row r="69" spans="2:8">
      <c r="B69" s="44"/>
      <c r="C69" s="44"/>
      <c r="D69" s="44"/>
      <c r="E69" s="44"/>
      <c r="F69" s="44"/>
      <c r="G69" s="44"/>
      <c r="H69" s="62"/>
    </row>
    <row r="70" spans="2:8">
      <c r="B70" s="44"/>
      <c r="C70" s="44"/>
      <c r="D70" s="44"/>
      <c r="E70" s="44"/>
      <c r="F70" s="44"/>
      <c r="G70" s="44"/>
      <c r="H70" s="62"/>
    </row>
    <row r="71" spans="2:8">
      <c r="B71" s="44"/>
      <c r="C71" s="44"/>
      <c r="D71" s="44"/>
      <c r="E71" s="44"/>
      <c r="F71" s="44"/>
      <c r="G71" s="44"/>
      <c r="H71" s="62"/>
    </row>
    <row r="72" spans="2:8">
      <c r="B72" s="44"/>
      <c r="C72" s="44"/>
      <c r="D72" s="44"/>
      <c r="E72" s="44"/>
      <c r="F72" s="44"/>
      <c r="G72" s="44"/>
      <c r="H72" s="62"/>
    </row>
    <row r="73" spans="2:8">
      <c r="B73" s="44"/>
      <c r="C73" s="44"/>
      <c r="D73" s="44"/>
      <c r="E73" s="44"/>
      <c r="F73" s="44"/>
      <c r="G73" s="44"/>
      <c r="H73" s="62"/>
    </row>
    <row r="74" spans="2:8">
      <c r="B74" s="44"/>
      <c r="C74" s="44"/>
      <c r="D74" s="44"/>
      <c r="E74" s="44"/>
      <c r="F74" s="44"/>
      <c r="G74" s="44"/>
      <c r="H74" s="62"/>
    </row>
    <row r="75" spans="2:8">
      <c r="B75" s="44"/>
      <c r="C75" s="44"/>
      <c r="D75" s="44"/>
      <c r="E75" s="44"/>
      <c r="F75" s="44"/>
      <c r="G75" s="44"/>
      <c r="H75" s="62"/>
    </row>
    <row r="76" spans="2:8">
      <c r="B76" s="44"/>
      <c r="C76" s="44"/>
      <c r="D76" s="44"/>
      <c r="E76" s="44"/>
      <c r="F76" s="44"/>
      <c r="G76" s="44"/>
      <c r="H76" s="62"/>
    </row>
    <row r="77" spans="2:8">
      <c r="B77" s="44"/>
      <c r="C77" s="44"/>
      <c r="D77" s="44"/>
      <c r="E77" s="44"/>
      <c r="F77" s="44"/>
      <c r="G77" s="44"/>
      <c r="H77" s="62"/>
    </row>
    <row r="78" spans="2:8">
      <c r="B78" s="44"/>
      <c r="C78" s="44"/>
      <c r="D78" s="44"/>
      <c r="E78" s="44"/>
      <c r="F78" s="44"/>
      <c r="G78" s="44"/>
      <c r="H78" s="62"/>
    </row>
    <row r="79" spans="2:8">
      <c r="B79" s="44"/>
      <c r="C79" s="44"/>
      <c r="D79" s="44"/>
      <c r="E79" s="44"/>
      <c r="F79" s="44"/>
      <c r="G79" s="44"/>
      <c r="H79" s="62"/>
    </row>
    <row r="80" spans="2:8">
      <c r="B80" s="44"/>
      <c r="C80" s="44"/>
      <c r="D80" s="44"/>
      <c r="E80" s="44"/>
      <c r="F80" s="44"/>
      <c r="G80" s="44"/>
      <c r="H80" s="62"/>
    </row>
    <row r="81" spans="2:8">
      <c r="B81" s="44"/>
      <c r="C81" s="44"/>
      <c r="D81" s="44"/>
      <c r="E81" s="44"/>
      <c r="F81" s="44"/>
      <c r="G81" s="44"/>
      <c r="H81" s="62"/>
    </row>
    <row r="82" spans="2:8">
      <c r="B82" s="44"/>
      <c r="C82" s="44"/>
      <c r="D82" s="44"/>
      <c r="E82" s="44"/>
      <c r="F82" s="44"/>
      <c r="G82" s="44"/>
      <c r="H82" s="62"/>
    </row>
    <row r="83" spans="2:8">
      <c r="B83" s="44"/>
      <c r="C83" s="44"/>
      <c r="D83" s="44"/>
      <c r="E83" s="44"/>
      <c r="F83" s="44"/>
      <c r="G83" s="44"/>
      <c r="H83" s="62"/>
    </row>
    <row r="84" spans="2:8">
      <c r="B84" s="44"/>
      <c r="C84" s="44"/>
      <c r="D84" s="44"/>
      <c r="E84" s="44"/>
      <c r="F84" s="44"/>
      <c r="G84" s="44"/>
      <c r="H84" s="62"/>
    </row>
    <row r="85" spans="2:8">
      <c r="B85" s="44"/>
      <c r="C85" s="44"/>
      <c r="D85" s="44"/>
      <c r="E85" s="44"/>
      <c r="F85" s="44"/>
      <c r="G85" s="44"/>
      <c r="H85" s="62"/>
    </row>
    <row r="86" spans="2:8">
      <c r="B86" s="44"/>
      <c r="C86" s="44"/>
      <c r="D86" s="44"/>
      <c r="E86" s="44"/>
      <c r="F86" s="44"/>
      <c r="G86" s="44"/>
      <c r="H86" s="62"/>
    </row>
    <row r="87" spans="2:8">
      <c r="B87" s="44"/>
      <c r="C87" s="44"/>
      <c r="D87" s="44"/>
      <c r="E87" s="44"/>
      <c r="F87" s="44"/>
      <c r="G87" s="44"/>
      <c r="H87" s="62"/>
    </row>
    <row r="88" spans="2:8">
      <c r="B88" s="44"/>
      <c r="C88" s="44"/>
      <c r="D88" s="44"/>
      <c r="E88" s="44"/>
      <c r="F88" s="44"/>
      <c r="G88" s="44"/>
      <c r="H88" s="62"/>
    </row>
    <row r="89" spans="2:8">
      <c r="B89" s="44"/>
      <c r="C89" s="44"/>
      <c r="D89" s="44"/>
      <c r="E89" s="44"/>
      <c r="F89" s="44"/>
      <c r="G89" s="44"/>
      <c r="H89" s="62"/>
    </row>
    <row r="90" spans="2:8">
      <c r="B90" s="44"/>
      <c r="C90" s="44"/>
      <c r="D90" s="44"/>
      <c r="E90" s="44"/>
      <c r="F90" s="44"/>
      <c r="G90" s="44"/>
      <c r="H90" s="62"/>
    </row>
    <row r="91" spans="2:8">
      <c r="B91" s="44"/>
      <c r="C91" s="44"/>
      <c r="D91" s="44"/>
      <c r="E91" s="44"/>
      <c r="F91" s="44"/>
      <c r="G91" s="44"/>
      <c r="H91" s="62"/>
    </row>
  </sheetData>
  <dataValidations count="1">
    <dataValidation type="list" allowBlank="1" showInputMessage="1" showErrorMessage="1" sqref="C52:C108" xr:uid="{00000000-0002-0000-0F00-000000000000}">
      <formula1>"resellers,big customer,others"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91"/>
  <sheetViews>
    <sheetView workbookViewId="0">
      <selection activeCell="I35" sqref="I35"/>
    </sheetView>
  </sheetViews>
  <sheetFormatPr baseColWidth="10" defaultColWidth="8.7265625" defaultRowHeight="14.5"/>
  <cols>
    <col min="1" max="1" width="6.1796875" customWidth="1"/>
    <col min="2" max="2" width="23.54296875" customWidth="1"/>
    <col min="3" max="16" width="11.81640625" customWidth="1"/>
    <col min="17" max="17" width="5.1796875" customWidth="1"/>
    <col min="18" max="19" width="11.453125" customWidth="1"/>
    <col min="20" max="20" width="25.453125" customWidth="1"/>
    <col min="21" max="256" width="11.453125" customWidth="1"/>
  </cols>
  <sheetData>
    <row r="1" spans="1:21">
      <c r="A1" s="18"/>
      <c r="B1" s="19"/>
      <c r="D1" s="20"/>
      <c r="E1" s="20"/>
      <c r="F1" s="20"/>
      <c r="G1" s="20"/>
      <c r="H1" s="20"/>
    </row>
    <row r="2" spans="1:21" ht="29">
      <c r="A2" s="21" t="s">
        <v>103</v>
      </c>
      <c r="B2" s="21" t="s">
        <v>104</v>
      </c>
      <c r="D2" s="20" t="s">
        <v>105</v>
      </c>
      <c r="E2" s="61" t="s">
        <v>153</v>
      </c>
      <c r="F2" s="61" t="s">
        <v>154</v>
      </c>
      <c r="G2" s="61" t="s">
        <v>155</v>
      </c>
      <c r="H2" s="61" t="s">
        <v>156</v>
      </c>
      <c r="I2" s="61" t="s">
        <v>157</v>
      </c>
      <c r="J2" s="61" t="s">
        <v>158</v>
      </c>
      <c r="K2" s="61" t="s">
        <v>159</v>
      </c>
      <c r="L2" s="61" t="s">
        <v>160</v>
      </c>
      <c r="M2" s="61" t="s">
        <v>161</v>
      </c>
      <c r="N2" s="61" t="s">
        <v>162</v>
      </c>
      <c r="O2" s="61" t="s">
        <v>163</v>
      </c>
      <c r="P2" s="61" t="s">
        <v>164</v>
      </c>
      <c r="R2" s="61" t="s">
        <v>40</v>
      </c>
    </row>
    <row r="3" spans="1:21" ht="57.5" hidden="1">
      <c r="A3" s="22" t="s">
        <v>118</v>
      </c>
      <c r="B3" s="22" t="s">
        <v>119</v>
      </c>
      <c r="C3" s="22" t="s">
        <v>120</v>
      </c>
      <c r="D3" s="43">
        <v>25</v>
      </c>
    </row>
    <row r="4" spans="1:21" ht="46" hidden="1">
      <c r="A4" s="22" t="s">
        <v>121</v>
      </c>
      <c r="B4" s="22" t="s">
        <v>122</v>
      </c>
      <c r="C4" s="22"/>
      <c r="D4" s="43">
        <v>298</v>
      </c>
    </row>
    <row r="5" spans="1:21" ht="34.5" hidden="1">
      <c r="A5" s="42" t="s">
        <v>61</v>
      </c>
      <c r="B5" s="22" t="s">
        <v>123</v>
      </c>
      <c r="C5" s="22"/>
      <c r="D5" s="43">
        <v>0</v>
      </c>
    </row>
    <row r="6" spans="1:21" ht="48" customHeight="1">
      <c r="A6" s="23" t="s">
        <v>165</v>
      </c>
      <c r="B6" s="23" t="s">
        <v>148</v>
      </c>
      <c r="C6" s="23" t="s">
        <v>149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21" ht="29">
      <c r="A7" s="23"/>
      <c r="B7" s="34" t="s">
        <v>166</v>
      </c>
      <c r="C7" s="24"/>
      <c r="D7" s="70">
        <f>SUM(E7:P7)</f>
        <v>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24"/>
      <c r="R7" s="24"/>
    </row>
    <row r="8" spans="1:21" ht="29">
      <c r="A8" s="23"/>
      <c r="B8" s="34" t="s">
        <v>167</v>
      </c>
      <c r="C8" s="24"/>
      <c r="D8" s="24">
        <f>SUM(E8:P8)</f>
        <v>0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24"/>
      <c r="R8" s="24"/>
    </row>
    <row r="9" spans="1:21">
      <c r="A9" s="24"/>
      <c r="B9" s="32" t="s">
        <v>131</v>
      </c>
      <c r="C9" s="32"/>
      <c r="D9" s="33">
        <f>SUM(E9:P9)</f>
        <v>0</v>
      </c>
      <c r="E9" s="33">
        <f>SUM(E7:E8)</f>
        <v>0</v>
      </c>
      <c r="F9" s="33">
        <f t="shared" ref="F9:P9" si="0">SUM(F7:F8)</f>
        <v>0</v>
      </c>
      <c r="G9" s="33">
        <f t="shared" si="0"/>
        <v>0</v>
      </c>
      <c r="H9" s="33">
        <f t="shared" si="0"/>
        <v>0</v>
      </c>
      <c r="I9" s="33">
        <f t="shared" si="0"/>
        <v>0</v>
      </c>
      <c r="J9" s="33">
        <f t="shared" si="0"/>
        <v>0</v>
      </c>
      <c r="K9" s="33">
        <f t="shared" si="0"/>
        <v>0</v>
      </c>
      <c r="L9" s="33">
        <f t="shared" si="0"/>
        <v>0</v>
      </c>
      <c r="M9" s="33">
        <f t="shared" si="0"/>
        <v>0</v>
      </c>
      <c r="N9" s="33">
        <f t="shared" si="0"/>
        <v>0</v>
      </c>
      <c r="O9" s="33">
        <f t="shared" si="0"/>
        <v>0</v>
      </c>
      <c r="P9" s="33">
        <f t="shared" si="0"/>
        <v>0</v>
      </c>
      <c r="Q9" s="24"/>
      <c r="R9" s="24"/>
    </row>
    <row r="11" spans="1:21">
      <c r="A11" s="35"/>
      <c r="B11" s="60" t="s">
        <v>132</v>
      </c>
      <c r="C11" s="24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6"/>
      <c r="R11" s="16"/>
    </row>
    <row r="12" spans="1:21">
      <c r="A12" s="23"/>
      <c r="B12" s="25" t="s">
        <v>133</v>
      </c>
      <c r="C12" s="24"/>
      <c r="D12" s="32">
        <f>SUM(E12:P12)</f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24"/>
      <c r="R12" s="24"/>
    </row>
    <row r="13" spans="1:21" ht="58">
      <c r="A13" s="23"/>
      <c r="B13" s="48" t="s">
        <v>134</v>
      </c>
      <c r="C13" s="23" t="s">
        <v>135</v>
      </c>
      <c r="D13" s="24"/>
      <c r="E13" s="16"/>
      <c r="F13" s="47"/>
      <c r="G13" s="16"/>
      <c r="H13" s="16"/>
      <c r="I13" s="16"/>
      <c r="J13" s="16"/>
      <c r="K13" s="16"/>
      <c r="L13" s="16"/>
      <c r="M13" s="16"/>
      <c r="N13" s="24"/>
      <c r="O13" s="24"/>
      <c r="P13" s="24"/>
      <c r="Q13" s="24"/>
      <c r="R13" s="36" t="s">
        <v>136</v>
      </c>
      <c r="S13" s="50" t="s">
        <v>137</v>
      </c>
      <c r="T13" s="49" t="s">
        <v>134</v>
      </c>
    </row>
    <row r="14" spans="1:21">
      <c r="A14" s="23"/>
      <c r="B14" s="24"/>
      <c r="C14" s="23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6"/>
      <c r="R14" s="16">
        <f>SUM(R15:R20)</f>
        <v>0</v>
      </c>
      <c r="S14">
        <f>SUM(S15:S20)</f>
        <v>0</v>
      </c>
      <c r="T14" s="38">
        <f>S14+R14</f>
        <v>0</v>
      </c>
    </row>
    <row r="15" spans="1:21">
      <c r="A15" s="23"/>
      <c r="B15" s="24" t="s">
        <v>168</v>
      </c>
      <c r="C15" s="24"/>
      <c r="D15" s="28"/>
      <c r="E15" s="45"/>
      <c r="F15" s="45"/>
      <c r="G15" s="45"/>
      <c r="H15" s="45"/>
      <c r="I15" s="45"/>
      <c r="J15" s="45"/>
      <c r="K15" s="45"/>
      <c r="L15" s="46"/>
      <c r="M15" s="46"/>
      <c r="N15" s="45"/>
      <c r="O15" s="46"/>
      <c r="P15" s="45"/>
      <c r="Q15" s="26"/>
      <c r="R15" s="16">
        <f t="shared" ref="R15:R20" si="1">E15*$E$7+F15*$F$7+G15*$G$7+H15*$H$7+I15*$I$7+J15*$J$7+K15*$K$7+L15*$L$7+M15*$M$7+N15*$N$7+O15*$O$7+P15*$P$7</f>
        <v>0</v>
      </c>
      <c r="S15" s="43"/>
      <c r="T15" s="39" t="e">
        <f t="shared" ref="T15:T20" si="2">(R15+S15)/$T$14</f>
        <v>#DIV/0!</v>
      </c>
      <c r="U15" s="40"/>
    </row>
    <row r="16" spans="1:21">
      <c r="A16" s="23"/>
      <c r="B16" s="24" t="s">
        <v>169</v>
      </c>
      <c r="C16" s="24"/>
      <c r="D16" s="28"/>
      <c r="E16" s="45"/>
      <c r="F16" s="45"/>
      <c r="G16" s="45"/>
      <c r="H16" s="45"/>
      <c r="I16" s="45"/>
      <c r="J16" s="45"/>
      <c r="K16" s="45"/>
      <c r="L16" s="46"/>
      <c r="M16" s="46"/>
      <c r="N16" s="45"/>
      <c r="O16" s="46"/>
      <c r="P16" s="45"/>
      <c r="Q16" s="26"/>
      <c r="R16" s="16">
        <f t="shared" si="1"/>
        <v>0</v>
      </c>
      <c r="S16" s="43"/>
      <c r="T16" s="39" t="e">
        <f t="shared" si="2"/>
        <v>#DIV/0!</v>
      </c>
      <c r="U16" s="40"/>
    </row>
    <row r="17" spans="1:21">
      <c r="A17" s="23"/>
      <c r="B17" s="24" t="s">
        <v>170</v>
      </c>
      <c r="C17" s="24"/>
      <c r="D17" s="28"/>
      <c r="E17" s="45"/>
      <c r="F17" s="45"/>
      <c r="G17" s="45"/>
      <c r="H17" s="45"/>
      <c r="I17" s="45"/>
      <c r="J17" s="45"/>
      <c r="K17" s="45"/>
      <c r="L17" s="46"/>
      <c r="M17" s="46"/>
      <c r="N17" s="45"/>
      <c r="O17" s="46"/>
      <c r="P17" s="45"/>
      <c r="Q17" s="26"/>
      <c r="R17" s="16">
        <f t="shared" si="1"/>
        <v>0</v>
      </c>
      <c r="S17" s="43"/>
      <c r="T17" s="39" t="e">
        <f t="shared" si="2"/>
        <v>#DIV/0!</v>
      </c>
      <c r="U17" s="40"/>
    </row>
    <row r="18" spans="1:21">
      <c r="A18" s="23"/>
      <c r="B18" s="24" t="s">
        <v>171</v>
      </c>
      <c r="C18" s="24"/>
      <c r="D18" s="28"/>
      <c r="E18" s="45"/>
      <c r="F18" s="45"/>
      <c r="G18" s="45"/>
      <c r="H18" s="45"/>
      <c r="I18" s="45"/>
      <c r="J18" s="45"/>
      <c r="K18" s="45"/>
      <c r="L18" s="46"/>
      <c r="M18" s="46"/>
      <c r="N18" s="45"/>
      <c r="O18" s="46"/>
      <c r="P18" s="45"/>
      <c r="Q18" s="26"/>
      <c r="R18" s="16">
        <f t="shared" si="1"/>
        <v>0</v>
      </c>
      <c r="S18" s="43"/>
      <c r="T18" s="39" t="e">
        <f t="shared" si="2"/>
        <v>#DIV/0!</v>
      </c>
      <c r="U18" s="40"/>
    </row>
    <row r="19" spans="1:21">
      <c r="A19" s="23"/>
      <c r="B19" s="24" t="s">
        <v>172</v>
      </c>
      <c r="C19" s="24"/>
      <c r="D19" s="28"/>
      <c r="E19" s="45"/>
      <c r="F19" s="45"/>
      <c r="G19" s="45"/>
      <c r="H19" s="45"/>
      <c r="I19" s="45"/>
      <c r="J19" s="45"/>
      <c r="K19" s="45"/>
      <c r="L19" s="46"/>
      <c r="M19" s="46"/>
      <c r="N19" s="45"/>
      <c r="O19" s="46"/>
      <c r="P19" s="45"/>
      <c r="Q19" s="26"/>
      <c r="R19" s="16">
        <f t="shared" si="1"/>
        <v>0</v>
      </c>
      <c r="S19" s="43"/>
      <c r="T19" s="39" t="e">
        <f t="shared" si="2"/>
        <v>#DIV/0!</v>
      </c>
      <c r="U19" s="40"/>
    </row>
    <row r="20" spans="1:21">
      <c r="A20" s="23"/>
      <c r="B20" s="24" t="s">
        <v>173</v>
      </c>
      <c r="C20" s="24"/>
      <c r="D20" s="28"/>
      <c r="E20" s="66"/>
      <c r="F20" s="45"/>
      <c r="G20" s="45"/>
      <c r="H20" s="45"/>
      <c r="I20" s="45"/>
      <c r="J20" s="45"/>
      <c r="K20" s="45"/>
      <c r="L20" s="46"/>
      <c r="M20" s="46"/>
      <c r="N20" s="45"/>
      <c r="O20" s="46"/>
      <c r="P20" s="45"/>
      <c r="Q20" s="26"/>
      <c r="R20" s="16">
        <f t="shared" si="1"/>
        <v>0</v>
      </c>
      <c r="S20" s="43"/>
      <c r="T20" s="39" t="e">
        <f t="shared" si="2"/>
        <v>#DIV/0!</v>
      </c>
      <c r="U20" s="40"/>
    </row>
    <row r="21" spans="1:21">
      <c r="A21" s="51"/>
      <c r="B21" s="52"/>
      <c r="C21" s="52"/>
      <c r="D21" s="64"/>
      <c r="E21" s="68"/>
      <c r="F21" s="65"/>
      <c r="G21" s="65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5"/>
      <c r="T21" s="40"/>
      <c r="U21" s="40"/>
    </row>
    <row r="22" spans="1:21">
      <c r="A22" s="35"/>
      <c r="B22" s="60" t="s">
        <v>138</v>
      </c>
      <c r="C22" s="24"/>
      <c r="D22" s="29"/>
      <c r="E22" s="67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16"/>
    </row>
    <row r="23" spans="1:21">
      <c r="A23" s="23"/>
      <c r="B23" s="25" t="s">
        <v>133</v>
      </c>
      <c r="C23" s="24"/>
      <c r="D23" s="29"/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26"/>
      <c r="R23" s="16"/>
    </row>
    <row r="24" spans="1:21" ht="58">
      <c r="A24" s="23"/>
      <c r="B24" s="48" t="s">
        <v>134</v>
      </c>
      <c r="C24" s="24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6"/>
      <c r="R24" s="36" t="s">
        <v>136</v>
      </c>
      <c r="S24" s="50" t="s">
        <v>137</v>
      </c>
      <c r="T24" s="49" t="s">
        <v>134</v>
      </c>
    </row>
    <row r="25" spans="1:21">
      <c r="A25" s="23"/>
      <c r="B25" s="24"/>
      <c r="C25" s="2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6"/>
      <c r="R25" s="16">
        <f>SUM(R26:R31)</f>
        <v>0</v>
      </c>
      <c r="S25">
        <f>SUM(S26:S31)</f>
        <v>0</v>
      </c>
      <c r="T25" s="38">
        <f>S25+R25</f>
        <v>0</v>
      </c>
    </row>
    <row r="26" spans="1:21">
      <c r="A26" s="23"/>
      <c r="B26" s="24" t="s">
        <v>168</v>
      </c>
      <c r="C26" s="24"/>
      <c r="D26" s="29"/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26"/>
      <c r="R26" s="16">
        <f t="shared" ref="R26:R31" si="3">E26*$E$8+F26*$F$8+G26*$G$8+H26*$H$8+I26*$I$8+J26*$J$8+K26*$K$8+L26*$L$8+M26*$M$8+N26*$N$8+O26*$O$8+P26*$P$8</f>
        <v>0</v>
      </c>
      <c r="S26" s="43"/>
      <c r="T26" s="39" t="e">
        <f t="shared" ref="T26:T31" si="4">(R26+S26)/$T$25</f>
        <v>#DIV/0!</v>
      </c>
    </row>
    <row r="27" spans="1:21">
      <c r="A27" s="23"/>
      <c r="B27" s="24" t="s">
        <v>169</v>
      </c>
      <c r="C27" s="24"/>
      <c r="D27" s="29"/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26"/>
      <c r="R27" s="16">
        <f t="shared" si="3"/>
        <v>0</v>
      </c>
      <c r="S27" s="43"/>
      <c r="T27" s="39" t="e">
        <f t="shared" si="4"/>
        <v>#DIV/0!</v>
      </c>
    </row>
    <row r="28" spans="1:21">
      <c r="A28" s="23"/>
      <c r="B28" s="24" t="s">
        <v>170</v>
      </c>
      <c r="C28" s="24"/>
      <c r="D28" s="29"/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26"/>
      <c r="R28" s="16">
        <f t="shared" si="3"/>
        <v>0</v>
      </c>
      <c r="S28" s="43"/>
      <c r="T28" s="39" t="e">
        <f t="shared" si="4"/>
        <v>#DIV/0!</v>
      </c>
    </row>
    <row r="29" spans="1:21">
      <c r="A29" s="23"/>
      <c r="B29" s="24" t="s">
        <v>171</v>
      </c>
      <c r="C29" s="24"/>
      <c r="D29" s="29"/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26"/>
      <c r="R29" s="16">
        <f t="shared" si="3"/>
        <v>0</v>
      </c>
      <c r="S29" s="43"/>
      <c r="T29" s="39" t="e">
        <f t="shared" si="4"/>
        <v>#DIV/0!</v>
      </c>
    </row>
    <row r="30" spans="1:21" ht="17.5" customHeight="1">
      <c r="A30" s="23"/>
      <c r="B30" s="24" t="s">
        <v>172</v>
      </c>
      <c r="C30" s="24"/>
      <c r="D30" s="29"/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26"/>
      <c r="R30" s="16">
        <f t="shared" si="3"/>
        <v>0</v>
      </c>
      <c r="S30" s="43"/>
      <c r="T30" s="39" t="e">
        <f t="shared" si="4"/>
        <v>#DIV/0!</v>
      </c>
    </row>
    <row r="31" spans="1:21">
      <c r="A31" s="23"/>
      <c r="B31" s="24" t="s">
        <v>173</v>
      </c>
      <c r="C31" s="24"/>
      <c r="D31" s="28"/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26"/>
      <c r="R31" s="16">
        <f t="shared" si="3"/>
        <v>0</v>
      </c>
      <c r="S31" s="43"/>
      <c r="T31" s="39" t="e">
        <f t="shared" si="4"/>
        <v>#DIV/0!</v>
      </c>
      <c r="U31" s="40"/>
    </row>
    <row r="32" spans="1:21">
      <c r="A32" s="51"/>
      <c r="B32" s="52"/>
      <c r="C32" s="52"/>
      <c r="D32" s="53"/>
      <c r="E32" s="56"/>
      <c r="F32" s="56"/>
      <c r="G32" s="56"/>
      <c r="H32" s="56"/>
      <c r="I32" s="56"/>
      <c r="J32" s="56"/>
      <c r="K32" s="56"/>
      <c r="L32" s="57"/>
      <c r="M32" s="57"/>
      <c r="N32" s="56"/>
      <c r="O32" s="57"/>
      <c r="P32" s="56"/>
      <c r="Q32" s="58"/>
      <c r="R32" s="55"/>
      <c r="S32" s="59"/>
      <c r="T32" s="40"/>
      <c r="U32" s="40"/>
    </row>
    <row r="33" spans="1:21" ht="29">
      <c r="A33" s="35" t="s">
        <v>139</v>
      </c>
      <c r="B33" s="60" t="s">
        <v>140</v>
      </c>
      <c r="C33" s="24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16"/>
    </row>
    <row r="34" spans="1:21">
      <c r="A34" s="23"/>
      <c r="B34" s="25" t="s">
        <v>133</v>
      </c>
      <c r="C34" s="24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6"/>
      <c r="R34" s="16"/>
    </row>
    <row r="35" spans="1:21" ht="58">
      <c r="A35" s="23"/>
      <c r="B35" s="48" t="s">
        <v>134</v>
      </c>
      <c r="C35" s="24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6"/>
      <c r="R35" s="36" t="s">
        <v>136</v>
      </c>
      <c r="S35" s="50" t="s">
        <v>137</v>
      </c>
      <c r="T35" s="49" t="s">
        <v>134</v>
      </c>
    </row>
    <row r="36" spans="1:21">
      <c r="A36" s="23"/>
      <c r="B36" s="24"/>
      <c r="C36" s="24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6"/>
      <c r="R36" s="16">
        <f t="shared" ref="R36:S38" si="5">R25+R14</f>
        <v>0</v>
      </c>
      <c r="S36" s="26">
        <f t="shared" si="5"/>
        <v>0</v>
      </c>
      <c r="T36" s="38">
        <f>S36+R36</f>
        <v>0</v>
      </c>
    </row>
    <row r="37" spans="1:21">
      <c r="A37" s="23"/>
      <c r="B37" s="24" t="s">
        <v>168</v>
      </c>
      <c r="C37" s="24"/>
      <c r="D37" s="29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26"/>
      <c r="R37" s="16">
        <f t="shared" si="5"/>
        <v>0</v>
      </c>
      <c r="S37" s="26">
        <f t="shared" si="5"/>
        <v>0</v>
      </c>
      <c r="T37" s="39" t="e">
        <f t="shared" ref="T37:T42" si="6">(R37+S37)/$T$36</f>
        <v>#DIV/0!</v>
      </c>
    </row>
    <row r="38" spans="1:21">
      <c r="A38" s="23"/>
      <c r="B38" s="24" t="s">
        <v>169</v>
      </c>
      <c r="C38" s="24"/>
      <c r="D38" s="29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26"/>
      <c r="R38" s="16">
        <f t="shared" si="5"/>
        <v>0</v>
      </c>
      <c r="S38" s="26">
        <f t="shared" si="5"/>
        <v>0</v>
      </c>
      <c r="T38" s="39" t="e">
        <f t="shared" si="6"/>
        <v>#DIV/0!</v>
      </c>
    </row>
    <row r="39" spans="1:21">
      <c r="A39" s="23"/>
      <c r="B39" s="24" t="s">
        <v>170</v>
      </c>
      <c r="C39" s="24"/>
      <c r="D39" s="29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26"/>
      <c r="R39" s="16">
        <f t="shared" ref="R39:S42" si="7">R28+R17</f>
        <v>0</v>
      </c>
      <c r="S39" s="26">
        <f t="shared" si="7"/>
        <v>0</v>
      </c>
      <c r="T39" s="39" t="e">
        <f t="shared" si="6"/>
        <v>#DIV/0!</v>
      </c>
    </row>
    <row r="40" spans="1:21">
      <c r="A40" s="23"/>
      <c r="B40" s="24" t="s">
        <v>171</v>
      </c>
      <c r="C40" s="24"/>
      <c r="D40" s="29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26"/>
      <c r="R40" s="16">
        <f t="shared" si="7"/>
        <v>0</v>
      </c>
      <c r="S40" s="26">
        <f t="shared" si="7"/>
        <v>0</v>
      </c>
      <c r="T40" s="39" t="e">
        <f t="shared" si="6"/>
        <v>#DIV/0!</v>
      </c>
    </row>
    <row r="41" spans="1:21" ht="17.5" customHeight="1">
      <c r="A41" s="23"/>
      <c r="B41" s="24" t="s">
        <v>172</v>
      </c>
      <c r="C41" s="24"/>
      <c r="D41" s="29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26"/>
      <c r="R41" s="16">
        <f t="shared" si="7"/>
        <v>0</v>
      </c>
      <c r="S41" s="26">
        <f>S30+S19</f>
        <v>0</v>
      </c>
      <c r="T41" s="39" t="e">
        <f t="shared" si="6"/>
        <v>#DIV/0!</v>
      </c>
    </row>
    <row r="42" spans="1:21">
      <c r="A42" s="23"/>
      <c r="B42" s="24" t="s">
        <v>173</v>
      </c>
      <c r="C42" s="24"/>
      <c r="D42" s="28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26"/>
      <c r="R42" s="16">
        <f t="shared" si="7"/>
        <v>0</v>
      </c>
      <c r="S42" s="26">
        <f t="shared" si="7"/>
        <v>0</v>
      </c>
      <c r="T42" s="39" t="e">
        <f t="shared" si="6"/>
        <v>#DIV/0!</v>
      </c>
      <c r="U42" s="40"/>
    </row>
    <row r="43" spans="1:21">
      <c r="A43" s="51"/>
      <c r="B43" s="52"/>
      <c r="C43" s="52"/>
      <c r="D43" s="53"/>
      <c r="E43" s="56"/>
      <c r="F43" s="56"/>
      <c r="G43" s="56"/>
      <c r="H43" s="56"/>
      <c r="I43" s="56"/>
      <c r="J43" s="56"/>
      <c r="K43" s="56"/>
      <c r="L43" s="57"/>
      <c r="M43" s="57"/>
      <c r="N43" s="56"/>
      <c r="O43" s="57"/>
      <c r="P43" s="56"/>
      <c r="Q43" s="58"/>
      <c r="R43" s="55"/>
      <c r="T43" s="40"/>
      <c r="U43" s="40"/>
    </row>
    <row r="44" spans="1:21" ht="27">
      <c r="A44" s="22" t="s">
        <v>141</v>
      </c>
      <c r="B44" s="30" t="s">
        <v>142</v>
      </c>
      <c r="C44" s="22" t="s">
        <v>143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R44" s="44"/>
    </row>
    <row r="45" spans="1:21">
      <c r="A45" s="22"/>
      <c r="B45" s="22"/>
      <c r="C45" s="22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</row>
    <row r="46" spans="1:21" ht="43.5">
      <c r="A46" s="23" t="s">
        <v>145</v>
      </c>
      <c r="B46" s="35" t="s">
        <v>146</v>
      </c>
      <c r="C46" s="23" t="s">
        <v>147</v>
      </c>
      <c r="D46" s="24">
        <f>SUM(E46:P46)</f>
        <v>0</v>
      </c>
      <c r="E46" s="24">
        <f>E48-E47</f>
        <v>0</v>
      </c>
      <c r="F46" s="24">
        <f t="shared" ref="F46:P46" si="8">F48-F47</f>
        <v>0</v>
      </c>
      <c r="G46" s="24">
        <f t="shared" si="8"/>
        <v>0</v>
      </c>
      <c r="H46" s="24">
        <f t="shared" si="8"/>
        <v>0</v>
      </c>
      <c r="I46" s="24">
        <f t="shared" si="8"/>
        <v>0</v>
      </c>
      <c r="J46" s="24">
        <f t="shared" si="8"/>
        <v>0</v>
      </c>
      <c r="K46" s="24">
        <f t="shared" si="8"/>
        <v>0</v>
      </c>
      <c r="L46" s="24">
        <f t="shared" si="8"/>
        <v>0</v>
      </c>
      <c r="M46" s="24">
        <f t="shared" si="8"/>
        <v>0</v>
      </c>
      <c r="N46" s="24">
        <f t="shared" si="8"/>
        <v>0</v>
      </c>
      <c r="O46" s="24">
        <f t="shared" si="8"/>
        <v>0</v>
      </c>
      <c r="P46" s="24">
        <f t="shared" si="8"/>
        <v>0</v>
      </c>
    </row>
    <row r="47" spans="1:21">
      <c r="A47" s="23"/>
      <c r="B47" s="23" t="s">
        <v>174</v>
      </c>
      <c r="C47" s="23"/>
      <c r="D47" s="2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</row>
    <row r="48" spans="1:21">
      <c r="A48" s="23"/>
      <c r="B48" s="23" t="s">
        <v>175</v>
      </c>
      <c r="C48" s="23"/>
      <c r="D48" s="2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1:8">
      <c r="A49" s="22"/>
      <c r="B49" s="22"/>
      <c r="C49" s="22"/>
    </row>
    <row r="51" spans="1:8" s="19" customFormat="1" ht="72.5">
      <c r="B51" s="63" t="s">
        <v>176</v>
      </c>
      <c r="C51" s="63" t="s">
        <v>177</v>
      </c>
      <c r="D51" s="63" t="s">
        <v>178</v>
      </c>
      <c r="E51" s="63" t="s">
        <v>179</v>
      </c>
      <c r="F51" s="36" t="s">
        <v>180</v>
      </c>
      <c r="G51" s="63" t="s">
        <v>181</v>
      </c>
      <c r="H51" s="63" t="s">
        <v>182</v>
      </c>
    </row>
    <row r="52" spans="1:8">
      <c r="B52" s="44"/>
      <c r="C52" s="44"/>
      <c r="D52" s="44"/>
      <c r="E52" s="44"/>
      <c r="F52" s="44"/>
      <c r="G52" s="44"/>
      <c r="H52" s="62"/>
    </row>
    <row r="53" spans="1:8">
      <c r="B53" s="44"/>
      <c r="C53" s="44"/>
      <c r="D53" s="44"/>
      <c r="E53" s="44"/>
      <c r="F53" s="44"/>
      <c r="G53" s="44"/>
      <c r="H53" s="62"/>
    </row>
    <row r="54" spans="1:8">
      <c r="B54" s="44"/>
      <c r="C54" s="44"/>
      <c r="D54" s="44"/>
      <c r="E54" s="44"/>
      <c r="F54" s="44"/>
      <c r="G54" s="44"/>
      <c r="H54" s="62"/>
    </row>
    <row r="55" spans="1:8">
      <c r="B55" s="44"/>
      <c r="C55" s="44"/>
      <c r="D55" s="44"/>
      <c r="E55" s="44"/>
      <c r="F55" s="44"/>
      <c r="G55" s="44"/>
      <c r="H55" s="62"/>
    </row>
    <row r="56" spans="1:8">
      <c r="B56" s="44"/>
      <c r="C56" s="44"/>
      <c r="D56" s="44"/>
      <c r="E56" s="44"/>
      <c r="F56" s="44"/>
      <c r="G56" s="44"/>
      <c r="H56" s="62"/>
    </row>
    <row r="57" spans="1:8">
      <c r="B57" s="44"/>
      <c r="C57" s="44"/>
      <c r="D57" s="44"/>
      <c r="E57" s="44"/>
      <c r="F57" s="44"/>
      <c r="G57" s="44"/>
      <c r="H57" s="62"/>
    </row>
    <row r="58" spans="1:8">
      <c r="B58" s="44"/>
      <c r="C58" s="44"/>
      <c r="D58" s="44"/>
      <c r="E58" s="44"/>
      <c r="F58" s="44"/>
      <c r="G58" s="44"/>
      <c r="H58" s="62"/>
    </row>
    <row r="59" spans="1:8">
      <c r="B59" s="44"/>
      <c r="C59" s="44"/>
      <c r="D59" s="44"/>
      <c r="E59" s="44"/>
      <c r="F59" s="44"/>
      <c r="G59" s="44"/>
      <c r="H59" s="62"/>
    </row>
    <row r="60" spans="1:8">
      <c r="B60" s="44"/>
      <c r="C60" s="44"/>
      <c r="D60" s="44"/>
      <c r="E60" s="44"/>
      <c r="F60" s="44"/>
      <c r="G60" s="44"/>
      <c r="H60" s="62"/>
    </row>
    <row r="61" spans="1:8">
      <c r="B61" s="44"/>
      <c r="C61" s="44"/>
      <c r="D61" s="44"/>
      <c r="E61" s="44"/>
      <c r="F61" s="44"/>
      <c r="G61" s="44"/>
      <c r="H61" s="62"/>
    </row>
    <row r="62" spans="1:8">
      <c r="B62" s="44"/>
      <c r="C62" s="44"/>
      <c r="D62" s="44"/>
      <c r="E62" s="44"/>
      <c r="F62" s="44"/>
      <c r="G62" s="44"/>
      <c r="H62" s="62"/>
    </row>
    <row r="63" spans="1:8">
      <c r="B63" s="44"/>
      <c r="C63" s="44"/>
      <c r="D63" s="44"/>
      <c r="E63" s="44"/>
      <c r="F63" s="44"/>
      <c r="G63" s="44"/>
      <c r="H63" s="62"/>
    </row>
    <row r="64" spans="1:8">
      <c r="B64" s="44"/>
      <c r="C64" s="44"/>
      <c r="D64" s="44"/>
      <c r="E64" s="44"/>
      <c r="F64" s="44"/>
      <c r="G64" s="44"/>
      <c r="H64" s="62"/>
    </row>
    <row r="65" spans="2:8">
      <c r="B65" s="44"/>
      <c r="C65" s="44"/>
      <c r="D65" s="44"/>
      <c r="E65" s="44"/>
      <c r="F65" s="44"/>
      <c r="G65" s="44"/>
      <c r="H65" s="62"/>
    </row>
    <row r="66" spans="2:8">
      <c r="B66" s="44"/>
      <c r="C66" s="44"/>
      <c r="D66" s="44"/>
      <c r="E66" s="44"/>
      <c r="F66" s="44"/>
      <c r="G66" s="44"/>
      <c r="H66" s="62"/>
    </row>
    <row r="67" spans="2:8">
      <c r="B67" s="44"/>
      <c r="C67" s="44"/>
      <c r="D67" s="44"/>
      <c r="E67" s="44"/>
      <c r="F67" s="44"/>
      <c r="G67" s="44"/>
      <c r="H67" s="62"/>
    </row>
    <row r="68" spans="2:8">
      <c r="B68" s="44"/>
      <c r="C68" s="44"/>
      <c r="D68" s="44"/>
      <c r="E68" s="44"/>
      <c r="F68" s="44"/>
      <c r="G68" s="44"/>
      <c r="H68" s="62"/>
    </row>
    <row r="69" spans="2:8">
      <c r="B69" s="44"/>
      <c r="C69" s="44"/>
      <c r="D69" s="44"/>
      <c r="E69" s="44"/>
      <c r="F69" s="44"/>
      <c r="G69" s="44"/>
      <c r="H69" s="62"/>
    </row>
    <row r="70" spans="2:8">
      <c r="B70" s="44"/>
      <c r="C70" s="44"/>
      <c r="D70" s="44"/>
      <c r="E70" s="44"/>
      <c r="F70" s="44"/>
      <c r="G70" s="44"/>
      <c r="H70" s="62"/>
    </row>
    <row r="71" spans="2:8">
      <c r="B71" s="44"/>
      <c r="C71" s="44"/>
      <c r="D71" s="44"/>
      <c r="E71" s="44"/>
      <c r="F71" s="44"/>
      <c r="G71" s="44"/>
      <c r="H71" s="62"/>
    </row>
    <row r="72" spans="2:8">
      <c r="B72" s="44"/>
      <c r="C72" s="44"/>
      <c r="D72" s="44"/>
      <c r="E72" s="44"/>
      <c r="F72" s="44"/>
      <c r="G72" s="44"/>
      <c r="H72" s="62"/>
    </row>
    <row r="73" spans="2:8">
      <c r="B73" s="44"/>
      <c r="C73" s="44"/>
      <c r="D73" s="44"/>
      <c r="E73" s="44"/>
      <c r="F73" s="44"/>
      <c r="G73" s="44"/>
      <c r="H73" s="62"/>
    </row>
    <row r="74" spans="2:8">
      <c r="B74" s="44"/>
      <c r="C74" s="44"/>
      <c r="D74" s="44"/>
      <c r="E74" s="44"/>
      <c r="F74" s="44"/>
      <c r="G74" s="44"/>
      <c r="H74" s="62"/>
    </row>
    <row r="75" spans="2:8">
      <c r="B75" s="44"/>
      <c r="C75" s="44"/>
      <c r="D75" s="44"/>
      <c r="E75" s="44"/>
      <c r="F75" s="44"/>
      <c r="G75" s="44"/>
      <c r="H75" s="62"/>
    </row>
    <row r="76" spans="2:8">
      <c r="B76" s="44"/>
      <c r="C76" s="44"/>
      <c r="D76" s="44"/>
      <c r="E76" s="44"/>
      <c r="F76" s="44"/>
      <c r="G76" s="44"/>
      <c r="H76" s="62"/>
    </row>
    <row r="77" spans="2:8">
      <c r="B77" s="44"/>
      <c r="C77" s="44"/>
      <c r="D77" s="44"/>
      <c r="E77" s="44"/>
      <c r="F77" s="44"/>
      <c r="G77" s="44"/>
      <c r="H77" s="62"/>
    </row>
    <row r="78" spans="2:8">
      <c r="B78" s="44"/>
      <c r="C78" s="44"/>
      <c r="D78" s="44"/>
      <c r="E78" s="44"/>
      <c r="F78" s="44"/>
      <c r="G78" s="44"/>
      <c r="H78" s="62"/>
    </row>
    <row r="79" spans="2:8">
      <c r="B79" s="44"/>
      <c r="C79" s="44"/>
      <c r="D79" s="44"/>
      <c r="E79" s="44"/>
      <c r="F79" s="44"/>
      <c r="G79" s="44"/>
      <c r="H79" s="62"/>
    </row>
    <row r="80" spans="2:8">
      <c r="B80" s="44"/>
      <c r="C80" s="44"/>
      <c r="D80" s="44"/>
      <c r="E80" s="44"/>
      <c r="F80" s="44"/>
      <c r="G80" s="44"/>
      <c r="H80" s="62"/>
    </row>
    <row r="81" spans="2:8">
      <c r="B81" s="44"/>
      <c r="C81" s="44"/>
      <c r="D81" s="44"/>
      <c r="E81" s="44"/>
      <c r="F81" s="44"/>
      <c r="G81" s="44"/>
      <c r="H81" s="62"/>
    </row>
    <row r="82" spans="2:8">
      <c r="B82" s="44"/>
      <c r="C82" s="44"/>
      <c r="D82" s="44"/>
      <c r="E82" s="44"/>
      <c r="F82" s="44"/>
      <c r="G82" s="44"/>
      <c r="H82" s="62"/>
    </row>
    <row r="83" spans="2:8">
      <c r="B83" s="44"/>
      <c r="C83" s="44"/>
      <c r="D83" s="44"/>
      <c r="E83" s="44"/>
      <c r="F83" s="44"/>
      <c r="G83" s="44"/>
      <c r="H83" s="62"/>
    </row>
    <row r="84" spans="2:8">
      <c r="B84" s="44"/>
      <c r="C84" s="44"/>
      <c r="D84" s="44"/>
      <c r="E84" s="44"/>
      <c r="F84" s="44"/>
      <c r="G84" s="44"/>
      <c r="H84" s="62"/>
    </row>
    <row r="85" spans="2:8">
      <c r="B85" s="44"/>
      <c r="C85" s="44"/>
      <c r="D85" s="44"/>
      <c r="E85" s="44"/>
      <c r="F85" s="44"/>
      <c r="G85" s="44"/>
      <c r="H85" s="62"/>
    </row>
    <row r="86" spans="2:8">
      <c r="B86" s="44"/>
      <c r="C86" s="44"/>
      <c r="D86" s="44"/>
      <c r="E86" s="44"/>
      <c r="F86" s="44"/>
      <c r="G86" s="44"/>
      <c r="H86" s="62"/>
    </row>
    <row r="87" spans="2:8">
      <c r="B87" s="44"/>
      <c r="C87" s="44"/>
      <c r="D87" s="44"/>
      <c r="E87" s="44"/>
      <c r="F87" s="44"/>
      <c r="G87" s="44"/>
      <c r="H87" s="62"/>
    </row>
    <row r="88" spans="2:8">
      <c r="B88" s="44"/>
      <c r="C88" s="44"/>
      <c r="D88" s="44"/>
      <c r="E88" s="44"/>
      <c r="F88" s="44"/>
      <c r="G88" s="44"/>
      <c r="H88" s="62"/>
    </row>
    <row r="89" spans="2:8">
      <c r="B89" s="44"/>
      <c r="C89" s="44"/>
      <c r="D89" s="44"/>
      <c r="E89" s="44"/>
      <c r="F89" s="44"/>
      <c r="G89" s="44"/>
      <c r="H89" s="62"/>
    </row>
    <row r="90" spans="2:8">
      <c r="B90" s="44"/>
      <c r="C90" s="44"/>
      <c r="D90" s="44"/>
      <c r="E90" s="44"/>
      <c r="F90" s="44"/>
      <c r="G90" s="44"/>
      <c r="H90" s="62"/>
    </row>
    <row r="91" spans="2:8">
      <c r="B91" s="44"/>
      <c r="C91" s="44"/>
      <c r="D91" s="44"/>
      <c r="E91" s="44"/>
      <c r="F91" s="44"/>
      <c r="G91" s="44"/>
      <c r="H91" s="62"/>
    </row>
  </sheetData>
  <dataValidations count="1">
    <dataValidation type="list" allowBlank="1" showInputMessage="1" showErrorMessage="1" sqref="C52:C108" xr:uid="{00000000-0002-0000-1000-000000000000}">
      <formula1>"resellers,big customer,others"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9"/>
  <sheetViews>
    <sheetView workbookViewId="0">
      <selection activeCell="C24" sqref="C24"/>
    </sheetView>
  </sheetViews>
  <sheetFormatPr baseColWidth="10" defaultColWidth="8.7265625" defaultRowHeight="14.5"/>
  <cols>
    <col min="1" max="2" width="11.453125" customWidth="1"/>
    <col min="3" max="3" width="23.453125" customWidth="1"/>
    <col min="4" max="256" width="11.453125" customWidth="1"/>
  </cols>
  <sheetData>
    <row r="1" spans="1:14">
      <c r="A1" t="s">
        <v>183</v>
      </c>
    </row>
    <row r="3" spans="1:14">
      <c r="A3" t="s">
        <v>184</v>
      </c>
      <c r="H3" t="s">
        <v>185</v>
      </c>
      <c r="K3" s="2" t="s">
        <v>186</v>
      </c>
    </row>
    <row r="4" spans="1:14">
      <c r="A4" s="2" t="s">
        <v>187</v>
      </c>
    </row>
    <row r="5" spans="1:14">
      <c r="H5" t="s">
        <v>188</v>
      </c>
      <c r="N5" s="17">
        <v>1</v>
      </c>
    </row>
    <row r="6" spans="1:14">
      <c r="C6" t="s">
        <v>189</v>
      </c>
      <c r="E6" s="17">
        <v>20.100000000000001</v>
      </c>
      <c r="H6" s="3" t="s">
        <v>190</v>
      </c>
    </row>
    <row r="7" spans="1:14">
      <c r="C7" t="s">
        <v>191</v>
      </c>
      <c r="E7" s="17">
        <v>1728</v>
      </c>
      <c r="H7" s="4" t="s">
        <v>192</v>
      </c>
    </row>
    <row r="8" spans="1:14" ht="29">
      <c r="C8" s="37" t="s">
        <v>193</v>
      </c>
      <c r="E8" s="41">
        <v>18</v>
      </c>
      <c r="H8" s="4" t="s">
        <v>194</v>
      </c>
    </row>
    <row r="9" spans="1:14">
      <c r="C9" t="s">
        <v>195</v>
      </c>
      <c r="E9" s="41">
        <f>E6/E8</f>
        <v>1.1166666666666667</v>
      </c>
    </row>
    <row r="10" spans="1:14">
      <c r="H10" s="3" t="s">
        <v>196</v>
      </c>
    </row>
    <row r="11" spans="1:14">
      <c r="H11" s="4" t="s">
        <v>197</v>
      </c>
    </row>
    <row r="12" spans="1:14">
      <c r="H12" s="4" t="s">
        <v>198</v>
      </c>
    </row>
    <row r="14" spans="1:14">
      <c r="H14" s="3" t="s">
        <v>199</v>
      </c>
    </row>
    <row r="15" spans="1:14">
      <c r="H15" s="4" t="s">
        <v>200</v>
      </c>
    </row>
    <row r="17" spans="8:8">
      <c r="H17" s="3" t="s">
        <v>201</v>
      </c>
    </row>
    <row r="18" spans="8:8">
      <c r="H18" s="4" t="s">
        <v>202</v>
      </c>
    </row>
    <row r="19" spans="8:8">
      <c r="H19" s="4" t="s">
        <v>203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&amp;L&amp;G&amp;ROutil calcul VER AMS III F v1.0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31"/>
  <sheetViews>
    <sheetView tabSelected="1" zoomScaleNormal="100" workbookViewId="0">
      <selection activeCell="A2" sqref="A2:XFD31"/>
    </sheetView>
  </sheetViews>
  <sheetFormatPr baseColWidth="10" defaultColWidth="8.7265625" defaultRowHeight="14.5"/>
  <cols>
    <col min="1" max="1" width="27.7265625" customWidth="1"/>
    <col min="2" max="2" width="7.54296875" customWidth="1"/>
    <col min="3" max="5" width="11.453125" customWidth="1"/>
    <col min="6" max="6" width="7" bestFit="1" customWidth="1"/>
    <col min="7" max="7" width="25.1796875" bestFit="1" customWidth="1"/>
    <col min="8" max="8" width="14.453125" customWidth="1"/>
    <col min="9" max="9" width="13.26953125" customWidth="1"/>
    <col min="10" max="256" width="11.453125" customWidth="1"/>
  </cols>
  <sheetData>
    <row r="2" spans="1:15" s="202" customFormat="1">
      <c r="G2" s="369"/>
    </row>
    <row r="3" spans="1:15" s="202" customFormat="1">
      <c r="A3" s="236" t="s">
        <v>7</v>
      </c>
      <c r="G3" s="236"/>
      <c r="M3" s="236"/>
    </row>
    <row r="4" spans="1:15" s="202" customFormat="1" ht="15" thickBot="1">
      <c r="A4" s="236"/>
      <c r="G4" s="236"/>
      <c r="M4" s="236"/>
      <c r="O4" s="236"/>
    </row>
    <row r="5" spans="1:15" s="202" customFormat="1" ht="29.5" thickBot="1">
      <c r="A5" s="89" t="s">
        <v>8</v>
      </c>
      <c r="B5" s="370" t="s">
        <v>9</v>
      </c>
      <c r="G5" s="89" t="s">
        <v>8</v>
      </c>
      <c r="H5" s="371" t="s">
        <v>10</v>
      </c>
      <c r="I5" s="371" t="s">
        <v>11</v>
      </c>
    </row>
    <row r="6" spans="1:15" s="202" customFormat="1">
      <c r="A6" s="96" t="s">
        <v>12</v>
      </c>
      <c r="B6" s="372">
        <v>0.39100000000000001</v>
      </c>
      <c r="G6" s="96" t="s">
        <v>12</v>
      </c>
      <c r="H6" s="74">
        <v>2614.4494500000001</v>
      </c>
      <c r="I6" s="74">
        <v>2940.4400000000005</v>
      </c>
      <c r="J6" s="233"/>
      <c r="M6" s="79"/>
      <c r="O6" s="258"/>
    </row>
    <row r="7" spans="1:15" s="202" customFormat="1">
      <c r="A7" s="104" t="s">
        <v>13</v>
      </c>
      <c r="B7" s="372">
        <v>0.36399999999999999</v>
      </c>
      <c r="G7" s="104" t="s">
        <v>13</v>
      </c>
      <c r="H7" s="74">
        <v>2848.5081913599997</v>
      </c>
      <c r="I7" s="74">
        <v>3174.4582399999995</v>
      </c>
      <c r="J7" s="233"/>
      <c r="M7" s="79"/>
      <c r="O7" s="258"/>
    </row>
    <row r="8" spans="1:15" s="202" customFormat="1">
      <c r="A8" s="104" t="s">
        <v>14</v>
      </c>
      <c r="B8" s="372">
        <v>0.66300000000000003</v>
      </c>
      <c r="G8" s="104" t="s">
        <v>14</v>
      </c>
      <c r="H8" s="74">
        <v>1941.0430100000001</v>
      </c>
      <c r="I8" s="74">
        <v>2175.29</v>
      </c>
      <c r="J8" s="233"/>
      <c r="M8" s="79"/>
      <c r="O8" s="258"/>
    </row>
    <row r="9" spans="1:15" s="202" customFormat="1">
      <c r="A9" s="104" t="s">
        <v>15</v>
      </c>
      <c r="B9" s="373">
        <v>0.82299999999999995</v>
      </c>
      <c r="G9" s="104" t="s">
        <v>15</v>
      </c>
      <c r="H9" s="74">
        <v>2722.3520800000001</v>
      </c>
      <c r="I9" s="74">
        <v>3128.44</v>
      </c>
      <c r="J9" s="233"/>
      <c r="M9" s="79"/>
      <c r="O9" s="258"/>
    </row>
    <row r="10" spans="1:15" s="202" customFormat="1">
      <c r="A10" s="374" t="s">
        <v>16</v>
      </c>
      <c r="B10" s="373">
        <v>0.90900000000000003</v>
      </c>
      <c r="G10" s="374" t="s">
        <v>16</v>
      </c>
      <c r="H10" s="74">
        <v>4643.8119268277369</v>
      </c>
      <c r="I10" s="74">
        <v>4696.5594500000007</v>
      </c>
      <c r="M10" s="79"/>
      <c r="O10" s="258"/>
    </row>
    <row r="11" spans="1:15" s="202" customFormat="1">
      <c r="A11" s="375" t="s">
        <v>17</v>
      </c>
      <c r="B11" s="376">
        <f>Year6.2022!D50/1000</f>
        <v>0.98799999999999999</v>
      </c>
      <c r="G11" s="375" t="s">
        <v>17</v>
      </c>
      <c r="H11" s="75">
        <f>Year6.2022!D9</f>
        <v>3919.928868815075</v>
      </c>
      <c r="I11" s="75">
        <f>Year6.2022!D12</f>
        <v>3956.895</v>
      </c>
      <c r="M11" s="79"/>
      <c r="O11" s="258"/>
    </row>
    <row r="12" spans="1:15" s="202" customFormat="1">
      <c r="A12" s="117" t="s">
        <v>18</v>
      </c>
      <c r="B12" s="377">
        <f>Year7!D29/1000</f>
        <v>0</v>
      </c>
      <c r="G12" s="117" t="s">
        <v>18</v>
      </c>
      <c r="H12" s="76">
        <f>Year7!T36</f>
        <v>0</v>
      </c>
      <c r="I12" s="76">
        <f>Year7!AB36</f>
        <v>0</v>
      </c>
      <c r="M12" s="79"/>
      <c r="O12" s="258"/>
    </row>
    <row r="13" spans="1:15" s="202" customFormat="1">
      <c r="A13" s="117" t="s">
        <v>19</v>
      </c>
      <c r="B13" s="377">
        <f>Year8!D29/1000</f>
        <v>0</v>
      </c>
      <c r="G13" s="117" t="s">
        <v>19</v>
      </c>
      <c r="H13" s="76">
        <f>Year8!T36</f>
        <v>0</v>
      </c>
      <c r="I13" s="76">
        <f>Year8!AB36</f>
        <v>0</v>
      </c>
      <c r="M13" s="79"/>
      <c r="O13" s="258"/>
    </row>
    <row r="14" spans="1:15" s="202" customFormat="1">
      <c r="A14" s="117" t="s">
        <v>20</v>
      </c>
      <c r="B14" s="377">
        <f>Year9!D29/1000</f>
        <v>0</v>
      </c>
      <c r="G14" s="117" t="s">
        <v>20</v>
      </c>
      <c r="H14" s="76">
        <f>Year9!T36</f>
        <v>0</v>
      </c>
      <c r="I14" s="76">
        <f>Year9!AB36</f>
        <v>0</v>
      </c>
      <c r="M14" s="79"/>
      <c r="O14" s="258"/>
    </row>
    <row r="15" spans="1:15" s="202" customFormat="1">
      <c r="A15" s="117" t="s">
        <v>21</v>
      </c>
      <c r="B15" s="377">
        <f>Year10!D29/1000</f>
        <v>0</v>
      </c>
      <c r="G15" s="117" t="s">
        <v>21</v>
      </c>
      <c r="H15" s="76">
        <f>Year10!T36</f>
        <v>0</v>
      </c>
      <c r="I15" s="76">
        <f>Year10!AB36</f>
        <v>0</v>
      </c>
      <c r="M15" s="79"/>
      <c r="O15" s="258"/>
    </row>
    <row r="16" spans="1:15" s="202" customFormat="1" ht="15" thickBot="1">
      <c r="A16" s="124" t="s">
        <v>22</v>
      </c>
      <c r="B16" s="378">
        <f>Year10!D30/1000</f>
        <v>0</v>
      </c>
      <c r="G16" s="124" t="s">
        <v>22</v>
      </c>
      <c r="H16" s="77" t="e">
        <f>Year10!T37</f>
        <v>#DIV/0!</v>
      </c>
      <c r="I16" s="77"/>
    </row>
    <row r="17" spans="1:12" s="202" customFormat="1"/>
    <row r="18" spans="1:12" s="202" customFormat="1"/>
    <row r="19" spans="1:12" s="202" customFormat="1">
      <c r="C19" s="379" t="s">
        <v>23</v>
      </c>
      <c r="D19" s="379" t="s">
        <v>24</v>
      </c>
      <c r="E19" s="379" t="s">
        <v>25</v>
      </c>
      <c r="F19" s="379" t="s">
        <v>26</v>
      </c>
      <c r="G19" s="379" t="s">
        <v>27</v>
      </c>
      <c r="H19" s="379" t="s">
        <v>28</v>
      </c>
      <c r="I19" s="379" t="s">
        <v>29</v>
      </c>
      <c r="J19" s="379" t="s">
        <v>30</v>
      </c>
      <c r="K19" s="379" t="s">
        <v>31</v>
      </c>
      <c r="L19" s="379" t="s">
        <v>32</v>
      </c>
    </row>
    <row r="20" spans="1:12" s="202" customFormat="1">
      <c r="A20" s="202" t="s">
        <v>33</v>
      </c>
      <c r="C20" s="379">
        <v>2017</v>
      </c>
      <c r="D20" s="379">
        <v>2018</v>
      </c>
      <c r="E20" s="379">
        <v>2019</v>
      </c>
      <c r="F20" s="379">
        <v>2020</v>
      </c>
      <c r="G20" s="379">
        <v>2021</v>
      </c>
      <c r="H20" s="379">
        <v>2022</v>
      </c>
      <c r="I20" s="379">
        <v>2023</v>
      </c>
      <c r="J20" s="379">
        <v>2024</v>
      </c>
      <c r="K20" s="379">
        <v>2025</v>
      </c>
      <c r="L20" s="379">
        <v>2026</v>
      </c>
    </row>
    <row r="21" spans="1:12" s="202" customFormat="1">
      <c r="A21" s="294" t="s">
        <v>34</v>
      </c>
      <c r="C21" s="380">
        <v>1.8627432915829602E-2</v>
      </c>
      <c r="D21" s="380">
        <v>2.3133470220291795E-2</v>
      </c>
      <c r="E21" s="380">
        <v>1.6700484574169772E-2</v>
      </c>
      <c r="F21" s="381">
        <v>2.0242863175053506E-2</v>
      </c>
      <c r="G21" s="381">
        <v>2.0886220276636662E-2</v>
      </c>
      <c r="H21" s="382">
        <f>Year6.2022!T40</f>
        <v>1.5563321477915785E-2</v>
      </c>
      <c r="I21" s="383" t="e">
        <f>Year7!T16</f>
        <v>#DIV/0!</v>
      </c>
      <c r="J21" s="383" t="e">
        <f>Year8!T16</f>
        <v>#DIV/0!</v>
      </c>
      <c r="K21" s="383" t="e">
        <f>Year9!T16</f>
        <v>#DIV/0!</v>
      </c>
      <c r="L21" s="383" t="e">
        <f>Year10!T16</f>
        <v>#DIV/0!</v>
      </c>
    </row>
    <row r="22" spans="1:12" s="202" customFormat="1">
      <c r="A22" s="294" t="s">
        <v>35</v>
      </c>
      <c r="C22" s="380">
        <v>6.4474891971885412E-2</v>
      </c>
      <c r="D22" s="380">
        <v>6.3671602843484179E-2</v>
      </c>
      <c r="E22" s="380">
        <v>5.108993555716191E-2</v>
      </c>
      <c r="F22" s="381">
        <v>6.4215928476889214E-2</v>
      </c>
      <c r="G22" s="381">
        <v>5.0587955706311208E-2</v>
      </c>
      <c r="H22" s="382">
        <f>Year6.2022!T41</f>
        <v>5.1494062489701065E-2</v>
      </c>
      <c r="I22" s="383" t="e">
        <f>Year7!T17</f>
        <v>#DIV/0!</v>
      </c>
      <c r="J22" s="383" t="e">
        <f>Year8!T17</f>
        <v>#DIV/0!</v>
      </c>
      <c r="K22" s="383" t="e">
        <f>Year9!T17</f>
        <v>#DIV/0!</v>
      </c>
      <c r="L22" s="383" t="e">
        <f>Year10!T17</f>
        <v>#DIV/0!</v>
      </c>
    </row>
    <row r="23" spans="1:12" s="202" customFormat="1">
      <c r="A23" s="294" t="s">
        <v>36</v>
      </c>
      <c r="C23" s="380">
        <v>6.2037329718737197E-2</v>
      </c>
      <c r="D23" s="380">
        <v>7.6290552099794712E-2</v>
      </c>
      <c r="E23" s="380">
        <v>7.3097908221576829E-2</v>
      </c>
      <c r="F23" s="381">
        <v>5.9710378688412287E-2</v>
      </c>
      <c r="G23" s="381">
        <v>6.7891252628060131E-2</v>
      </c>
      <c r="H23" s="382">
        <f>Year6.2022!T42</f>
        <v>6.6916773662058865E-2</v>
      </c>
      <c r="I23" s="383" t="e">
        <f>Year7!T18</f>
        <v>#DIV/0!</v>
      </c>
      <c r="J23" s="383" t="e">
        <f>Year8!T18</f>
        <v>#DIV/0!</v>
      </c>
      <c r="K23" s="383" t="e">
        <f>Year9!T18</f>
        <v>#DIV/0!</v>
      </c>
      <c r="L23" s="383" t="e">
        <f>Year10!T18</f>
        <v>#DIV/0!</v>
      </c>
    </row>
    <row r="24" spans="1:12" s="202" customFormat="1" ht="29">
      <c r="A24" s="294" t="s">
        <v>37</v>
      </c>
      <c r="C24" s="380">
        <v>0.47463833582476861</v>
      </c>
      <c r="D24" s="380">
        <v>0.55697007479451299</v>
      </c>
      <c r="E24" s="380">
        <v>0.60152418746676406</v>
      </c>
      <c r="F24" s="381">
        <v>0.55137718757460619</v>
      </c>
      <c r="G24" s="381">
        <v>0.71648991021662956</v>
      </c>
      <c r="H24" s="382">
        <f>Year6.2022!T43</f>
        <v>0.74579102379602635</v>
      </c>
      <c r="I24" s="383" t="e">
        <f>Year7!T19</f>
        <v>#DIV/0!</v>
      </c>
      <c r="J24" s="383" t="e">
        <f>Year8!T19</f>
        <v>#DIV/0!</v>
      </c>
      <c r="K24" s="383" t="e">
        <f>Year9!T19</f>
        <v>#DIV/0!</v>
      </c>
      <c r="L24" s="383" t="e">
        <f>Year10!T19</f>
        <v>#DIV/0!</v>
      </c>
    </row>
    <row r="25" spans="1:12" s="202" customFormat="1">
      <c r="A25" s="294" t="s">
        <v>38</v>
      </c>
      <c r="C25" s="380">
        <v>0.26935722153795805</v>
      </c>
      <c r="D25" s="380">
        <v>0.17726777509707581</v>
      </c>
      <c r="E25" s="380">
        <v>0.14988681744371379</v>
      </c>
      <c r="F25" s="381">
        <v>0.1746458907181401</v>
      </c>
      <c r="G25" s="381">
        <v>0.13291356237891175</v>
      </c>
      <c r="H25" s="382">
        <f>Year6.2022!T44</f>
        <v>0.11089261182255832</v>
      </c>
      <c r="I25" s="383" t="e">
        <f>Year7!T20</f>
        <v>#DIV/0!</v>
      </c>
      <c r="J25" s="383" t="e">
        <f>Year8!T20</f>
        <v>#DIV/0!</v>
      </c>
      <c r="K25" s="383" t="e">
        <f>Year9!T20</f>
        <v>#DIV/0!</v>
      </c>
      <c r="L25" s="383" t="e">
        <f>Year10!T20</f>
        <v>#DIV/0!</v>
      </c>
    </row>
    <row r="26" spans="1:12" s="202" customFormat="1" ht="29">
      <c r="A26" s="294" t="s">
        <v>39</v>
      </c>
      <c r="C26" s="380">
        <v>0.1108647880308211</v>
      </c>
      <c r="D26" s="380">
        <v>0.10266652494484033</v>
      </c>
      <c r="E26" s="380">
        <v>0.1077006667366136</v>
      </c>
      <c r="F26" s="381">
        <v>0.12980775136689854</v>
      </c>
      <c r="G26" s="381">
        <v>1.1231098793450646E-2</v>
      </c>
      <c r="H26" s="382">
        <f>Year6.2022!T45</f>
        <v>9.3422067517396935E-3</v>
      </c>
      <c r="I26" s="383">
        <f>Year7!T21</f>
        <v>0</v>
      </c>
      <c r="J26" s="383">
        <f>Year8!T21</f>
        <v>0</v>
      </c>
      <c r="K26" s="383">
        <f>Year9!T21</f>
        <v>0</v>
      </c>
      <c r="L26" s="383">
        <f>Year10!T21</f>
        <v>0</v>
      </c>
    </row>
    <row r="27" spans="1:12" s="202" customFormat="1">
      <c r="C27" s="384"/>
    </row>
    <row r="28" spans="1:12" s="202" customFormat="1">
      <c r="A28" s="202" t="s">
        <v>40</v>
      </c>
      <c r="C28" s="385">
        <f>SUM(C21:C26)</f>
        <v>1</v>
      </c>
      <c r="D28" s="385">
        <f t="shared" ref="D28:K28" si="0">SUM(D21:D26)</f>
        <v>0.99999999999999978</v>
      </c>
      <c r="E28" s="385">
        <f t="shared" si="0"/>
        <v>1</v>
      </c>
      <c r="F28" s="385">
        <f t="shared" si="0"/>
        <v>0.99999999999999978</v>
      </c>
      <c r="G28" s="385">
        <f t="shared" si="0"/>
        <v>0.99999999999999989</v>
      </c>
      <c r="H28" s="385">
        <f t="shared" si="0"/>
        <v>1</v>
      </c>
      <c r="I28" s="385" t="e">
        <f t="shared" si="0"/>
        <v>#DIV/0!</v>
      </c>
      <c r="J28" s="385" t="e">
        <f t="shared" si="0"/>
        <v>#DIV/0!</v>
      </c>
      <c r="K28" s="385" t="e">
        <f t="shared" si="0"/>
        <v>#DIV/0!</v>
      </c>
      <c r="L28" s="385" t="e">
        <f>SUM(L21:L26)</f>
        <v>#DIV/0!</v>
      </c>
    </row>
    <row r="29" spans="1:12" s="202" customFormat="1"/>
    <row r="30" spans="1:12" s="202" customFormat="1"/>
    <row r="31" spans="1:12" s="202" customFormat="1"/>
  </sheetData>
  <sheetProtection algorithmName="SHA-512" hashValue="GWPMZikOfx8q9UVuNjzLAwyMm3xlPcxGK5wZP+giCSVGaR5WuoSEpDDgYR5Qjg3UoGNNNuvWQsthJ5oI1hOORQ==" saltValue="to3QDf/ej2nImbAI4J/51g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04"/>
  <sheetViews>
    <sheetView topLeftCell="D21" zoomScale="80" zoomScaleNormal="80" workbookViewId="0">
      <selection activeCell="I37" sqref="I37"/>
    </sheetView>
  </sheetViews>
  <sheetFormatPr baseColWidth="10" defaultColWidth="11.453125" defaultRowHeight="14.5"/>
  <cols>
    <col min="1" max="1" width="9.1796875" style="5" customWidth="1"/>
    <col min="2" max="2" width="48" style="5" bestFit="1" customWidth="1"/>
    <col min="3" max="3" width="25.81640625" style="5" bestFit="1" customWidth="1"/>
    <col min="4" max="4" width="42.7265625" style="5" bestFit="1" customWidth="1"/>
    <col min="5" max="5" width="27.7265625" style="5" bestFit="1" customWidth="1"/>
    <col min="6" max="6" width="29" style="5" bestFit="1" customWidth="1"/>
    <col min="7" max="7" width="25.453125" style="5" bestFit="1" customWidth="1"/>
    <col min="8" max="10" width="26.453125" style="5" bestFit="1" customWidth="1"/>
    <col min="11" max="11" width="26.453125" style="5" customWidth="1"/>
    <col min="12" max="12" width="26.453125" style="5" bestFit="1" customWidth="1"/>
    <col min="13" max="13" width="25.81640625" style="5" bestFit="1" customWidth="1"/>
    <col min="14" max="14" width="28.81640625" style="5" customWidth="1"/>
    <col min="15" max="15" width="34.1796875" style="5" bestFit="1" customWidth="1"/>
    <col min="16" max="16384" width="11.453125" style="5"/>
  </cols>
  <sheetData>
    <row r="1" spans="1:16" s="71" customFormat="1" ht="75.75" customHeight="1">
      <c r="D1" s="72"/>
    </row>
    <row r="2" spans="1:16" ht="31">
      <c r="A2" s="73" t="s">
        <v>57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6" s="79" customFormat="1" ht="19" thickBot="1">
      <c r="A3" s="78"/>
    </row>
    <row r="4" spans="1:16" s="79" customFormat="1" ht="15" thickBot="1">
      <c r="F4" s="80" t="s">
        <v>58</v>
      </c>
      <c r="G4" s="81"/>
      <c r="H4" s="81"/>
      <c r="I4" s="82"/>
      <c r="K4" s="83" t="s">
        <v>8</v>
      </c>
      <c r="L4" s="84" t="s">
        <v>43</v>
      </c>
      <c r="N4" s="85"/>
    </row>
    <row r="5" spans="1:16" s="79" customFormat="1" ht="15" thickBot="1">
      <c r="A5" s="86"/>
      <c r="C5" s="87" t="s">
        <v>59</v>
      </c>
      <c r="D5" s="88"/>
      <c r="F5" s="89" t="s">
        <v>8</v>
      </c>
      <c r="G5" s="90" t="s">
        <v>60</v>
      </c>
      <c r="H5" s="90" t="s">
        <v>61</v>
      </c>
      <c r="I5" s="91" t="s">
        <v>62</v>
      </c>
      <c r="K5" s="92" t="s">
        <v>12</v>
      </c>
      <c r="L5" s="93">
        <f t="shared" ref="L5:L15" si="0">N32*I6</f>
        <v>2563.7114990839427</v>
      </c>
    </row>
    <row r="6" spans="1:16" s="79" customFormat="1">
      <c r="C6" s="94" t="s">
        <v>63</v>
      </c>
      <c r="D6" s="95" t="str">
        <f>IF('fixé en amont'!E7&lt;1000,"0,8","0,85")</f>
        <v>0,85</v>
      </c>
      <c r="F6" s="96" t="s">
        <v>12</v>
      </c>
      <c r="G6" s="97">
        <f>PEy!I6</f>
        <v>25</v>
      </c>
      <c r="H6" s="98">
        <v>0</v>
      </c>
      <c r="I6" s="99">
        <f>$D$6*(1-H6)*PEy!I6*(1-$D$7)*$D$8/$D$9*$D$10*$D$11*$D$12</f>
        <v>6.375</v>
      </c>
      <c r="K6" s="100" t="s">
        <v>13</v>
      </c>
      <c r="L6" s="101">
        <f t="shared" si="0"/>
        <v>2675.143566618101</v>
      </c>
    </row>
    <row r="7" spans="1:16" s="79" customFormat="1">
      <c r="C7" s="102" t="s">
        <v>64</v>
      </c>
      <c r="D7" s="103">
        <v>0.1</v>
      </c>
      <c r="F7" s="104" t="s">
        <v>13</v>
      </c>
      <c r="G7" s="97">
        <f>PEy!I7</f>
        <v>25</v>
      </c>
      <c r="H7" s="98">
        <v>0</v>
      </c>
      <c r="I7" s="99">
        <f>$D$6*(1-H7)*PEy!I7*(1-$D$7)*$D$8/$D$9*$D$10*$D$11*$D$12</f>
        <v>6.375</v>
      </c>
      <c r="K7" s="100" t="s">
        <v>14</v>
      </c>
      <c r="L7" s="101">
        <f t="shared" si="0"/>
        <v>1759.4091305730576</v>
      </c>
    </row>
    <row r="8" spans="1:16" s="79" customFormat="1">
      <c r="C8" s="102" t="s">
        <v>65</v>
      </c>
      <c r="D8" s="103">
        <v>16</v>
      </c>
      <c r="F8" s="104" t="s">
        <v>14</v>
      </c>
      <c r="G8" s="97">
        <f>PEy!I8</f>
        <v>25</v>
      </c>
      <c r="H8" s="98">
        <v>0</v>
      </c>
      <c r="I8" s="99">
        <f>$D$6*(1-H8)*PEy!I8*(1-$D$7)*$D$8/$D$9*$D$10*$D$11*$D$12</f>
        <v>6.375</v>
      </c>
      <c r="K8" s="100" t="s">
        <v>15</v>
      </c>
      <c r="L8" s="101">
        <f>N35*I9</f>
        <v>2380.753329628441</v>
      </c>
      <c r="P8" s="105"/>
    </row>
    <row r="9" spans="1:16" s="79" customFormat="1">
      <c r="C9" s="102" t="s">
        <v>65</v>
      </c>
      <c r="D9" s="103">
        <v>12</v>
      </c>
      <c r="F9" s="104" t="s">
        <v>15</v>
      </c>
      <c r="G9" s="97">
        <f>PEy!I9</f>
        <v>25</v>
      </c>
      <c r="H9" s="98">
        <v>0</v>
      </c>
      <c r="I9" s="99">
        <f>$D$6*(1-H9)*PEy!I9*(1-$D$7)*$D$8/$D$9*$D$10*$D$11*$D$12</f>
        <v>6.375</v>
      </c>
      <c r="K9" s="100" t="s">
        <v>16</v>
      </c>
      <c r="L9" s="101">
        <f>N36*I10</f>
        <v>4324.1281547918379</v>
      </c>
    </row>
    <row r="10" spans="1:16" s="79" customFormat="1">
      <c r="C10" s="102" t="s">
        <v>66</v>
      </c>
      <c r="D10" s="103">
        <v>0.5</v>
      </c>
      <c r="F10" s="104" t="s">
        <v>16</v>
      </c>
      <c r="G10" s="97">
        <f>PEy!I10</f>
        <v>28</v>
      </c>
      <c r="H10" s="98">
        <v>0</v>
      </c>
      <c r="I10" s="99">
        <f>$D$6*(1-H10)*PEy!I10*(1-$D$7)*$D$8/$D$9*$D$10*$D$11*$D$12</f>
        <v>7.1400000000000006</v>
      </c>
      <c r="K10" s="106" t="s">
        <v>17</v>
      </c>
      <c r="L10" s="107">
        <f>N37*I11</f>
        <v>3427.7809331662888</v>
      </c>
      <c r="P10" s="108"/>
    </row>
    <row r="11" spans="1:16" s="79" customFormat="1">
      <c r="C11" s="102" t="s">
        <v>67</v>
      </c>
      <c r="D11" s="103">
        <v>0.5</v>
      </c>
      <c r="F11" s="109" t="s">
        <v>17</v>
      </c>
      <c r="G11" s="110">
        <f>PEy!I11</f>
        <v>28</v>
      </c>
      <c r="H11" s="111">
        <v>0</v>
      </c>
      <c r="I11" s="112">
        <f>$D$6*(1-H11)*PEy!I11*(1-$D$7)*$D$8/$D$9*$D$10*$D$11*$D$12</f>
        <v>7.1400000000000006</v>
      </c>
      <c r="K11" s="113" t="s">
        <v>18</v>
      </c>
      <c r="L11" s="114" t="e">
        <f t="shared" si="0"/>
        <v>#DIV/0!</v>
      </c>
      <c r="P11" s="108"/>
    </row>
    <row r="12" spans="1:16" s="79" customFormat="1">
      <c r="C12" s="115" t="s">
        <v>68</v>
      </c>
      <c r="D12" s="116" t="str">
        <f>IF('fixé en amont'!N5=1,"1",IF('fixé en amont'!N5=2,"0,5",IF('fixé en amont'!N5=3,"0,8",IF('fixé en amont'!N5=4,"0,4"))))</f>
        <v>1</v>
      </c>
      <c r="F12" s="117" t="s">
        <v>18</v>
      </c>
      <c r="G12" s="118">
        <f>PEy!I12</f>
        <v>28</v>
      </c>
      <c r="H12" s="119">
        <v>0</v>
      </c>
      <c r="I12" s="120">
        <f>$D$6*(1-H12)*PEy!I12*(1-$D$7)*$D$8/$D$9*$D$10*$D$11*$D$12</f>
        <v>7.1400000000000006</v>
      </c>
      <c r="K12" s="113" t="s">
        <v>19</v>
      </c>
      <c r="L12" s="114" t="e">
        <f t="shared" si="0"/>
        <v>#DIV/0!</v>
      </c>
      <c r="P12" s="108"/>
    </row>
    <row r="13" spans="1:16" s="79" customFormat="1" ht="15" thickBot="1">
      <c r="C13" s="121" t="s">
        <v>69</v>
      </c>
      <c r="D13" s="122" t="s">
        <v>70</v>
      </c>
      <c r="F13" s="117" t="s">
        <v>19</v>
      </c>
      <c r="G13" s="118">
        <f>PEy!I13</f>
        <v>28</v>
      </c>
      <c r="H13" s="119">
        <v>0</v>
      </c>
      <c r="I13" s="120">
        <f>$D$6*(1-H13)*PEy!I13*(1-$D$7)*$D$8/$D$9*$D$10*$D$11*$D$12</f>
        <v>7.1400000000000006</v>
      </c>
      <c r="K13" s="113" t="s">
        <v>20</v>
      </c>
      <c r="L13" s="114" t="e">
        <f t="shared" si="0"/>
        <v>#DIV/0!</v>
      </c>
      <c r="P13" s="108"/>
    </row>
    <row r="14" spans="1:16" s="79" customFormat="1">
      <c r="F14" s="117" t="s">
        <v>20</v>
      </c>
      <c r="G14" s="118">
        <f>PEy!I14</f>
        <v>28</v>
      </c>
      <c r="H14" s="119">
        <v>0</v>
      </c>
      <c r="I14" s="120">
        <f>$D$6*(1-H14)*PEy!I14*(1-$D$7)*$D$8/$D$9*$D$10*$D$11*$D$12</f>
        <v>7.1400000000000006</v>
      </c>
      <c r="K14" s="113" t="s">
        <v>21</v>
      </c>
      <c r="L14" s="114" t="e">
        <f t="shared" si="0"/>
        <v>#DIV/0!</v>
      </c>
      <c r="P14" s="108"/>
    </row>
    <row r="15" spans="1:16" s="79" customFormat="1" ht="15" thickBot="1">
      <c r="F15" s="117" t="s">
        <v>21</v>
      </c>
      <c r="G15" s="118">
        <f>PEy!I15</f>
        <v>28</v>
      </c>
      <c r="H15" s="119">
        <v>0</v>
      </c>
      <c r="I15" s="120">
        <f>$D$6*(1-H15)*PEy!I15*(1-$D$7)*$D$8/$D$9*$D$10*$D$11*$D$12</f>
        <v>7.1400000000000006</v>
      </c>
      <c r="K15" s="123" t="s">
        <v>22</v>
      </c>
      <c r="L15" s="114" t="e">
        <f t="shared" si="0"/>
        <v>#DIV/0!</v>
      </c>
      <c r="P15" s="108"/>
    </row>
    <row r="16" spans="1:16" s="79" customFormat="1" ht="15" thickBot="1">
      <c r="F16" s="124" t="s">
        <v>22</v>
      </c>
      <c r="G16" s="125">
        <f>'Monitored Datas'!K16</f>
        <v>0</v>
      </c>
      <c r="H16" s="126">
        <v>0</v>
      </c>
      <c r="I16" s="127">
        <f>$D$6*(1-H16)*'Monitored Datas'!K16*(1-$D$7)*$D$8/$D$9*$D$10*$D$11*$D$12</f>
        <v>0</v>
      </c>
      <c r="K16" s="128" t="s">
        <v>71</v>
      </c>
      <c r="L16" s="129" t="e">
        <f>SUM(L5:L14)</f>
        <v>#DIV/0!</v>
      </c>
      <c r="P16" s="108"/>
    </row>
    <row r="17" spans="1:33" s="79" customFormat="1">
      <c r="A17" s="130"/>
      <c r="P17" s="108"/>
    </row>
    <row r="18" spans="1:33" s="79" customFormat="1">
      <c r="K18" s="105"/>
      <c r="L18" s="105"/>
      <c r="M18" s="108"/>
    </row>
    <row r="19" spans="1:33" s="79" customFormat="1" ht="15" thickBot="1">
      <c r="H19" s="85"/>
      <c r="K19" s="108"/>
      <c r="L19" s="108"/>
      <c r="M19" s="131"/>
    </row>
    <row r="20" spans="1:33" s="79" customFormat="1" ht="15.5" thickBot="1">
      <c r="B20" s="132"/>
      <c r="C20" s="133" t="s">
        <v>72</v>
      </c>
      <c r="D20" s="133"/>
      <c r="E20" s="133"/>
      <c r="F20" s="133"/>
      <c r="G20" s="133"/>
      <c r="H20" s="133"/>
      <c r="I20" s="133"/>
      <c r="J20" s="133"/>
      <c r="K20" s="133"/>
      <c r="L20" s="133"/>
      <c r="M20" s="134"/>
      <c r="N20" s="135" t="s">
        <v>73</v>
      </c>
      <c r="O20" s="136" t="s">
        <v>74</v>
      </c>
    </row>
    <row r="21" spans="1:33" s="79" customFormat="1" ht="15" thickBot="1">
      <c r="B21" s="137"/>
      <c r="C21" s="138" t="s">
        <v>12</v>
      </c>
      <c r="D21" s="138" t="s">
        <v>13</v>
      </c>
      <c r="E21" s="138" t="s">
        <v>14</v>
      </c>
      <c r="F21" s="138" t="s">
        <v>15</v>
      </c>
      <c r="G21" s="139" t="s">
        <v>16</v>
      </c>
      <c r="H21" s="140" t="s">
        <v>17</v>
      </c>
      <c r="I21" s="141" t="s">
        <v>18</v>
      </c>
      <c r="J21" s="141" t="s">
        <v>19</v>
      </c>
      <c r="K21" s="141" t="s">
        <v>20</v>
      </c>
      <c r="L21" s="141" t="s">
        <v>21</v>
      </c>
      <c r="M21" s="123" t="s">
        <v>22</v>
      </c>
      <c r="N21" s="142"/>
      <c r="O21" s="143"/>
    </row>
    <row r="22" spans="1:33" s="79" customFormat="1">
      <c r="B22" s="144" t="s">
        <v>34</v>
      </c>
      <c r="C22" s="145">
        <f>'Monitored Datas'!C21</f>
        <v>1.8627432915829602E-2</v>
      </c>
      <c r="D22" s="146">
        <f>'Monitored Datas'!D21</f>
        <v>2.3133470220291795E-2</v>
      </c>
      <c r="E22" s="146">
        <f>'Monitored Datas'!E21</f>
        <v>1.6700484574169772E-2</v>
      </c>
      <c r="F22" s="146">
        <f>'Monitored Datas'!F21</f>
        <v>2.0242863175053506E-2</v>
      </c>
      <c r="G22" s="147">
        <f>'Monitored Datas'!G21</f>
        <v>2.0886220276636662E-2</v>
      </c>
      <c r="H22" s="148">
        <f>'Monitored Datas'!H21</f>
        <v>1.5563321477915785E-2</v>
      </c>
      <c r="I22" s="149" t="e">
        <f>'Monitored Datas'!I21</f>
        <v>#DIV/0!</v>
      </c>
      <c r="J22" s="149" t="e">
        <f>'Monitored Datas'!J21</f>
        <v>#DIV/0!</v>
      </c>
      <c r="K22" s="149" t="e">
        <f>'Monitored Datas'!K21</f>
        <v>#DIV/0!</v>
      </c>
      <c r="L22" s="149" t="e">
        <f>'Monitored Datas'!L21</f>
        <v>#DIV/0!</v>
      </c>
      <c r="M22" s="150">
        <f>'Monitored Datas'!M21</f>
        <v>0</v>
      </c>
      <c r="N22" s="151">
        <v>0.43</v>
      </c>
      <c r="O22" s="120" t="str">
        <f>IF(AND('fixé en amont'!E6&gt;20,'fixé en amont'!E7&lt;1000),"0,025",IF(AND('fixé en amont'!E6&gt;20,'fixé en amont'!E7&gt;1000),"0,035",IF(AND('fixé en amont'!E6&lt;20,'fixé en amont'!E9&lt;1),"0,02","0,03")))</f>
        <v>0,035</v>
      </c>
      <c r="U22" s="152"/>
      <c r="V22" s="153"/>
      <c r="W22" s="153"/>
      <c r="X22" s="154"/>
      <c r="Y22" s="154"/>
      <c r="Z22" s="154"/>
      <c r="AA22" s="154"/>
      <c r="AB22" s="154"/>
      <c r="AC22" s="154"/>
      <c r="AD22" s="154"/>
      <c r="AE22" s="154"/>
      <c r="AF22" s="155"/>
      <c r="AG22" s="156"/>
    </row>
    <row r="23" spans="1:33" s="79" customFormat="1">
      <c r="B23" s="157" t="s">
        <v>75</v>
      </c>
      <c r="C23" s="145">
        <f>'Monitored Datas'!C22</f>
        <v>6.4474891971885412E-2</v>
      </c>
      <c r="D23" s="146">
        <f>'Monitored Datas'!D22</f>
        <v>6.3671602843484179E-2</v>
      </c>
      <c r="E23" s="146">
        <f>'Monitored Datas'!E22</f>
        <v>5.108993555716191E-2</v>
      </c>
      <c r="F23" s="146">
        <f>'Monitored Datas'!F22</f>
        <v>6.4215928476889214E-2</v>
      </c>
      <c r="G23" s="147">
        <f>'Monitored Datas'!G22</f>
        <v>5.0587955706311208E-2</v>
      </c>
      <c r="H23" s="148">
        <f>'Monitored Datas'!H22</f>
        <v>5.1494062489701065E-2</v>
      </c>
      <c r="I23" s="149" t="e">
        <f>'Monitored Datas'!I22</f>
        <v>#DIV/0!</v>
      </c>
      <c r="J23" s="149" t="e">
        <f>'Monitored Datas'!J22</f>
        <v>#DIV/0!</v>
      </c>
      <c r="K23" s="149" t="e">
        <f>'Monitored Datas'!K22</f>
        <v>#DIV/0!</v>
      </c>
      <c r="L23" s="149" t="e">
        <f>'Monitored Datas'!L22</f>
        <v>#DIV/0!</v>
      </c>
      <c r="M23" s="150">
        <f>'Monitored Datas'!M22</f>
        <v>0</v>
      </c>
      <c r="N23" s="158">
        <v>0.4</v>
      </c>
      <c r="O23" s="120" t="str">
        <f>IF(AND('fixé en amont'!E6&gt;20,'fixé en amont'!E7&lt;1000),"0,045",IF(AND('fixé en amont'!E6&gt;20,'fixé en amont'!E7&gt;1000),"0,07",IF(AND('fixé en amont'!E6&lt;20,'fixé en amont'!E9&lt;1),"0,04","0,06")))</f>
        <v>0,07</v>
      </c>
      <c r="U23" s="152"/>
      <c r="V23" s="153"/>
      <c r="W23" s="153"/>
      <c r="X23" s="154"/>
      <c r="Y23" s="154"/>
      <c r="Z23" s="154"/>
      <c r="AA23" s="154"/>
      <c r="AB23" s="154"/>
      <c r="AC23" s="154"/>
      <c r="AD23" s="154"/>
      <c r="AE23" s="154"/>
      <c r="AF23" s="159"/>
      <c r="AG23" s="156"/>
    </row>
    <row r="24" spans="1:33" s="79" customFormat="1">
      <c r="B24" s="157" t="s">
        <v>36</v>
      </c>
      <c r="C24" s="145">
        <f>'Monitored Datas'!C23</f>
        <v>6.2037329718737197E-2</v>
      </c>
      <c r="D24" s="146">
        <f>'Monitored Datas'!D23</f>
        <v>7.6290552099794712E-2</v>
      </c>
      <c r="E24" s="146">
        <f>'Monitored Datas'!E23</f>
        <v>7.3097908221576829E-2</v>
      </c>
      <c r="F24" s="146">
        <f>'Monitored Datas'!F23</f>
        <v>5.9710378688412287E-2</v>
      </c>
      <c r="G24" s="147">
        <f>'Monitored Datas'!G23</f>
        <v>6.7891252628060131E-2</v>
      </c>
      <c r="H24" s="148">
        <f>'Monitored Datas'!H23</f>
        <v>6.6916773662058865E-2</v>
      </c>
      <c r="I24" s="149" t="e">
        <f>'Monitored Datas'!I23</f>
        <v>#DIV/0!</v>
      </c>
      <c r="J24" s="149" t="e">
        <f>'Monitored Datas'!J23</f>
        <v>#DIV/0!</v>
      </c>
      <c r="K24" s="149" t="e">
        <f>'Monitored Datas'!K23</f>
        <v>#DIV/0!</v>
      </c>
      <c r="L24" s="149" t="e">
        <f>'Monitored Datas'!L23</f>
        <v>#DIV/0!</v>
      </c>
      <c r="M24" s="150">
        <f>'Monitored Datas'!M23</f>
        <v>0</v>
      </c>
      <c r="N24" s="151">
        <v>0.24</v>
      </c>
      <c r="O24" s="120" t="str">
        <f>IF(AND('fixé en amont'!E6&gt;20,'fixé en amont'!E7&lt;1000),"0,045",IF(AND('fixé en amont'!E6&gt;20,'fixé en amont'!E7&gt;1000),"0,07",IF(AND('fixé en amont'!E6&lt;20,'fixé en amont'!E9&lt;1),"0,04","0,06")))</f>
        <v>0,07</v>
      </c>
      <c r="U24" s="152"/>
      <c r="V24" s="153"/>
      <c r="W24" s="153"/>
      <c r="X24" s="154"/>
      <c r="Y24" s="154"/>
      <c r="Z24" s="154"/>
      <c r="AA24" s="154"/>
      <c r="AB24" s="154"/>
      <c r="AC24" s="154"/>
      <c r="AD24" s="154"/>
      <c r="AE24" s="154"/>
      <c r="AF24" s="155"/>
      <c r="AG24" s="156"/>
    </row>
    <row r="25" spans="1:33" s="79" customFormat="1">
      <c r="B25" s="157" t="s">
        <v>76</v>
      </c>
      <c r="C25" s="145">
        <f>'Monitored Datas'!C24</f>
        <v>0.47463833582476861</v>
      </c>
      <c r="D25" s="146">
        <f>'Monitored Datas'!D24</f>
        <v>0.55697007479451299</v>
      </c>
      <c r="E25" s="146">
        <f>'Monitored Datas'!E24</f>
        <v>0.60152418746676406</v>
      </c>
      <c r="F25" s="146">
        <f>'Monitored Datas'!F24</f>
        <v>0.55137718757460619</v>
      </c>
      <c r="G25" s="147">
        <f>'Monitored Datas'!G24</f>
        <v>0.71648991021662956</v>
      </c>
      <c r="H25" s="148">
        <f>'Monitored Datas'!H24</f>
        <v>0.74579102379602635</v>
      </c>
      <c r="I25" s="149" t="e">
        <f>'Monitored Datas'!I24</f>
        <v>#DIV/0!</v>
      </c>
      <c r="J25" s="149" t="e">
        <f>'Monitored Datas'!J24</f>
        <v>#DIV/0!</v>
      </c>
      <c r="K25" s="149" t="e">
        <f>'Monitored Datas'!K24</f>
        <v>#DIV/0!</v>
      </c>
      <c r="L25" s="149" t="e">
        <f>'Monitored Datas'!L24</f>
        <v>#DIV/0!</v>
      </c>
      <c r="M25" s="150">
        <f>'Monitored Datas'!M24</f>
        <v>0</v>
      </c>
      <c r="N25" s="151">
        <v>0.15</v>
      </c>
      <c r="O25" s="120" t="str">
        <f>IF(AND('fixé en amont'!E6&gt;20,'fixé en amont'!E7&lt;1000),"0,085",IF(AND('fixé en amont'!E6&gt;20,'fixé en amont'!E7&gt;1000),"0,4",IF(AND('fixé en amont'!E6&lt;20,'fixé en amont'!E9&lt;1),"0,06","0,185")))</f>
        <v>0,4</v>
      </c>
      <c r="U25" s="152"/>
      <c r="V25" s="153"/>
      <c r="W25" s="153"/>
      <c r="X25" s="154"/>
      <c r="Y25" s="154"/>
      <c r="Z25" s="154"/>
      <c r="AA25" s="154"/>
      <c r="AB25" s="154"/>
      <c r="AC25" s="154"/>
      <c r="AD25" s="154"/>
      <c r="AE25" s="154"/>
      <c r="AF25" s="155"/>
      <c r="AG25" s="156"/>
    </row>
    <row r="26" spans="1:33" s="79" customFormat="1">
      <c r="B26" s="157" t="s">
        <v>77</v>
      </c>
      <c r="C26" s="145">
        <f>'Monitored Datas'!C25</f>
        <v>0.26935722153795805</v>
      </c>
      <c r="D26" s="146">
        <f>'Monitored Datas'!D25</f>
        <v>0.17726777509707581</v>
      </c>
      <c r="E26" s="146">
        <f>'Monitored Datas'!E25</f>
        <v>0.14988681744371379</v>
      </c>
      <c r="F26" s="146">
        <f>'Monitored Datas'!F25</f>
        <v>0.1746458907181401</v>
      </c>
      <c r="G26" s="147">
        <f>'Monitored Datas'!G25</f>
        <v>0.13291356237891175</v>
      </c>
      <c r="H26" s="148">
        <f>'Monitored Datas'!H25</f>
        <v>0.11089261182255832</v>
      </c>
      <c r="I26" s="149" t="e">
        <f>'Monitored Datas'!I25</f>
        <v>#DIV/0!</v>
      </c>
      <c r="J26" s="149" t="e">
        <f>'Monitored Datas'!J25</f>
        <v>#DIV/0!</v>
      </c>
      <c r="K26" s="149" t="e">
        <f>'Monitored Datas'!K25</f>
        <v>#DIV/0!</v>
      </c>
      <c r="L26" s="149" t="e">
        <f>'Monitored Datas'!L25</f>
        <v>#DIV/0!</v>
      </c>
      <c r="M26" s="150">
        <f>'Monitored Datas'!M25</f>
        <v>0</v>
      </c>
      <c r="N26" s="158">
        <v>0.2</v>
      </c>
      <c r="O26" s="120" t="str">
        <f>IF(AND('fixé en amont'!E6&gt;20,'fixé en amont'!E7&lt;1000),"0,065",IF(AND('fixé en amont'!E6&gt;20,'fixé en amont'!E7&gt;1000),"0,17",IF(AND('fixé en amont'!E6&lt;20,'fixé en amont'!E9&lt;1),"0,05","0,1")))</f>
        <v>0,17</v>
      </c>
      <c r="U26" s="152"/>
      <c r="V26" s="153"/>
      <c r="W26" s="153"/>
      <c r="X26" s="154"/>
      <c r="Y26" s="154"/>
      <c r="Z26" s="154"/>
      <c r="AA26" s="154"/>
      <c r="AB26" s="154"/>
      <c r="AC26" s="154"/>
      <c r="AD26" s="154"/>
      <c r="AE26" s="154"/>
      <c r="AF26" s="159"/>
      <c r="AG26" s="156"/>
    </row>
    <row r="27" spans="1:33" s="79" customFormat="1" ht="15" thickBot="1">
      <c r="B27" s="160" t="s">
        <v>78</v>
      </c>
      <c r="C27" s="161">
        <f t="shared" ref="C27:H27" si="1">SUM(C26,C25,C24,C23,C22)</f>
        <v>0.88913521196917877</v>
      </c>
      <c r="D27" s="162">
        <f t="shared" si="1"/>
        <v>0.89733347505515948</v>
      </c>
      <c r="E27" s="162">
        <f t="shared" si="1"/>
        <v>0.89229933326338629</v>
      </c>
      <c r="F27" s="162">
        <f t="shared" si="1"/>
        <v>0.8701922486331013</v>
      </c>
      <c r="G27" s="147">
        <f t="shared" si="1"/>
        <v>0.98876890120654937</v>
      </c>
      <c r="H27" s="163">
        <f t="shared" si="1"/>
        <v>0.99065779324826031</v>
      </c>
      <c r="I27" s="164"/>
      <c r="J27" s="164"/>
      <c r="K27" s="164"/>
      <c r="L27" s="164"/>
      <c r="M27" s="165"/>
      <c r="N27" s="166"/>
      <c r="O27" s="167"/>
    </row>
    <row r="28" spans="1:33" s="79" customFormat="1">
      <c r="F28" s="153"/>
    </row>
    <row r="29" spans="1:33" s="79" customFormat="1" ht="15" thickBot="1"/>
    <row r="30" spans="1:33" s="79" customFormat="1" ht="15" thickBot="1">
      <c r="B30" s="168" t="s">
        <v>8</v>
      </c>
      <c r="C30" s="169" t="s">
        <v>10</v>
      </c>
      <c r="D30" s="169" t="s">
        <v>79</v>
      </c>
      <c r="F30" s="168" t="s">
        <v>8</v>
      </c>
      <c r="G30" s="170" t="s">
        <v>80</v>
      </c>
      <c r="H30" s="170" t="s">
        <v>81</v>
      </c>
      <c r="I30" s="171" t="s">
        <v>82</v>
      </c>
      <c r="J30" s="171" t="s">
        <v>82</v>
      </c>
      <c r="K30" s="171" t="s">
        <v>82</v>
      </c>
      <c r="L30" s="171" t="s">
        <v>82</v>
      </c>
      <c r="M30" s="171" t="s">
        <v>82</v>
      </c>
      <c r="N30" s="172"/>
    </row>
    <row r="31" spans="1:33" s="79" customFormat="1">
      <c r="B31" s="92" t="s">
        <v>12</v>
      </c>
      <c r="C31" s="173">
        <f>'Monitored Datas'!H6</f>
        <v>2614.4494500000001</v>
      </c>
      <c r="D31" s="174">
        <f>'Monitored Datas'!I6</f>
        <v>2940.4400000000005</v>
      </c>
      <c r="F31" s="175"/>
      <c r="G31" s="176" t="s">
        <v>83</v>
      </c>
      <c r="H31" s="176" t="s">
        <v>84</v>
      </c>
      <c r="I31" s="177" t="s">
        <v>34</v>
      </c>
      <c r="J31" s="177" t="s">
        <v>75</v>
      </c>
      <c r="K31" s="177" t="s">
        <v>36</v>
      </c>
      <c r="L31" s="177" t="s">
        <v>76</v>
      </c>
      <c r="M31" s="177" t="s">
        <v>77</v>
      </c>
      <c r="N31" s="178" t="s">
        <v>85</v>
      </c>
      <c r="R31" s="86"/>
      <c r="S31" s="152"/>
      <c r="T31" s="152"/>
      <c r="U31" s="152"/>
      <c r="V31" s="152"/>
      <c r="W31" s="152"/>
    </row>
    <row r="32" spans="1:33" s="79" customFormat="1">
      <c r="B32" s="100" t="s">
        <v>13</v>
      </c>
      <c r="C32" s="173">
        <f>'Monitored Datas'!H7</f>
        <v>2848.5081913599997</v>
      </c>
      <c r="D32" s="174">
        <f>'Monitored Datas'!I7</f>
        <v>3174.4582399999995</v>
      </c>
      <c r="F32" s="179" t="s">
        <v>12</v>
      </c>
      <c r="G32" s="98">
        <v>1</v>
      </c>
      <c r="H32" s="98">
        <v>1</v>
      </c>
      <c r="I32" s="180">
        <f>($D31*$C$22*$N$22*(1-EXP(-$O$22)))*(EXP(-$O$22*($G$41-$H32))+EXP(-$O$22*($G$41-$H33))+EXP(-$O$22*($G$41-$H34))+EXP(-$O$22*($G$41-$H35))+EXP(-$O$22*($G$41-$H36))+EXP(-$O$22*($G$41-$H37))+EXP(-$O$22*($G$41-$H38))+EXP(-$O$22*($G$41-$H39))+EXP(-$O$22*($G$41-$H40))+EXP(-$O$22*($G$41-$H41)))</f>
        <v>6.9552820880538269</v>
      </c>
      <c r="J32" s="180">
        <f>($D31*$C$23*$N$23*(1-EXP(-$O$23)))*(EXP(-$O$23*($G$41-$H32))+EXP(-$O$23*($G$41-$H33))+EXP(-$O$23*($G$41-$H34))+EXP(-$O$23*($G$41-$H35))+EXP(-$O$23*($G$41-$H36))+EXP(-$O$23*($G$41-$H37))+EXP(-$O$23*($G$41-$H38))+EXP(-$O$23*($G$41-$H39))+EXP(-$O$23*($G$41-$H40))+EXP(-$O$23*($G$41-$H41)))</f>
        <v>38.175859729442735</v>
      </c>
      <c r="K32" s="180">
        <f>($D31*$C$24*$N$24*(1-EXP(-$O$24)))*(EXP(-$O$24*($G$41-$H32))+EXP(-$O$24*($G$41-$H33))+EXP(-$O$24*($G$41-$H34))+EXP(-$O$24*($G$41-$H35))+EXP(-$O$24*($G$41-$H36))+EXP(-$O$24*($G$41-$H37))+EXP(-$O$24*($G$41-$H38))+EXP(-$O$24*($G$41-$H39))+EXP(-$O$24*($G$41-$H40))+EXP(-$O$24*($G$41-$H41)))</f>
        <v>22.039541206500243</v>
      </c>
      <c r="L32" s="180">
        <f>($D31*$C$25*$N$25*(1-EXP(-$O$25)))*(EXP(-$O$25*($G$41-$H32))+EXP(-$O$25*($G$41-$H33))+EXP(-$O$25*($G$41-$H34))+EXP(-$O$25*($G$41-$H35))+EXP(-$O$25*($G$41-$H36))+EXP(-$O$25*($G$41-$H37))+EXP(-$O$25*($G$41-$H38))+EXP(-$O$25*($G$41-$H39))+EXP(-$O$25*($G$41-$H40))+EXP(-$O$25*($G$41-$H41)))</f>
        <v>205.51251124728265</v>
      </c>
      <c r="M32" s="180">
        <f>($D31*$C$26*$N$26*(1-EXP(-$O$26)))*(EXP(-$O$26*($G$41-$H32))+EXP(-$O$26*($G$41-$H33))+EXP(-$O$26*($G$41-$H34))+EXP(-$O$26*($G$41-$H35))+EXP(-$O$26*($G$41-$H36))+EXP(-$O$26*($G$41-$H37))+EXP(-$O$26*($G$41-$H38))+EXP(-$O$26*($G$41-$H39))+EXP(-$O$26*($G$41-$H40))+EXP(-$O$26*($G$41-$H41)))</f>
        <v>129.4676291144371</v>
      </c>
      <c r="N32" s="181">
        <f>SUM(I32,J32,K32,L32,M32)</f>
        <v>402.15082338571654</v>
      </c>
      <c r="S32" s="153"/>
    </row>
    <row r="33" spans="2:18" s="79" customFormat="1">
      <c r="B33" s="100" t="s">
        <v>14</v>
      </c>
      <c r="C33" s="173">
        <f>'Monitored Datas'!H8</f>
        <v>1941.0430100000001</v>
      </c>
      <c r="D33" s="174">
        <f>'Monitored Datas'!I8</f>
        <v>2175.29</v>
      </c>
      <c r="F33" s="179" t="s">
        <v>13</v>
      </c>
      <c r="G33" s="98">
        <v>2</v>
      </c>
      <c r="H33" s="98">
        <v>2</v>
      </c>
      <c r="I33" s="180">
        <f>($D32*$D$22*$N$22*(1-EXP(-$O$22)))*(EXP(-$O$22*($G$41-$H33))+EXP(-$O$22*($G$41-$H34))+EXP(-$O$22*($G$41-$H35))+EXP(-$O$22*($G$41-$H36))+EXP(-$O$22*($G$41-$H37))+EXP(-$O$22*($G$41-$H38))+EXP(-$O$22*($G$41-$H39))+EXP(-$O$22*($G$41-$H40))+EXP(-$O$22*($G$41-$H41)))</f>
        <v>8.5326137420408301</v>
      </c>
      <c r="J33" s="180">
        <f>($D32*$D$23*$N$23*(1-EXP(-$O$23)))*(EXP(-$O$23*($G$41-$H33))+EXP(-$O$23*($G$41-$H34))+EXP(-$O$23*($G$41-$H35))+EXP(-$O$23*($G$41-$H36))+EXP(-$O$23*($G$41-$H37))+EXP(-$O$23*($G$41-$H38))+EXP(-$O$23*($G$41-$H39))+EXP(-$O$23*($G$41-$H40))+EXP(-$O$23*($G$41-$H41)))</f>
        <v>37.789549851945075</v>
      </c>
      <c r="K33" s="180">
        <f>($D32*$D$24*$N$24*(1-EXP(-$O$24)))*(EXP(-$O$24*($G$41-$H33))+EXP(-$O$24*($G$41-$H34))+EXP(-$O$24*($G$41-$H35))+EXP(-$O$24*($G$41-$H36))+EXP(-$O$24*($G$41-$H37))+EXP(-$O$24*($G$41-$H38))+EXP(-$O$24*($G$41-$H39))+EXP(-$O$24*($G$41-$H40))+EXP(-$O$24*($G$41-$H41)))</f>
        <v>27.167391675951514</v>
      </c>
      <c r="L33" s="180">
        <f>($D32*$D$25*$N$25*(1-EXP(-$O$25)))*(EXP(-$O$25*($G$41-$H33))+EXP(-$O$25*($G$41-$H34))+EXP(-$O$25*($G$41-$H35))+EXP(-$O$25*($G$41-$H36))+EXP(-$O$25*($G$41-$H37))+EXP(-$O$25*($G$41-$H38))+EXP(-$O$25*($G$41-$H39))+EXP(-$O$25*($G$41-$H40))+EXP(-$O$25*($G$41-$H41)))</f>
        <v>257.96516462670894</v>
      </c>
      <c r="M33" s="180">
        <f>($D32*$D$26*$N$26*(1-EXP(-$O$26)))*(EXP(-$O$26*($G$41-$H33))+EXP(-$O$26*($G$41-$H34))+EXP(-$O$26*($G$41-$H35))+EXP(-$O$26*($G$41-$H36))+EXP(-$O$26*($G$41-$H37))+EXP(-$O$26*($G$41-$H38))+EXP(-$O$26*($G$41-$H39))+EXP(-$O$26*($G$41-$H40))+EXP(-$O$26*($G$41-$H41)))</f>
        <v>88.175643494428272</v>
      </c>
      <c r="N33" s="181">
        <f t="shared" ref="N33:N40" si="2">SUM(I33,J33,K33,L33,M33)</f>
        <v>419.63036339107464</v>
      </c>
    </row>
    <row r="34" spans="2:18" s="79" customFormat="1">
      <c r="B34" s="100" t="s">
        <v>15</v>
      </c>
      <c r="C34" s="173">
        <f>'Monitored Datas'!H9</f>
        <v>2722.3520800000001</v>
      </c>
      <c r="D34" s="182">
        <f>'Monitored Datas'!I9</f>
        <v>3128.44</v>
      </c>
      <c r="E34" s="183"/>
      <c r="F34" s="179" t="s">
        <v>14</v>
      </c>
      <c r="G34" s="98">
        <v>3</v>
      </c>
      <c r="H34" s="98">
        <v>3</v>
      </c>
      <c r="I34" s="180">
        <f>($D33*$E$22*$N$22*(1-EXP(-$O$22)))*(EXP(-$O$22*($G$41-$H34))+EXP(-$O$22*($G$41-$H35))+EXP(-$O$22*($G$41-$H36))+EXP(-$O$22*($G$41-$H37))+EXP(-$O$22*($G$41-$H38))+EXP(-$O$22*($G$41-$H39))+EXP(-$O$22*($G$41-$H40))+EXP(-$O$22*($G$41-$H41)))</f>
        <v>3.8149536429104183</v>
      </c>
      <c r="J34" s="180">
        <f>($D33*$E$23*$N$23*(1-EXP(-$O$23)))*(EXP(-$O$23*($G$41-$H34))+EXP(-$O$23*($G$41-$H35))+EXP(-$O$23*($G$41-$H36))+EXP(-$O$23*($G$41-$H37))+EXP(-$O$23*($G$41-$H38))+EXP(-$O$23*($G$41-$H39))+EXP(-$O$23*($G$41-$H40))+EXP(-$O$23*($G$41-$H41)))</f>
        <v>19.061545327599745</v>
      </c>
      <c r="K34" s="180">
        <f>($D33*$E$24*$N$24*(1-EXP(-$O$24)))*(EXP(-$O$24*($G$41-$H34))+EXP(-$O$24*($G$41-$H35))+EXP(-$O$24*($G$41-$H36))+EXP(-$O$24*($G$41-$H37))+EXP(-$O$24*($G$41-$H38))+EXP(-$O$24*($G$41-$H39))+EXP(-$O$24*($G$41-$H40))+EXP(-$O$24*($G$41-$H41)))</f>
        <v>16.363603622392766</v>
      </c>
      <c r="L34" s="180">
        <f>($D33*$E$25*$N$25*(1-EXP(-$O$25)))*(EXP(-$O$25*($G$41-$H34))+EXP(-$O$25*($G$41-$H35))+EXP(-$O$25*($G$41-$H36))+EXP(-$O$25*($G$41-$H37))+EXP(-$O$25*($G$41-$H38))+EXP(-$O$25*($G$41-$H39))+EXP(-$O$25*($G$41-$H40))+EXP(-$O$25*($G$41-$H41)))</f>
        <v>188.27289477358804</v>
      </c>
      <c r="M34" s="180">
        <f>($D33*$E$26*$N$26*(1-EXP(-$O$26)))*(EXP(-$O$26*($G$41-$H34))+EXP(-$O$26*($G$41-$H35))+EXP(-$O$26*($G$41-$H36))+EXP(-$O$26*($G$41-$H37))+EXP(-$O$26*($G$41-$H38))+EXP(-$O$26*($G$41-$H39))+EXP(-$O$26*($G$41-$H40))+EXP(-$O$26*($G$41-$H41)))</f>
        <v>48.472748605753338</v>
      </c>
      <c r="N34" s="181">
        <f t="shared" si="2"/>
        <v>275.98574597224433</v>
      </c>
    </row>
    <row r="35" spans="2:18" s="79" customFormat="1">
      <c r="B35" s="184" t="s">
        <v>16</v>
      </c>
      <c r="C35" s="173">
        <f>'Monitored Datas'!H10</f>
        <v>4643.8119268277369</v>
      </c>
      <c r="D35" s="182">
        <f>'Monitored Datas'!I10</f>
        <v>4696.5594500000007</v>
      </c>
      <c r="E35" s="183"/>
      <c r="F35" s="179" t="s">
        <v>15</v>
      </c>
      <c r="G35" s="98">
        <v>4</v>
      </c>
      <c r="H35" s="98">
        <v>4</v>
      </c>
      <c r="I35" s="180">
        <f>($D34*$F$22*$N$22*(1-EXP(-$O$22)))*(EXP(-$O$22*($G$41-$H35))+EXP(-$O$22*($G$41-$H36))+EXP(-$O$22*($G$41-$H37))+EXP(-$O$22*($G$41-$H38))+EXP(-$O$22*($G$41-$H39))+EXP(-$O$22*($G$41-$H40))+EXP(-$O$22*($G$41-$H41)))</f>
        <v>5.9172358727341372</v>
      </c>
      <c r="J35" s="180">
        <f>($D34*$F$23*$N$23*(1-EXP(-$O$23)))*(EXP(-$O$23*($G$41-$H35))+EXP(-$O$23*($G$41-$H36))+EXP(-$O$23*($G$41-$H37))+EXP(-$O$23*($G$41-$H38))+EXP(-$O$23*($G$41-$H39))+EXP(-$O$23*($G$41-$H40))+EXP(-$O$23*($G$41-$H41)))</f>
        <v>31.128673470842735</v>
      </c>
      <c r="K35" s="180">
        <f>($D34*$F$24*$N$24*(1-EXP(-$O$24)))*(EXP(-$O$24*($G$41-$H35))+EXP(-$O$24*($G$41-$H36))+EXP(-$O$24*($G$41-$H37))+EXP(-$O$24*($G$41-$H38))+EXP(-$O$24*($G$41-$H39))+EXP(-$O$24*($G$41-$H40))+EXP(-$O$24*($G$41-$H41)))</f>
        <v>17.366764836368148</v>
      </c>
      <c r="L35" s="180">
        <f>($D34*$F$25*$N$25*(1-EXP(-$O$25)))*(EXP(-$O$25*($G$41-$H35))+EXP(-$O$25*($G$41-$H36))+EXP(-$O$25*($G$41-$H37))+EXP(-$O$25*($G$41-$H38))+EXP(-$O$25*($G$41-$H39))+EXP(-$O$25*($G$41-$H40))+EXP(-$O$25*($G$41-$H41)))</f>
        <v>243.00841558279578</v>
      </c>
      <c r="M35" s="180">
        <f>($D34*$F$26*$N$26*(1-EXP(-$O$26)))*(EXP(-$O$26*($G$41-$H35))+EXP(-$O$26*($G$41-$H36))+EXP(-$O$26*($G$41-$H37))+EXP(-$O$26*($G$41-$H38))+EXP(-$O$26*($G$41-$H39))+EXP(-$O$26*($G$41-$H40))+EXP(-$O$26*($G$41-$H41)))</f>
        <v>76.030412924073431</v>
      </c>
      <c r="N35" s="181">
        <f t="shared" si="2"/>
        <v>373.45150268681425</v>
      </c>
      <c r="R35" s="183"/>
    </row>
    <row r="36" spans="2:18" s="79" customFormat="1">
      <c r="B36" s="185" t="s">
        <v>17</v>
      </c>
      <c r="C36" s="186">
        <f>'Monitored Datas'!H11</f>
        <v>3919.928868815075</v>
      </c>
      <c r="D36" s="187">
        <f>'Monitored Datas'!I11</f>
        <v>3956.895</v>
      </c>
      <c r="E36" s="183"/>
      <c r="F36" s="184" t="s">
        <v>16</v>
      </c>
      <c r="G36" s="188">
        <v>5</v>
      </c>
      <c r="H36" s="188">
        <v>5</v>
      </c>
      <c r="I36" s="189">
        <f>($D35*$G$22*$N$22*(1-EXP(-$O$22)))*(EXP(-$O$22*($G$41-$H36))+EXP(-$O$22*($G$41-$H37))+EXP(-$O$22*($G$41-$H38))+EXP(-$O$22*($G$41-$H39))+EXP(-$O$22*($G$41-$H40))+EXP(-$O$22*($G$41-$H41)))</f>
        <v>7.9895851716233883</v>
      </c>
      <c r="J36" s="189">
        <f>($D35*$G$23*$N$23*(1-EXP(-$O$23)))*(EXP(-$O$23*($G$41-$H36))+EXP(-$O$23*($G$41-$H37))+EXP(-$O$23*($G$41-$H38))+EXP(-$O$23*($G$41-$H39))+EXP(-$O$23*($G$41-$H40))+EXP(-$O$23*($G$41-$H41)))</f>
        <v>32.592808088401704</v>
      </c>
      <c r="K36" s="189">
        <f>($D35*$G$24*$N$24*(1-EXP(-$O$24)))*(EXP(-$O$24*($G$41-$H36))+EXP(-$O$24*($G$41-$H37))+EXP(-$O$24*($G$41-$H38))+EXP(-$O$24*($G$41-$H39))+EXP(-$O$24*($G$41-$H40))+EXP(-$O$24*($G$41-$H41)))</f>
        <v>26.244585734602079</v>
      </c>
      <c r="L36" s="189">
        <f>($D35*$G$25*$N$25*(1-EXP(-$O$25)))*(EXP(-$O$25*($G$41-$H36))+EXP(-$O$25*($G$41-$H37))+EXP(-$O$25*($G$41-$H38))+EXP(-$O$25*($G$41-$H39))+EXP(-$O$25*($G$41-$H40))+EXP(-$O$25*($G$41-$H41)))</f>
        <v>458.96522214989142</v>
      </c>
      <c r="M36" s="189">
        <f>($D35*$G$26*$N$26*(1-EXP(-$O$26)))*(EXP(-$O$26*($G$41-$H36))+EXP(-$O$26*($G$41-$H37))+EXP(-$O$26*($G$41-$H38))+EXP(-$O$26*($G$41-$H39))+EXP(-$O$26*($G$41-$H40))+EXP(-$O$26*($G$41-$H41)))</f>
        <v>79.827988602237411</v>
      </c>
      <c r="N36" s="190">
        <f>SUM(I36,J36,K36,L36,M36)</f>
        <v>605.62018974675595</v>
      </c>
      <c r="R36" s="183"/>
    </row>
    <row r="37" spans="2:18" s="79" customFormat="1">
      <c r="B37" s="113" t="s">
        <v>18</v>
      </c>
      <c r="C37" s="191">
        <f>'Monitored Datas'!H12</f>
        <v>0</v>
      </c>
      <c r="D37" s="192">
        <f>'Monitored Datas'!I12</f>
        <v>0</v>
      </c>
      <c r="E37" s="183"/>
      <c r="F37" s="185" t="s">
        <v>17</v>
      </c>
      <c r="G37" s="111">
        <v>6</v>
      </c>
      <c r="H37" s="111">
        <v>6</v>
      </c>
      <c r="I37" s="193">
        <f>($D36*$H$22*$N$22*(1-EXP(-$O$22)))*(EXP(-$O$22*($G$41-$H37))+EXP(-$O$22*($G$41-$H38))+EXP(-$O$22*($G$41-$H39))+EXP(-$O$22*($G$41-$H40))+EXP(-$O$22*($G$41-$H41)))</f>
        <v>4.2512494423830125</v>
      </c>
      <c r="J37" s="193">
        <f>($D36*$H$23*$N$23*(1-EXP(-$O$23)))*(EXP(-$O$23*($G$41-$H37))+EXP(-$O$23*($G$41-$H38))+EXP(-$O$23*($G$41-$H39))+EXP(-$O$23*($G$41-$H40))+EXP(-$O$23*($G$41-$H41)))</f>
        <v>24.068700121799672</v>
      </c>
      <c r="K37" s="193">
        <f>($D36*$H$24*$N$24*(1-EXP(-$O$24)))*(EXP(-$O$24*($G$41-$H37))+EXP(-$O$24*($G$41-$H38))+EXP(-$O$24*($G$41-$H39))+EXP(-$O$24*($G$41-$H40))+EXP(-$O$24*($G$41-$H41)))</f>
        <v>18.766432639249164</v>
      </c>
      <c r="L37" s="193">
        <f>($D36*$H$25*$N$25*(1-EXP(-$O$25)))*(EXP(-$O$25*($G$41-$H37))+EXP(-$O$25*($G$41-$H38))+EXP(-$O$25*($G$41-$H39))+EXP(-$O$25*($G$41-$H40))+EXP(-$O$25*($G$41-$H41)))</f>
        <v>382.7460123419155</v>
      </c>
      <c r="M37" s="193">
        <f>($D36*$H$26*$N$26*(1-EXP(-$O$26)))*(EXP(-$O$26*($G$41-$H37))+EXP(-$O$26*($G$41-$H38))+EXP(-$O$26*($G$41-$H39))+EXP(-$O$26*($G$41-$H40))+EXP(-$O$26*($G$41-$H41)))</f>
        <v>50.248968643208464</v>
      </c>
      <c r="N37" s="194">
        <f>SUM(I37,J37,K37,L37,M37)</f>
        <v>480.08136318855583</v>
      </c>
      <c r="R37" s="183"/>
    </row>
    <row r="38" spans="2:18" s="79" customFormat="1">
      <c r="B38" s="113" t="s">
        <v>19</v>
      </c>
      <c r="C38" s="191">
        <f>'Monitored Datas'!H13</f>
        <v>0</v>
      </c>
      <c r="D38" s="192">
        <f>'Monitored Datas'!I13</f>
        <v>0</v>
      </c>
      <c r="E38" s="183"/>
      <c r="F38" s="113" t="s">
        <v>18</v>
      </c>
      <c r="G38" s="119">
        <v>7</v>
      </c>
      <c r="H38" s="119">
        <v>7</v>
      </c>
      <c r="I38" s="195" t="e">
        <f>($D37*$I$22*$N$22*(1-EXP(-$O$22)))*(EXP(-$O$22*($G$41-$H38))+EXP(-$O$22*($G$41-$H39))+EXP(-$O$22*($G$41-$H40))+EXP(-$O$22*($G$41-$H41)))</f>
        <v>#DIV/0!</v>
      </c>
      <c r="J38" s="195" t="e">
        <f>($D37*$I$23*$N$23*(1-EXP(-$O$23)))*(EXP(-$O$23*($G$41-$H38))+EXP(-$O$23*($G$41-$H39))+EXP(-$O$23*($G$41-$H40))+EXP(-$O$23*($G$41-$H41)))</f>
        <v>#DIV/0!</v>
      </c>
      <c r="K38" s="195" t="e">
        <f>($D37*$I$24*$N$24*(1-EXP(-$O$24)))*(EXP(-$O$24*($G$41-$H38))+EXP(-$O$24*($G$41-$H39))+EXP(-$O$24*($G$41-$H40))+EXP(-$O$24*($G$41-$H41)))</f>
        <v>#DIV/0!</v>
      </c>
      <c r="L38" s="195" t="e">
        <f>($D37*$I$25*$N$25*(1-EXP(-$O$25)))*(EXP(-$O$25*($G$41-$H38))+EXP(-$O$25*($G$41-$H39))+EXP(-$O$25*($G$41-$H40))+EXP(-$O$25*($G$41-$H41)))</f>
        <v>#DIV/0!</v>
      </c>
      <c r="M38" s="195" t="e">
        <f>($D37*$I$26*$N$26*(1-EXP(-$O$26)))*(EXP(-$O$26*($G$41-$H38))+EXP(-$O$26*($G$41-$H39))+EXP(-$O$26*($G$41-$H40))+EXP(-$O$26*($G$41-$H41)))</f>
        <v>#DIV/0!</v>
      </c>
      <c r="N38" s="196" t="e">
        <f t="shared" si="2"/>
        <v>#DIV/0!</v>
      </c>
      <c r="R38" s="183"/>
    </row>
    <row r="39" spans="2:18" s="79" customFormat="1">
      <c r="B39" s="113" t="s">
        <v>20</v>
      </c>
      <c r="C39" s="191">
        <f>'Monitored Datas'!H14</f>
        <v>0</v>
      </c>
      <c r="D39" s="192">
        <f>'Monitored Datas'!I14</f>
        <v>0</v>
      </c>
      <c r="E39" s="183"/>
      <c r="F39" s="113" t="s">
        <v>19</v>
      </c>
      <c r="G39" s="119">
        <v>8</v>
      </c>
      <c r="H39" s="119">
        <v>8</v>
      </c>
      <c r="I39" s="195" t="e">
        <f>($D38*$J$22*$N$22*(1-EXP(-$O$22)))*(EXP(-$O$22*($G$41-$H39))+EXP(-$O$22*($G$41-$H40))+EXP(-$O$22*($G$41-$H41)))</f>
        <v>#DIV/0!</v>
      </c>
      <c r="J39" s="195" t="e">
        <f>($D38*$J$23*$N$23*(1-EXP(-$O$23)))*(EXP(-$O$23*($G$41-$H39))+EXP(-$O$23*($G$41-$H40))+EXP(-$O$23*($G$41-$H41)))</f>
        <v>#DIV/0!</v>
      </c>
      <c r="K39" s="195" t="e">
        <f>($D38*$J$24*$N$24*(1-EXP(-$O$24)))*(EXP(-$O$24*($G$41-$H39))+EXP(-$O$24*($G$41-$H40))+EXP(-$O$24*($G$41-$H41)))</f>
        <v>#DIV/0!</v>
      </c>
      <c r="L39" s="195" t="e">
        <f>($D38*$J$25*$N$25*(1-EXP(-$O$25)))*(EXP(-$O$25*($G$41-$H39))+EXP(-$O$25*($G$41-$H40))+EXP(-$O$25*($G$41-$H41)))</f>
        <v>#DIV/0!</v>
      </c>
      <c r="M39" s="195" t="e">
        <f>($D38*$J$26*$N$26*(1-EXP(-$O$26)))*(EXP(-$O$26*($G$41-$H39))+EXP(-$O$26*($G$41-$H40))+EXP(-$O$26*($G$41-$H41)))</f>
        <v>#DIV/0!</v>
      </c>
      <c r="N39" s="196" t="e">
        <f t="shared" si="2"/>
        <v>#DIV/0!</v>
      </c>
      <c r="R39" s="183"/>
    </row>
    <row r="40" spans="2:18" s="79" customFormat="1">
      <c r="B40" s="113" t="s">
        <v>21</v>
      </c>
      <c r="C40" s="191">
        <f>'Monitored Datas'!H15</f>
        <v>0</v>
      </c>
      <c r="D40" s="192">
        <f>'Monitored Datas'!I15</f>
        <v>0</v>
      </c>
      <c r="E40" s="183"/>
      <c r="F40" s="113" t="s">
        <v>20</v>
      </c>
      <c r="G40" s="119">
        <v>9</v>
      </c>
      <c r="H40" s="119">
        <v>9</v>
      </c>
      <c r="I40" s="195" t="e">
        <f>($D39*$K$22*$N$22*(1-EXP(-$O$22)))*(EXP(-$O$22*($G$41-$H40))+EXP(-$O$22*($G$41-$H41)))</f>
        <v>#DIV/0!</v>
      </c>
      <c r="J40" s="195" t="e">
        <f>($D39*$K$23*$N$23*(1-EXP(-$O$23)))*(EXP(-$O$23*($G$41-$H40))+EXP(-$O$23*($G$41-$H41)))</f>
        <v>#DIV/0!</v>
      </c>
      <c r="K40" s="195" t="e">
        <f>($D39*$K$24*$N$24*(1-EXP(-$O$24)))*(EXP(-$O$24*($G$41-$H40))+EXP(-$O$24*($G$41-$H41)))</f>
        <v>#DIV/0!</v>
      </c>
      <c r="L40" s="195" t="e">
        <f>($D39*$K$25*$N$25*(1-EXP(-$O$25)))*(EXP(-$O$25*($G$41-$H40))+EXP(-$O$25*($G$41-$H41)))</f>
        <v>#DIV/0!</v>
      </c>
      <c r="M40" s="195" t="e">
        <f>($D39*$K$26*$N$26*(1-EXP(-$O$26)))*(EXP(-$O$26*($G$41-$H40))+EXP(-$O$26*($G$41-$H41)))</f>
        <v>#DIV/0!</v>
      </c>
      <c r="N40" s="196" t="e">
        <f t="shared" si="2"/>
        <v>#DIV/0!</v>
      </c>
      <c r="R40" s="183"/>
    </row>
    <row r="41" spans="2:18" s="79" customFormat="1" ht="15" thickBot="1">
      <c r="B41" s="197" t="s">
        <v>22</v>
      </c>
      <c r="C41" s="191" t="e">
        <f>'Monitored Datas'!H16</f>
        <v>#DIV/0!</v>
      </c>
      <c r="D41" s="192">
        <f>'Monitored Datas'!P16</f>
        <v>0</v>
      </c>
      <c r="E41" s="183"/>
      <c r="F41" s="113" t="s">
        <v>21</v>
      </c>
      <c r="G41" s="119">
        <v>10</v>
      </c>
      <c r="H41" s="119">
        <v>10</v>
      </c>
      <c r="I41" s="195" t="e">
        <f>($D40*$L$22*$N$22*(1-EXP(-$O$22)))*(EXP(-$O$22*($G$41-$H41)))</f>
        <v>#DIV/0!</v>
      </c>
      <c r="J41" s="195" t="e">
        <f>($D40*$L$23*$N$23*(1-EXP(-$O$23)))*(EXP(-$O$23*($G$41-$H41)))</f>
        <v>#DIV/0!</v>
      </c>
      <c r="K41" s="195" t="e">
        <f>($D40*$L$24*$N$24*(1-EXP(-$O$24)))*(EXP(-$O$24*($G$41-$H41)))</f>
        <v>#DIV/0!</v>
      </c>
      <c r="L41" s="195" t="e">
        <f>($D40*$L$25*$N$25*(1-EXP(-$O$25)))*(EXP(-$O$25*($G$41-$H41)))</f>
        <v>#DIV/0!</v>
      </c>
      <c r="M41" s="195" t="e">
        <f>($D40*$L$26*$N$26*(1-EXP(-$O$26)))*(EXP(-$O$26*($G$41-$H41)))</f>
        <v>#DIV/0!</v>
      </c>
      <c r="N41" s="196" t="e">
        <f>SUM(I41,J41,K41,L41,M41)</f>
        <v>#DIV/0!</v>
      </c>
      <c r="R41" s="183"/>
    </row>
    <row r="42" spans="2:18" s="79" customFormat="1" ht="15" thickBot="1">
      <c r="B42" s="168" t="s">
        <v>40</v>
      </c>
      <c r="C42" s="198" t="e">
        <f>SUM(C31:C41)</f>
        <v>#DIV/0!</v>
      </c>
      <c r="D42" s="198"/>
      <c r="E42" s="183"/>
      <c r="F42" s="123" t="s">
        <v>22</v>
      </c>
      <c r="G42" s="126">
        <v>11</v>
      </c>
      <c r="H42" s="126">
        <v>11</v>
      </c>
      <c r="I42" s="199" t="e">
        <f>($D41*$K$22*$N$22*(1-EXP(-$O$22)))*(EXP(-$O$22*($G$41-$H42))+EXP(-$O$22*($G$41-$H43)))</f>
        <v>#DIV/0!</v>
      </c>
      <c r="J42" s="199" t="e">
        <f>($D41*$K$23*$N$23*(1-EXP(-$O$23)))*(EXP(-$O$23*($G$41-$H42))+EXP(-$O$23*($G$41-$H43)))</f>
        <v>#DIV/0!</v>
      </c>
      <c r="K42" s="199" t="e">
        <f>($D41*$K$24*$N$24*(1-EXP(-$O$24)))*(EXP(-$O$24*($G$41-$H42))+EXP(-$O$24*($G$41-$H43)))</f>
        <v>#DIV/0!</v>
      </c>
      <c r="L42" s="199" t="e">
        <f>($D41*$K$25*$N$25*(1-EXP(-$O$25)))*(EXP(-$O$25*($G$41-$H42))+EXP(-$O$25*($G$41-$H43)))</f>
        <v>#DIV/0!</v>
      </c>
      <c r="M42" s="199" t="e">
        <f>($D41*$K$26*$N$26*(1-EXP(-$O$26)))*(EXP(-$O$26*($G$41-$H42))+EXP(-$O$26*($G$41-$H43)))</f>
        <v>#DIV/0!</v>
      </c>
      <c r="N42" s="200" t="e">
        <f>SUM(I42,J42,K42,L42,M42)</f>
        <v>#DIV/0!</v>
      </c>
      <c r="R42" s="183"/>
    </row>
    <row r="43" spans="2:18" s="79" customFormat="1">
      <c r="L43" s="108"/>
    </row>
    <row r="44" spans="2:18" s="79" customFormat="1">
      <c r="K44" s="108"/>
      <c r="L44" s="108"/>
    </row>
    <row r="45" spans="2:18" s="79" customFormat="1">
      <c r="M45" s="79">
        <v>48.472748605753338</v>
      </c>
      <c r="N45" s="79">
        <v>284.73411573038118</v>
      </c>
    </row>
    <row r="46" spans="2:18" s="79" customFormat="1"/>
    <row r="47" spans="2:18" s="79" customFormat="1"/>
    <row r="48" spans="2:18" s="79" customFormat="1"/>
    <row r="49" spans="6:13" s="79" customFormat="1"/>
    <row r="50" spans="6:13" s="79" customFormat="1"/>
    <row r="51" spans="6:13" s="79" customFormat="1"/>
    <row r="52" spans="6:13" s="79" customFormat="1"/>
    <row r="53" spans="6:13" s="79" customFormat="1"/>
    <row r="57" spans="6:13">
      <c r="F57" s="6"/>
      <c r="H57" s="7"/>
      <c r="K57" s="9"/>
      <c r="L57" s="9"/>
      <c r="M57" s="9"/>
    </row>
    <row r="58" spans="6:13">
      <c r="F58" s="6"/>
      <c r="H58" s="7"/>
      <c r="K58" s="9"/>
      <c r="L58" s="9"/>
      <c r="M58" s="9"/>
    </row>
    <row r="59" spans="6:13">
      <c r="F59" s="6"/>
      <c r="H59" s="7"/>
      <c r="K59" s="9"/>
      <c r="L59" s="9"/>
      <c r="M59" s="9"/>
    </row>
    <row r="60" spans="6:13">
      <c r="F60" s="6"/>
      <c r="H60" s="7"/>
      <c r="K60" s="9"/>
      <c r="L60" s="9"/>
      <c r="M60" s="9"/>
    </row>
    <row r="61" spans="6:13">
      <c r="F61" s="6"/>
      <c r="H61" s="7"/>
      <c r="K61" s="9"/>
      <c r="L61" s="9"/>
      <c r="M61" s="11"/>
    </row>
    <row r="62" spans="6:13">
      <c r="F62" s="6"/>
      <c r="H62" s="7"/>
    </row>
    <row r="63" spans="6:13">
      <c r="F63" s="6"/>
      <c r="H63" s="7"/>
      <c r="M63" s="11"/>
    </row>
    <row r="64" spans="6:13">
      <c r="F64" s="6"/>
      <c r="H64" s="7"/>
      <c r="M64" s="9"/>
    </row>
    <row r="65" spans="6:13">
      <c r="F65" s="6"/>
      <c r="H65" s="7"/>
      <c r="I65" s="9"/>
      <c r="M65" s="9"/>
    </row>
    <row r="66" spans="6:13">
      <c r="M66" s="9"/>
    </row>
    <row r="67" spans="6:13">
      <c r="F67" s="6"/>
      <c r="H67" s="7"/>
      <c r="M67" s="9"/>
    </row>
    <row r="68" spans="6:13">
      <c r="F68" s="6"/>
      <c r="H68" s="7"/>
      <c r="M68" s="9"/>
    </row>
    <row r="69" spans="6:13">
      <c r="F69" s="6"/>
      <c r="H69" s="7"/>
      <c r="M69" s="9"/>
    </row>
    <row r="70" spans="6:13">
      <c r="F70" s="6"/>
      <c r="H70" s="7"/>
      <c r="M70" s="9"/>
    </row>
    <row r="71" spans="6:13">
      <c r="F71" s="6"/>
      <c r="H71" s="7"/>
    </row>
    <row r="72" spans="6:13">
      <c r="F72" s="6"/>
      <c r="H72" s="7"/>
      <c r="M72" s="11"/>
    </row>
    <row r="73" spans="6:13">
      <c r="F73" s="6"/>
      <c r="H73" s="7"/>
    </row>
    <row r="74" spans="6:13">
      <c r="F74" s="6"/>
      <c r="H74" s="7"/>
    </row>
    <row r="75" spans="6:13">
      <c r="F75" s="6"/>
      <c r="H75" s="7"/>
    </row>
    <row r="76" spans="6:13">
      <c r="F76" s="6"/>
    </row>
    <row r="89" spans="1:13">
      <c r="F89" s="10"/>
    </row>
    <row r="90" spans="1:13">
      <c r="A90" s="12"/>
      <c r="B90" s="12"/>
      <c r="E90" s="13"/>
      <c r="J90" s="12"/>
      <c r="K90" s="12"/>
      <c r="L90" s="12"/>
      <c r="M90" s="12"/>
    </row>
    <row r="91" spans="1:13">
      <c r="E91" s="8"/>
    </row>
    <row r="92" spans="1:13">
      <c r="E92" s="10"/>
      <c r="K92" s="10"/>
      <c r="M92" s="10"/>
    </row>
    <row r="93" spans="1:13">
      <c r="E93" s="10"/>
      <c r="K93" s="10"/>
      <c r="M93" s="10"/>
    </row>
    <row r="94" spans="1:13">
      <c r="E94" s="10"/>
      <c r="K94" s="10"/>
      <c r="M94" s="10"/>
    </row>
    <row r="95" spans="1:13">
      <c r="E95" s="10"/>
      <c r="K95" s="10"/>
      <c r="M95" s="10"/>
    </row>
    <row r="96" spans="1:13">
      <c r="E96" s="10"/>
      <c r="K96" s="10"/>
      <c r="M96" s="10"/>
    </row>
    <row r="97" spans="1:13">
      <c r="E97" s="10"/>
      <c r="K97" s="10"/>
      <c r="M97" s="10"/>
    </row>
    <row r="98" spans="1:13">
      <c r="E98" s="10"/>
      <c r="K98" s="10"/>
      <c r="M98" s="10"/>
    </row>
    <row r="99" spans="1:13">
      <c r="E99" s="10"/>
      <c r="K99" s="10"/>
      <c r="M99" s="10"/>
    </row>
    <row r="100" spans="1:13">
      <c r="E100" s="10"/>
      <c r="K100" s="10"/>
      <c r="M100" s="10"/>
    </row>
    <row r="101" spans="1:13">
      <c r="E101" s="10"/>
      <c r="K101" s="10"/>
      <c r="M101" s="10"/>
    </row>
    <row r="103" spans="1:13" ht="15.5">
      <c r="A103" s="12"/>
      <c r="B103" s="12"/>
      <c r="E103" s="14"/>
      <c r="M103" s="15"/>
    </row>
    <row r="104" spans="1:13">
      <c r="A104" s="12"/>
      <c r="E104" s="10"/>
    </row>
  </sheetData>
  <sheetProtection algorithmName="SHA-512" hashValue="6WlSlXXZxCj1rB4tHqC+jUEvZpcSmMYwXv3Ts7AdWM2rQkmZJLHG+if9+FcW5HhN/CFFHlti/aIcyPb+LSgwOw==" saltValue="x1GGwe0eo+imIpkDG3OWfw==" spinCount="100000" sheet="1" objects="1" scenarios="1"/>
  <mergeCells count="4">
    <mergeCell ref="F4:I4"/>
    <mergeCell ref="C20:M20"/>
    <mergeCell ref="A2:M2"/>
    <mergeCell ref="C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9"/>
  <sheetViews>
    <sheetView zoomScaleNormal="100" workbookViewId="0">
      <selection activeCell="G8" sqref="G8"/>
    </sheetView>
  </sheetViews>
  <sheetFormatPr baseColWidth="10" defaultColWidth="8.7265625" defaultRowHeight="14.5"/>
  <cols>
    <col min="1" max="1" width="25.1796875" bestFit="1" customWidth="1"/>
    <col min="2" max="2" width="18.453125" customWidth="1"/>
    <col min="3" max="3" width="15.1796875" bestFit="1" customWidth="1"/>
    <col min="4" max="4" width="11.453125" customWidth="1"/>
    <col min="5" max="6" width="12.54296875" bestFit="1" customWidth="1"/>
    <col min="7" max="10" width="11.453125" customWidth="1"/>
    <col min="11" max="11" width="15.1796875" bestFit="1" customWidth="1"/>
    <col min="12" max="13" width="11.453125" customWidth="1"/>
    <col min="14" max="14" width="14.453125" bestFit="1" customWidth="1"/>
    <col min="15" max="256" width="11.453125" customWidth="1"/>
  </cols>
  <sheetData>
    <row r="2" spans="1:14" s="202" customFormat="1" ht="21">
      <c r="A2" s="201" t="s">
        <v>86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4" s="202" customFormat="1"/>
    <row r="4" spans="1:14" s="202" customFormat="1" ht="15" thickBot="1"/>
    <row r="5" spans="1:14" s="208" customFormat="1" ht="44" thickBot="1">
      <c r="A5" s="203" t="s">
        <v>87</v>
      </c>
      <c r="B5" s="204" t="s">
        <v>88</v>
      </c>
      <c r="C5" s="205" t="s">
        <v>89</v>
      </c>
      <c r="D5" s="206" t="s">
        <v>90</v>
      </c>
      <c r="E5" s="206" t="s">
        <v>91</v>
      </c>
      <c r="F5" s="206" t="s">
        <v>92</v>
      </c>
      <c r="G5" s="207" t="s">
        <v>93</v>
      </c>
      <c r="I5" s="209" t="s">
        <v>60</v>
      </c>
      <c r="J5" s="210" t="s">
        <v>94</v>
      </c>
      <c r="L5" s="211" t="s">
        <v>95</v>
      </c>
      <c r="M5" s="212"/>
      <c r="N5" s="213"/>
    </row>
    <row r="6" spans="1:14" s="202" customFormat="1">
      <c r="A6" s="214" t="s">
        <v>12</v>
      </c>
      <c r="B6" s="215">
        <f>'Monitored Datas'!H6</f>
        <v>2614.4494500000001</v>
      </c>
      <c r="C6" s="216">
        <f>'Monitored Datas'!B6</f>
        <v>0.39100000000000001</v>
      </c>
      <c r="D6" s="217">
        <f>C6*$M$7*(1+$M$6)</f>
        <v>0.60996000000000006</v>
      </c>
      <c r="E6" s="217">
        <f>B6*$M$8*PEy!I6</f>
        <v>130.72247250000001</v>
      </c>
      <c r="F6" s="217">
        <f>B6*$M$9*PEy!J6</f>
        <v>155.82118722000001</v>
      </c>
      <c r="G6" s="218">
        <f>D6+E6+F6</f>
        <v>287.15361972000005</v>
      </c>
      <c r="I6" s="219">
        <v>25</v>
      </c>
      <c r="J6" s="220">
        <v>298</v>
      </c>
      <c r="L6" s="221" t="s">
        <v>96</v>
      </c>
      <c r="M6" s="90">
        <v>0.2</v>
      </c>
      <c r="N6" s="222"/>
    </row>
    <row r="7" spans="1:14" s="202" customFormat="1">
      <c r="A7" s="104" t="s">
        <v>13</v>
      </c>
      <c r="B7" s="223">
        <f>'Monitored Datas'!H7</f>
        <v>2848.5081913599997</v>
      </c>
      <c r="C7" s="224">
        <f>'Monitored Datas'!B7</f>
        <v>0.36399999999999999</v>
      </c>
      <c r="D7" s="225">
        <f t="shared" ref="D7:D16" si="0">C7*$M$7*(1+$M$6)</f>
        <v>0.56784000000000001</v>
      </c>
      <c r="E7" s="225">
        <f>B7*$M$8*PEy!I7</f>
        <v>142.42540956799999</v>
      </c>
      <c r="F7" s="225">
        <f>B7*$M$9*PEy!J7</f>
        <v>169.77108820505597</v>
      </c>
      <c r="G7" s="226">
        <f t="shared" ref="G7:G14" si="1">D7+E7+F7</f>
        <v>312.76433777305596</v>
      </c>
      <c r="I7" s="219">
        <v>25</v>
      </c>
      <c r="J7" s="220">
        <v>298</v>
      </c>
      <c r="L7" s="227" t="s">
        <v>97</v>
      </c>
      <c r="M7" s="119">
        <v>1.3</v>
      </c>
      <c r="N7" s="228" t="s">
        <v>98</v>
      </c>
    </row>
    <row r="8" spans="1:14" s="202" customFormat="1">
      <c r="A8" s="104" t="s">
        <v>14</v>
      </c>
      <c r="B8" s="223">
        <f>'Monitored Datas'!H8</f>
        <v>1941.0430100000001</v>
      </c>
      <c r="C8" s="224">
        <f>'Monitored Datas'!B8</f>
        <v>0.66300000000000003</v>
      </c>
      <c r="D8" s="225">
        <f>C8*$M$7*(1+$M$6)</f>
        <v>1.0342800000000001</v>
      </c>
      <c r="E8" s="225">
        <f>B8*$M$8*PEy!I8</f>
        <v>97.05215050000001</v>
      </c>
      <c r="F8" s="225">
        <f>B8*$M$9*PEy!J8</f>
        <v>115.686163396</v>
      </c>
      <c r="G8" s="226">
        <f t="shared" si="1"/>
        <v>213.77259389599999</v>
      </c>
      <c r="I8" s="219">
        <v>25</v>
      </c>
      <c r="J8" s="220">
        <v>298</v>
      </c>
      <c r="L8" s="229" t="s">
        <v>99</v>
      </c>
      <c r="M8" s="230">
        <v>2E-3</v>
      </c>
      <c r="N8" s="231" t="s">
        <v>100</v>
      </c>
    </row>
    <row r="9" spans="1:14" s="233" customFormat="1" ht="15" thickBot="1">
      <c r="A9" s="232" t="s">
        <v>15</v>
      </c>
      <c r="B9" s="223">
        <f>'Monitored Datas'!H9</f>
        <v>2722.3520800000001</v>
      </c>
      <c r="C9" s="224">
        <f>'Monitored Datas'!B9</f>
        <v>0.82299999999999995</v>
      </c>
      <c r="D9" s="225">
        <f t="shared" si="0"/>
        <v>1.2838800000000001</v>
      </c>
      <c r="E9" s="225">
        <f>B9*$M$8*PEy!I9</f>
        <v>136.11760400000003</v>
      </c>
      <c r="F9" s="225">
        <f>B9*$M$9*PEy!J9</f>
        <v>162.252183968</v>
      </c>
      <c r="G9" s="226">
        <f t="shared" si="1"/>
        <v>299.65366796800004</v>
      </c>
      <c r="I9" s="219">
        <v>25</v>
      </c>
      <c r="J9" s="220">
        <v>298</v>
      </c>
      <c r="L9" s="234" t="s">
        <v>101</v>
      </c>
      <c r="M9" s="126">
        <v>2.0000000000000001E-4</v>
      </c>
      <c r="N9" s="235" t="s">
        <v>102</v>
      </c>
    </row>
    <row r="10" spans="1:14" s="236" customFormat="1">
      <c r="A10" s="104" t="s">
        <v>16</v>
      </c>
      <c r="B10" s="224">
        <f>'Monitored Datas'!H10</f>
        <v>4643.8119268277369</v>
      </c>
      <c r="C10" s="224">
        <f>'Monitored Datas'!B10</f>
        <v>0.90900000000000003</v>
      </c>
      <c r="D10" s="225">
        <f>C10*$M$7*(1+$M$6)</f>
        <v>1.41804</v>
      </c>
      <c r="E10" s="225">
        <f>B10*$M$8*PEy!I10</f>
        <v>260.05346790235325</v>
      </c>
      <c r="F10" s="225">
        <f>B10*$M$9*PEy!J10</f>
        <v>246.12203212187006</v>
      </c>
      <c r="G10" s="226">
        <f>D10+E10+F10</f>
        <v>507.59354002422333</v>
      </c>
      <c r="I10" s="151">
        <v>28</v>
      </c>
      <c r="J10" s="120">
        <v>265</v>
      </c>
    </row>
    <row r="11" spans="1:14" s="202" customFormat="1">
      <c r="A11" s="237" t="s">
        <v>17</v>
      </c>
      <c r="B11" s="238">
        <f>'Monitored Datas'!H11</f>
        <v>3919.928868815075</v>
      </c>
      <c r="C11" s="239">
        <f>'Monitored Datas'!B11</f>
        <v>0.98799999999999999</v>
      </c>
      <c r="D11" s="240">
        <f>C11*$M$7*(1+$M$6)</f>
        <v>1.54128</v>
      </c>
      <c r="E11" s="240">
        <f>B11*$M$8*PEy!I11</f>
        <v>219.51601665364421</v>
      </c>
      <c r="F11" s="240">
        <f>B11*$M$9*PEy!J11</f>
        <v>207.75623004719898</v>
      </c>
      <c r="G11" s="241">
        <f>D11+E11+F11</f>
        <v>428.81352670084323</v>
      </c>
      <c r="I11" s="242">
        <v>28</v>
      </c>
      <c r="J11" s="112">
        <v>265</v>
      </c>
    </row>
    <row r="12" spans="1:14" s="202" customFormat="1">
      <c r="A12" s="117" t="s">
        <v>18</v>
      </c>
      <c r="B12" s="243">
        <f>'Monitored Datas'!H12</f>
        <v>0</v>
      </c>
      <c r="C12" s="244">
        <f>'Monitored Datas'!B12</f>
        <v>0</v>
      </c>
      <c r="D12" s="245">
        <f t="shared" si="0"/>
        <v>0</v>
      </c>
      <c r="E12" s="245">
        <f>B12*$M$8*PEy!I12</f>
        <v>0</v>
      </c>
      <c r="F12" s="245">
        <f>B12*$M$9*PEy!J12</f>
        <v>0</v>
      </c>
      <c r="G12" s="246">
        <f t="shared" si="1"/>
        <v>0</v>
      </c>
      <c r="I12" s="151">
        <v>28</v>
      </c>
      <c r="J12" s="120">
        <v>265</v>
      </c>
    </row>
    <row r="13" spans="1:14" s="202" customFormat="1">
      <c r="A13" s="117" t="s">
        <v>19</v>
      </c>
      <c r="B13" s="243">
        <f>'Monitored Datas'!H13</f>
        <v>0</v>
      </c>
      <c r="C13" s="244">
        <f>'Monitored Datas'!B13</f>
        <v>0</v>
      </c>
      <c r="D13" s="245">
        <f t="shared" si="0"/>
        <v>0</v>
      </c>
      <c r="E13" s="245">
        <f>B13*$M$8*PEy!I13</f>
        <v>0</v>
      </c>
      <c r="F13" s="245">
        <f>B13*$M$9*PEy!J13</f>
        <v>0</v>
      </c>
      <c r="G13" s="246">
        <f t="shared" si="1"/>
        <v>0</v>
      </c>
      <c r="I13" s="151">
        <v>28</v>
      </c>
      <c r="J13" s="120">
        <v>265</v>
      </c>
    </row>
    <row r="14" spans="1:14" s="202" customFormat="1">
      <c r="A14" s="117" t="s">
        <v>20</v>
      </c>
      <c r="B14" s="243">
        <f>'Monitored Datas'!H14</f>
        <v>0</v>
      </c>
      <c r="C14" s="244">
        <f>'Monitored Datas'!B14</f>
        <v>0</v>
      </c>
      <c r="D14" s="245">
        <f t="shared" si="0"/>
        <v>0</v>
      </c>
      <c r="E14" s="245">
        <f>B14*$M$8*PEy!I14</f>
        <v>0</v>
      </c>
      <c r="F14" s="245">
        <f>B14*$M$9*PEy!J14</f>
        <v>0</v>
      </c>
      <c r="G14" s="246">
        <f t="shared" si="1"/>
        <v>0</v>
      </c>
      <c r="I14" s="151">
        <v>28</v>
      </c>
      <c r="J14" s="120">
        <v>265</v>
      </c>
    </row>
    <row r="15" spans="1:14" s="202" customFormat="1" ht="15" thickBot="1">
      <c r="A15" s="117" t="s">
        <v>21</v>
      </c>
      <c r="B15" s="243">
        <f>'Monitored Datas'!H15</f>
        <v>0</v>
      </c>
      <c r="C15" s="244">
        <f>'Monitored Datas'!B15</f>
        <v>0</v>
      </c>
      <c r="D15" s="245">
        <f t="shared" si="0"/>
        <v>0</v>
      </c>
      <c r="E15" s="245">
        <f>B15*$M$8*PEy!I15</f>
        <v>0</v>
      </c>
      <c r="F15" s="245">
        <f>B15*$M$9*PEy!J15</f>
        <v>0</v>
      </c>
      <c r="G15" s="246">
        <f>D15+E15+F15</f>
        <v>0</v>
      </c>
      <c r="I15" s="247">
        <v>28</v>
      </c>
      <c r="J15" s="127">
        <v>265</v>
      </c>
    </row>
    <row r="16" spans="1:14" s="202" customFormat="1" ht="15" thickBot="1">
      <c r="A16" s="248" t="s">
        <v>22</v>
      </c>
      <c r="B16" s="249" t="e">
        <f>'Monitored Datas'!H16</f>
        <v>#DIV/0!</v>
      </c>
      <c r="C16" s="250">
        <f>'Monitored Datas'!B16</f>
        <v>0</v>
      </c>
      <c r="D16" s="251">
        <f t="shared" si="0"/>
        <v>0</v>
      </c>
      <c r="E16" s="251" t="e">
        <f>B16*$M$8*'Monitored Datas'!K16</f>
        <v>#DIV/0!</v>
      </c>
      <c r="F16" s="251" t="e">
        <f>B16*$M$9*'Monitored Datas'!L16</f>
        <v>#DIV/0!</v>
      </c>
      <c r="G16" s="252" t="e">
        <f>D16+E16+F16</f>
        <v>#DIV/0!</v>
      </c>
    </row>
    <row r="17" spans="1:7" s="202" customFormat="1" ht="15" thickBot="1">
      <c r="A17" s="253" t="s">
        <v>40</v>
      </c>
      <c r="B17" s="254">
        <f t="shared" ref="B17:G17" si="2">SUM(B6:B15)</f>
        <v>18690.093527002813</v>
      </c>
      <c r="C17" s="254">
        <f t="shared" si="2"/>
        <v>4.1379999999999999</v>
      </c>
      <c r="D17" s="254">
        <f t="shared" si="2"/>
        <v>6.4552800000000001</v>
      </c>
      <c r="E17" s="254">
        <f t="shared" si="2"/>
        <v>985.88712112399742</v>
      </c>
      <c r="F17" s="254">
        <f t="shared" si="2"/>
        <v>1057.4088849581249</v>
      </c>
      <c r="G17" s="255">
        <f t="shared" si="2"/>
        <v>2049.7512860821225</v>
      </c>
    </row>
    <row r="18" spans="1:7" s="202" customFormat="1"/>
    <row r="19" spans="1:7" s="202" customFormat="1">
      <c r="G19" s="256"/>
    </row>
  </sheetData>
  <sheetProtection algorithmName="SHA-512" hashValue="W8r04lYN7bv2LBlfIuUWN9LFoRJgnc9kYa/dakimuD9hN3tClTMtabJ1w1sFFC/m72Zkm5URQVDzzve+iSNphg==" saltValue="yqKOUO4c9HSFO3HuLwQnWQ==" spinCount="100000" sheet="1" objects="1" scenarios="1"/>
  <mergeCells count="2">
    <mergeCell ref="L5:N5"/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B2A76-3271-4418-B648-F89BAB84C49C}">
  <dimension ref="A1:U55"/>
  <sheetViews>
    <sheetView topLeftCell="D37" zoomScale="70" zoomScaleNormal="70" workbookViewId="0">
      <selection activeCell="I52" sqref="I52"/>
    </sheetView>
  </sheetViews>
  <sheetFormatPr baseColWidth="10" defaultColWidth="8.7265625" defaultRowHeight="14.5"/>
  <cols>
    <col min="1" max="1" width="19.7265625" bestFit="1" customWidth="1"/>
    <col min="2" max="2" width="40.453125" bestFit="1" customWidth="1"/>
    <col min="3" max="3" width="11.453125" customWidth="1"/>
    <col min="4" max="4" width="14.54296875" bestFit="1" customWidth="1"/>
    <col min="5" max="6" width="12.54296875" bestFit="1" customWidth="1"/>
    <col min="7" max="9" width="12.26953125" bestFit="1" customWidth="1"/>
    <col min="10" max="10" width="12.54296875" bestFit="1" customWidth="1"/>
    <col min="11" max="11" width="12.26953125" bestFit="1" customWidth="1"/>
    <col min="12" max="13" width="12.54296875" bestFit="1" customWidth="1"/>
    <col min="14" max="14" width="12.26953125" bestFit="1" customWidth="1"/>
    <col min="15" max="16" width="12.54296875" bestFit="1" customWidth="1"/>
    <col min="17" max="19" width="11.453125" customWidth="1"/>
    <col min="20" max="20" width="32.54296875" customWidth="1"/>
    <col min="21" max="256" width="11.453125" customWidth="1"/>
  </cols>
  <sheetData>
    <row r="1" spans="1:21" s="202" customFormat="1">
      <c r="A1" s="257"/>
      <c r="B1" s="258"/>
      <c r="D1" s="259"/>
      <c r="E1" s="260">
        <v>2022</v>
      </c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T1" s="262"/>
      <c r="U1" s="262"/>
    </row>
    <row r="2" spans="1:21" s="202" customFormat="1">
      <c r="A2" s="263" t="s">
        <v>103</v>
      </c>
      <c r="B2" s="263" t="s">
        <v>104</v>
      </c>
      <c r="D2" s="259" t="s">
        <v>105</v>
      </c>
      <c r="E2" s="264" t="s">
        <v>106</v>
      </c>
      <c r="F2" s="264" t="s">
        <v>107</v>
      </c>
      <c r="G2" s="265" t="s">
        <v>108</v>
      </c>
      <c r="H2" s="265" t="s">
        <v>109</v>
      </c>
      <c r="I2" s="265" t="s">
        <v>110</v>
      </c>
      <c r="J2" s="265" t="s">
        <v>111</v>
      </c>
      <c r="K2" s="265" t="s">
        <v>112</v>
      </c>
      <c r="L2" s="265" t="s">
        <v>113</v>
      </c>
      <c r="M2" s="265" t="s">
        <v>114</v>
      </c>
      <c r="N2" s="265" t="s">
        <v>115</v>
      </c>
      <c r="O2" s="265" t="s">
        <v>116</v>
      </c>
      <c r="P2" s="265" t="s">
        <v>117</v>
      </c>
      <c r="R2" s="265" t="s">
        <v>40</v>
      </c>
      <c r="T2" s="262"/>
      <c r="U2" s="262"/>
    </row>
    <row r="3" spans="1:21" s="202" customFormat="1" ht="23">
      <c r="A3" s="266" t="s">
        <v>118</v>
      </c>
      <c r="B3" s="266" t="s">
        <v>119</v>
      </c>
      <c r="C3" s="266" t="s">
        <v>120</v>
      </c>
      <c r="D3" s="267">
        <v>27</v>
      </c>
      <c r="T3" s="262"/>
      <c r="U3" s="262"/>
    </row>
    <row r="4" spans="1:21" s="202" customFormat="1" ht="23">
      <c r="A4" s="266" t="s">
        <v>121</v>
      </c>
      <c r="B4" s="266" t="s">
        <v>122</v>
      </c>
      <c r="C4" s="266"/>
      <c r="D4" s="267">
        <v>273</v>
      </c>
      <c r="T4" s="262"/>
      <c r="U4" s="262"/>
    </row>
    <row r="5" spans="1:21" s="202" customFormat="1" ht="23">
      <c r="A5" s="268" t="s">
        <v>61</v>
      </c>
      <c r="B5" s="266" t="s">
        <v>123</v>
      </c>
      <c r="C5" s="266"/>
      <c r="D5" s="267">
        <v>0</v>
      </c>
      <c r="T5" s="262"/>
      <c r="U5" s="262"/>
    </row>
    <row r="6" spans="1:21" s="202" customFormat="1" ht="29">
      <c r="A6" s="269" t="s">
        <v>124</v>
      </c>
      <c r="B6" s="270" t="s">
        <v>148</v>
      </c>
      <c r="C6" s="270" t="s">
        <v>149</v>
      </c>
      <c r="D6" s="271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T6" s="262"/>
      <c r="U6" s="273"/>
    </row>
    <row r="7" spans="1:21" s="202" customFormat="1" ht="29">
      <c r="A7" s="269" t="s">
        <v>125</v>
      </c>
      <c r="B7" s="269" t="s">
        <v>126</v>
      </c>
      <c r="C7" s="270"/>
      <c r="D7" s="274">
        <f>SUM(E7:P7)</f>
        <v>2717.611205285637</v>
      </c>
      <c r="E7" s="275">
        <f>E10*(1-E23)</f>
        <v>271.60982661654134</v>
      </c>
      <c r="F7" s="275">
        <f>F10*(1-F23)</f>
        <v>181.97357121518243</v>
      </c>
      <c r="G7" s="275">
        <f>G10*(1-G23)</f>
        <v>122.89532003292649</v>
      </c>
      <c r="H7" s="275">
        <f t="shared" ref="H7:P7" si="0">H10*(1-H23)</f>
        <v>89.54190628247521</v>
      </c>
      <c r="I7" s="275">
        <f t="shared" si="0"/>
        <v>127.97061655753041</v>
      </c>
      <c r="J7" s="275">
        <f t="shared" si="0"/>
        <v>117.38999041964817</v>
      </c>
      <c r="K7" s="275">
        <f t="shared" si="0"/>
        <v>165.08471528976574</v>
      </c>
      <c r="L7" s="275">
        <f t="shared" si="0"/>
        <v>175.13314534658079</v>
      </c>
      <c r="M7" s="275">
        <f t="shared" si="0"/>
        <v>387.40914934508436</v>
      </c>
      <c r="N7" s="275">
        <f t="shared" si="0"/>
        <v>373.92381392718119</v>
      </c>
      <c r="O7" s="275">
        <f t="shared" si="0"/>
        <v>358.77227896946567</v>
      </c>
      <c r="P7" s="275">
        <f t="shared" si="0"/>
        <v>345.90687128325504</v>
      </c>
      <c r="Q7" s="272"/>
      <c r="R7" s="272"/>
      <c r="T7" s="79"/>
      <c r="U7" s="273"/>
    </row>
    <row r="8" spans="1:21" s="202" customFormat="1" ht="29">
      <c r="A8" s="269" t="s">
        <v>127</v>
      </c>
      <c r="B8" s="269" t="s">
        <v>128</v>
      </c>
      <c r="C8" s="272"/>
      <c r="D8" s="274">
        <f>ROUNDDOWN(SUM(E8:P8),0)</f>
        <v>1202</v>
      </c>
      <c r="E8" s="276">
        <f>E11*(1-E34)</f>
        <v>75.739824678777126</v>
      </c>
      <c r="F8" s="276">
        <f>F11*(1-F34)</f>
        <v>60.775356476768998</v>
      </c>
      <c r="G8" s="276">
        <f>G11*(1-G34)</f>
        <v>95.005563353801847</v>
      </c>
      <c r="H8" s="276">
        <f t="shared" ref="H8:P8" si="1">H11*(1-H34)</f>
        <v>59.420557522529407</v>
      </c>
      <c r="I8" s="276">
        <f t="shared" si="1"/>
        <v>65.097585698365535</v>
      </c>
      <c r="J8" s="276">
        <f t="shared" si="1"/>
        <v>147.01050255747572</v>
      </c>
      <c r="K8" s="276">
        <f t="shared" si="1"/>
        <v>130.2447009151922</v>
      </c>
      <c r="L8" s="276">
        <f t="shared" si="1"/>
        <v>82.277351927608777</v>
      </c>
      <c r="M8" s="276">
        <f>M11*(1-M34)</f>
        <v>140.48426494169649</v>
      </c>
      <c r="N8" s="276">
        <f>N11*(1-N34)</f>
        <v>124.76430582553577</v>
      </c>
      <c r="O8" s="276">
        <f>O11*(1-O34)</f>
        <v>114.64997999465096</v>
      </c>
      <c r="P8" s="276">
        <f t="shared" si="1"/>
        <v>106.84766963703544</v>
      </c>
      <c r="Q8" s="272"/>
      <c r="R8" s="272"/>
      <c r="T8" s="79"/>
      <c r="U8" s="273"/>
    </row>
    <row r="9" spans="1:21" s="202" customFormat="1">
      <c r="A9" s="269" t="s">
        <v>124</v>
      </c>
      <c r="B9" s="269"/>
      <c r="C9" s="277">
        <f>D7+D8</f>
        <v>3919.611205285637</v>
      </c>
      <c r="D9" s="278">
        <f>SUM(E9:P9)</f>
        <v>3919.928868815075</v>
      </c>
      <c r="E9" s="279">
        <f>SUM(E7:E8)</f>
        <v>347.34965129531849</v>
      </c>
      <c r="F9" s="279">
        <f t="shared" ref="F9:P9" si="2">SUM(F7:F8)</f>
        <v>242.74892769195142</v>
      </c>
      <c r="G9" s="279">
        <f t="shared" si="2"/>
        <v>217.90088338672834</v>
      </c>
      <c r="H9" s="279">
        <f t="shared" si="2"/>
        <v>148.96246380500463</v>
      </c>
      <c r="I9" s="279">
        <f t="shared" si="2"/>
        <v>193.06820225589593</v>
      </c>
      <c r="J9" s="279">
        <f t="shared" si="2"/>
        <v>264.40049297712392</v>
      </c>
      <c r="K9" s="279">
        <f t="shared" si="2"/>
        <v>295.32941620495797</v>
      </c>
      <c r="L9" s="279">
        <f t="shared" si="2"/>
        <v>257.41049727418954</v>
      </c>
      <c r="M9" s="279">
        <f t="shared" si="2"/>
        <v>527.89341428678085</v>
      </c>
      <c r="N9" s="279">
        <f t="shared" si="2"/>
        <v>498.68811975271694</v>
      </c>
      <c r="O9" s="279">
        <f t="shared" si="2"/>
        <v>473.42225896411662</v>
      </c>
      <c r="P9" s="279">
        <f t="shared" si="2"/>
        <v>452.75454092029048</v>
      </c>
      <c r="Q9" s="272"/>
      <c r="R9" s="272"/>
      <c r="T9" s="79"/>
      <c r="U9" s="273"/>
    </row>
    <row r="10" spans="1:21" s="202" customFormat="1" ht="29">
      <c r="A10" s="270"/>
      <c r="B10" s="280" t="s">
        <v>129</v>
      </c>
      <c r="C10" s="272"/>
      <c r="D10" s="274">
        <f>ROUNDDOWN(SUM(E10:P10),0)</f>
        <v>2737</v>
      </c>
      <c r="E10" s="281">
        <v>274.9171</v>
      </c>
      <c r="F10" s="281">
        <v>185.62560000000002</v>
      </c>
      <c r="G10" s="281">
        <v>123.8758</v>
      </c>
      <c r="H10" s="281">
        <v>89.700800000000015</v>
      </c>
      <c r="I10" s="281">
        <v>128.37090000000001</v>
      </c>
      <c r="J10" s="281">
        <v>117.8503</v>
      </c>
      <c r="K10" s="281">
        <v>165.85160000000002</v>
      </c>
      <c r="L10" s="281">
        <v>175.81550000000001</v>
      </c>
      <c r="M10" s="281">
        <v>390.07643999999999</v>
      </c>
      <c r="N10" s="281">
        <v>375.93246000000005</v>
      </c>
      <c r="O10" s="281">
        <v>361.94970000000001</v>
      </c>
      <c r="P10" s="281">
        <v>347.26549999999997</v>
      </c>
      <c r="Q10" s="282"/>
      <c r="R10" s="272"/>
      <c r="T10" s="262"/>
      <c r="U10" s="273"/>
    </row>
    <row r="11" spans="1:21" s="202" customFormat="1" ht="29">
      <c r="A11" s="270"/>
      <c r="B11" s="280" t="s">
        <v>130</v>
      </c>
      <c r="C11" s="272"/>
      <c r="D11" s="283">
        <f>ROUNDDOWN(SUM(E11:P11),0)</f>
        <v>1219</v>
      </c>
      <c r="E11" s="281">
        <v>77.193399999999997</v>
      </c>
      <c r="F11" s="281">
        <v>62.520299999999992</v>
      </c>
      <c r="G11" s="281">
        <v>96.46820000000001</v>
      </c>
      <c r="H11" s="281">
        <v>59.749099999999999</v>
      </c>
      <c r="I11" s="281">
        <v>65.955100000000002</v>
      </c>
      <c r="J11" s="281">
        <v>148.58670000000001</v>
      </c>
      <c r="K11" s="281">
        <v>131.4477</v>
      </c>
      <c r="L11" s="281">
        <v>83.060299999999998</v>
      </c>
      <c r="M11" s="281">
        <v>142.4383</v>
      </c>
      <c r="N11" s="281">
        <v>125.9044</v>
      </c>
      <c r="O11" s="281">
        <v>116.99679999999998</v>
      </c>
      <c r="P11" s="281">
        <v>109.343</v>
      </c>
      <c r="Q11" s="282"/>
      <c r="R11" s="272"/>
      <c r="T11" s="262"/>
      <c r="U11" s="273"/>
    </row>
    <row r="12" spans="1:21" s="202" customFormat="1">
      <c r="A12" s="272"/>
      <c r="B12" s="284" t="s">
        <v>150</v>
      </c>
      <c r="C12" s="285"/>
      <c r="D12" s="286">
        <f>SUM(E12:P12)</f>
        <v>3956.895</v>
      </c>
      <c r="E12" s="287">
        <f>SUM(E10:E11)</f>
        <v>352.1105</v>
      </c>
      <c r="F12" s="287">
        <f>SUM(F10:F11)</f>
        <v>248.14590000000001</v>
      </c>
      <c r="G12" s="287">
        <f>SUM(G10:G11)</f>
        <v>220.34399999999999</v>
      </c>
      <c r="H12" s="287">
        <f t="shared" ref="H12:P12" si="3">SUM(H10:H11)</f>
        <v>149.44990000000001</v>
      </c>
      <c r="I12" s="287">
        <f t="shared" si="3"/>
        <v>194.32600000000002</v>
      </c>
      <c r="J12" s="287">
        <f t="shared" si="3"/>
        <v>266.43700000000001</v>
      </c>
      <c r="K12" s="287">
        <f t="shared" si="3"/>
        <v>297.29930000000002</v>
      </c>
      <c r="L12" s="287">
        <f t="shared" si="3"/>
        <v>258.87580000000003</v>
      </c>
      <c r="M12" s="287">
        <f t="shared" si="3"/>
        <v>532.51473999999996</v>
      </c>
      <c r="N12" s="287">
        <f>SUM(N10:N11)</f>
        <v>501.83686000000006</v>
      </c>
      <c r="O12" s="287">
        <f>SUM(O10:O11)</f>
        <v>478.94650000000001</v>
      </c>
      <c r="P12" s="287">
        <f t="shared" si="3"/>
        <v>456.60849999999999</v>
      </c>
      <c r="Q12" s="272"/>
      <c r="R12" s="272"/>
      <c r="T12" s="262"/>
      <c r="U12" s="262"/>
    </row>
    <row r="13" spans="1:21" s="202" customFormat="1">
      <c r="T13" s="262"/>
      <c r="U13" s="262"/>
    </row>
    <row r="14" spans="1:21" s="202" customFormat="1">
      <c r="A14" s="269"/>
      <c r="B14" s="288" t="s">
        <v>132</v>
      </c>
      <c r="C14" s="272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90"/>
      <c r="R14" s="271"/>
      <c r="T14" s="262"/>
      <c r="U14" s="262"/>
    </row>
    <row r="15" spans="1:21" s="202" customFormat="1">
      <c r="A15" s="270"/>
      <c r="B15" s="291" t="s">
        <v>133</v>
      </c>
      <c r="C15" s="272"/>
      <c r="D15" s="292">
        <f>SUM(G15:P15)</f>
        <v>0.28664148641666848</v>
      </c>
      <c r="E15" s="293">
        <v>2.5563909774436101E-2</v>
      </c>
      <c r="F15" s="293">
        <v>2.4971056275680501E-2</v>
      </c>
      <c r="G15" s="293">
        <v>3.0077092336673474E-2</v>
      </c>
      <c r="H15" s="293">
        <v>1.5745551881593451E-2</v>
      </c>
      <c r="I15" s="293">
        <v>3.0402245088868102E-2</v>
      </c>
      <c r="J15" s="293">
        <v>5.0776489704090239E-2</v>
      </c>
      <c r="K15" s="293">
        <v>1.155980271270037E-2</v>
      </c>
      <c r="L15" s="293">
        <v>2.7167585189784984E-2</v>
      </c>
      <c r="M15" s="293">
        <v>1.6714784987084029E-2</v>
      </c>
      <c r="N15" s="293">
        <v>3.0532020456453708E-2</v>
      </c>
      <c r="O15" s="293">
        <v>2.6717557251908396E-2</v>
      </c>
      <c r="P15" s="293">
        <v>4.6948356807511735E-2</v>
      </c>
      <c r="Q15" s="272"/>
      <c r="R15" s="272"/>
      <c r="T15" s="262"/>
      <c r="U15" s="262"/>
    </row>
    <row r="16" spans="1:21" s="202" customFormat="1" ht="43.5">
      <c r="A16" s="270"/>
      <c r="B16" s="294" t="s">
        <v>134</v>
      </c>
      <c r="C16" s="270" t="s">
        <v>135</v>
      </c>
      <c r="D16" s="272"/>
      <c r="E16" s="272"/>
      <c r="F16" s="272"/>
      <c r="G16" s="271"/>
      <c r="H16" s="271"/>
      <c r="I16" s="271"/>
      <c r="J16" s="271"/>
      <c r="K16" s="271"/>
      <c r="L16" s="271"/>
      <c r="M16" s="271"/>
      <c r="N16" s="271"/>
      <c r="O16" s="271"/>
      <c r="P16" s="272"/>
      <c r="Q16" s="272"/>
      <c r="R16" s="282" t="s">
        <v>136</v>
      </c>
      <c r="S16" s="273" t="s">
        <v>137</v>
      </c>
      <c r="T16" s="295" t="s">
        <v>134</v>
      </c>
      <c r="U16" s="296"/>
    </row>
    <row r="17" spans="1:21" s="202" customFormat="1">
      <c r="A17" s="270"/>
      <c r="B17" s="272"/>
      <c r="C17" s="270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0"/>
      <c r="R17" s="271">
        <f>SUM(R18:R23)</f>
        <v>2737.2316999999998</v>
      </c>
      <c r="S17" s="202">
        <f>SUM(S18:S23)</f>
        <v>0</v>
      </c>
      <c r="T17" s="298">
        <f>S17+R17</f>
        <v>2737.2316999999998</v>
      </c>
      <c r="U17" s="299"/>
    </row>
    <row r="18" spans="1:21" s="202" customFormat="1">
      <c r="A18" s="270"/>
      <c r="B18" s="294" t="s">
        <v>34</v>
      </c>
      <c r="C18" s="272"/>
      <c r="D18" s="300"/>
      <c r="E18" s="301">
        <v>2.6315789473684199E-2</v>
      </c>
      <c r="F18" s="302">
        <v>8.3236854252268216E-3</v>
      </c>
      <c r="G18" s="302">
        <v>4.4324136075097748E-2</v>
      </c>
      <c r="H18" s="302">
        <v>6.2982207526373806E-3</v>
      </c>
      <c r="I18" s="302">
        <v>6.2363579669473031E-3</v>
      </c>
      <c r="J18" s="302">
        <v>9.3741211761397391E-3</v>
      </c>
      <c r="K18" s="302">
        <v>4.7780517879161535E-3</v>
      </c>
      <c r="L18" s="302">
        <v>3.8810835985407122E-3</v>
      </c>
      <c r="M18" s="302">
        <v>1.1396444309375475E-2</v>
      </c>
      <c r="N18" s="301">
        <v>1.3739409205404167E-2</v>
      </c>
      <c r="O18" s="301">
        <v>3.8167938931297708E-3</v>
      </c>
      <c r="P18" s="302">
        <v>1.4866979655711999E-2</v>
      </c>
      <c r="Q18" s="290"/>
      <c r="R18" s="271">
        <f>G18*$G$10+H18*$H$10+I18*$I$10+J18*$J$10+K18*$K$10+L18*$L$10+M18*$M$10+N18*$N$10+O18*$O$10+P18*$P$10+$E$10*E18+$F$10*F18</f>
        <v>34.370355803000635</v>
      </c>
      <c r="S18" s="267"/>
      <c r="T18" s="303">
        <f>(R18+S18)/$T$17</f>
        <v>1.255661177787786E-2</v>
      </c>
      <c r="U18" s="304"/>
    </row>
    <row r="19" spans="1:21" s="202" customFormat="1">
      <c r="A19" s="270"/>
      <c r="B19" s="294" t="s">
        <v>35</v>
      </c>
      <c r="C19" s="272"/>
      <c r="D19" s="300"/>
      <c r="E19" s="301">
        <v>3.7894736842105259E-2</v>
      </c>
      <c r="F19" s="302">
        <v>6.3562688701732081E-2</v>
      </c>
      <c r="G19" s="302">
        <v>4.4324136075097748E-2</v>
      </c>
      <c r="H19" s="302">
        <v>2.2043772634230831E-2</v>
      </c>
      <c r="I19" s="302">
        <v>7.0938571874025566E-2</v>
      </c>
      <c r="J19" s="302">
        <v>4.1011780145611354E-2</v>
      </c>
      <c r="K19" s="302">
        <v>1.4025893958076449E-2</v>
      </c>
      <c r="L19" s="302">
        <v>3.6404564154311883E-2</v>
      </c>
      <c r="M19" s="302">
        <v>4.9460568302689564E-2</v>
      </c>
      <c r="N19" s="301">
        <v>6.7857415464468357E-2</v>
      </c>
      <c r="O19" s="301">
        <v>5.7709923664122142E-2</v>
      </c>
      <c r="P19" s="302">
        <v>6.5179968701095464E-2</v>
      </c>
      <c r="Q19" s="290"/>
      <c r="R19" s="271">
        <f t="shared" ref="R19:R23" si="4">G19*$G$10+H19*$H$10+I19*$I$10+J19*$J$10+K19*$K$10+L19*$L$10+M19*$M$10+N19*$N$10+O19*$O$10+P19*$P$10+$E$10*E19+$F$10*F19</f>
        <v>140.67725926192639</v>
      </c>
      <c r="S19" s="267"/>
      <c r="T19" s="303">
        <f t="shared" ref="T19:T23" si="5">(R19+S19)/$T$17</f>
        <v>5.1393990235436192E-2</v>
      </c>
      <c r="U19" s="304"/>
    </row>
    <row r="20" spans="1:21" s="202" customFormat="1">
      <c r="A20" s="270"/>
      <c r="B20" s="294" t="s">
        <v>36</v>
      </c>
      <c r="C20" s="272"/>
      <c r="D20" s="300"/>
      <c r="E20" s="301">
        <v>4.9624060150375897E-2</v>
      </c>
      <c r="F20" s="302">
        <v>3.0494956603330993E-2</v>
      </c>
      <c r="G20" s="302">
        <v>5.1447657944309888E-2</v>
      </c>
      <c r="H20" s="302">
        <v>3.306565895134625E-2</v>
      </c>
      <c r="I20" s="302">
        <v>4.7006548175865297E-2</v>
      </c>
      <c r="J20" s="302">
        <v>3.1254882354779245E-2</v>
      </c>
      <c r="K20" s="302">
        <v>9.4790382244143045E-2</v>
      </c>
      <c r="L20" s="302">
        <v>1.2419467515330278E-2</v>
      </c>
      <c r="M20" s="302">
        <v>4.710530314541863E-2</v>
      </c>
      <c r="N20" s="301">
        <v>8.0146553698190987E-2</v>
      </c>
      <c r="O20" s="301">
        <v>5.3435114503816793E-2</v>
      </c>
      <c r="P20" s="302">
        <v>2.7386541471048513E-2</v>
      </c>
      <c r="Q20" s="290"/>
      <c r="R20" s="271">
        <f t="shared" si="4"/>
        <v>133.62020950732901</v>
      </c>
      <c r="S20" s="267"/>
      <c r="T20" s="303">
        <f t="shared" si="5"/>
        <v>4.8815819832617388E-2</v>
      </c>
      <c r="U20" s="304"/>
    </row>
    <row r="21" spans="1:21" s="202" customFormat="1">
      <c r="A21" s="270"/>
      <c r="B21" s="294" t="s">
        <v>37</v>
      </c>
      <c r="C21" s="272"/>
      <c r="D21" s="300"/>
      <c r="E21" s="301">
        <v>0.77864661654135336</v>
      </c>
      <c r="F21" s="302">
        <v>0.77939963527123868</v>
      </c>
      <c r="G21" s="302">
        <v>0.75509331813648661</v>
      </c>
      <c r="H21" s="302">
        <v>0.83825381829633128</v>
      </c>
      <c r="I21" s="302">
        <v>0.74446523230433426</v>
      </c>
      <c r="J21" s="302">
        <v>0.81437677717713963</v>
      </c>
      <c r="K21" s="302">
        <v>0.78768495684340323</v>
      </c>
      <c r="L21" s="302">
        <v>0.85779709694946826</v>
      </c>
      <c r="M21" s="302">
        <v>0.80458896824190851</v>
      </c>
      <c r="N21" s="301">
        <v>0.71757881077780328</v>
      </c>
      <c r="O21" s="301">
        <v>0.83809160305343511</v>
      </c>
      <c r="P21" s="302">
        <v>0.75172143974960881</v>
      </c>
      <c r="Q21" s="290"/>
      <c r="R21" s="271">
        <f t="shared" si="4"/>
        <v>2148.4709708322457</v>
      </c>
      <c r="S21" s="267"/>
      <c r="T21" s="303">
        <f t="shared" si="5"/>
        <v>0.78490650639193094</v>
      </c>
      <c r="U21" s="304"/>
    </row>
    <row r="22" spans="1:21" s="202" customFormat="1">
      <c r="A22" s="270"/>
      <c r="B22" s="294" t="s">
        <v>38</v>
      </c>
      <c r="C22" s="272"/>
      <c r="D22" s="300"/>
      <c r="E22" s="301">
        <v>9.5488721804511276E-2</v>
      </c>
      <c r="F22" s="302">
        <v>9.8544868447935349E-2</v>
      </c>
      <c r="G22" s="302">
        <v>9.6895727469883328E-2</v>
      </c>
      <c r="H22" s="302">
        <v>9.8567154778774993E-2</v>
      </c>
      <c r="I22" s="302">
        <v>0.1282351106953539</v>
      </c>
      <c r="J22" s="302">
        <v>0.10007655532293848</v>
      </c>
      <c r="K22" s="302">
        <v>9.4096794081381024E-2</v>
      </c>
      <c r="L22" s="302">
        <v>8.5616704183808109E-2</v>
      </c>
      <c r="M22" s="302">
        <v>8.0610849414982519E-2</v>
      </c>
      <c r="N22" s="301">
        <v>0.11533470727425388</v>
      </c>
      <c r="O22" s="301">
        <v>3.8167938931297711E-2</v>
      </c>
      <c r="P22" s="302">
        <v>0.13693270735524257</v>
      </c>
      <c r="Q22" s="290"/>
      <c r="R22" s="271">
        <f t="shared" si="4"/>
        <v>260.47240988113492</v>
      </c>
      <c r="S22" s="267"/>
      <c r="T22" s="303">
        <f t="shared" si="5"/>
        <v>9.5159065226789144E-2</v>
      </c>
      <c r="U22" s="304"/>
    </row>
    <row r="23" spans="1:21" s="202" customFormat="1">
      <c r="A23" s="270"/>
      <c r="B23" s="294" t="s">
        <v>39</v>
      </c>
      <c r="C23" s="272"/>
      <c r="D23" s="300"/>
      <c r="E23" s="301">
        <v>1.2030075187969922E-2</v>
      </c>
      <c r="F23" s="302">
        <v>1.9674165550536117E-2</v>
      </c>
      <c r="G23" s="305">
        <v>7.915024299124605E-3</v>
      </c>
      <c r="H23" s="302">
        <v>1.7713745866792647E-3</v>
      </c>
      <c r="I23" s="302">
        <v>3.1181789834736542E-3</v>
      </c>
      <c r="J23" s="302">
        <v>3.9058838233915608E-3</v>
      </c>
      <c r="K23" s="302">
        <v>4.6239210850801474E-3</v>
      </c>
      <c r="L23" s="302">
        <v>3.8810835985407109E-3</v>
      </c>
      <c r="M23" s="302">
        <v>6.8378665856252832E-3</v>
      </c>
      <c r="N23" s="301">
        <v>5.3431035798793981E-3</v>
      </c>
      <c r="O23" s="301">
        <v>8.7786259541984806E-3</v>
      </c>
      <c r="P23" s="302">
        <v>3.9123630672926483E-3</v>
      </c>
      <c r="Q23" s="290"/>
      <c r="R23" s="271">
        <f t="shared" si="4"/>
        <v>19.6204947143633</v>
      </c>
      <c r="S23" s="267"/>
      <c r="T23" s="303">
        <f t="shared" si="5"/>
        <v>7.168006535348579E-3</v>
      </c>
      <c r="U23" s="304"/>
    </row>
    <row r="24" spans="1:21" s="202" customFormat="1">
      <c r="A24" s="306"/>
      <c r="B24" s="307"/>
      <c r="C24" s="307"/>
      <c r="D24" s="308"/>
      <c r="E24" s="309">
        <f>E23+E22+E21+E20+E19+E18</f>
        <v>0.99999999999999989</v>
      </c>
      <c r="F24" s="309">
        <f>F23+F22+F21+F20+F19+F18</f>
        <v>1</v>
      </c>
      <c r="G24" s="310">
        <f t="shared" ref="G24:P24" si="6">G23+G22+G20+G21+G19+G18</f>
        <v>1</v>
      </c>
      <c r="H24" s="309">
        <f t="shared" si="6"/>
        <v>1</v>
      </c>
      <c r="I24" s="309">
        <f t="shared" si="6"/>
        <v>1</v>
      </c>
      <c r="J24" s="309">
        <f t="shared" si="6"/>
        <v>1</v>
      </c>
      <c r="K24" s="309">
        <f t="shared" si="6"/>
        <v>1</v>
      </c>
      <c r="L24" s="309">
        <f t="shared" si="6"/>
        <v>1</v>
      </c>
      <c r="M24" s="309">
        <f t="shared" si="6"/>
        <v>0.99999999999999989</v>
      </c>
      <c r="N24" s="309">
        <f t="shared" si="6"/>
        <v>1</v>
      </c>
      <c r="O24" s="309">
        <f t="shared" si="6"/>
        <v>1</v>
      </c>
      <c r="P24" s="309">
        <f t="shared" si="6"/>
        <v>1</v>
      </c>
      <c r="Q24" s="311"/>
      <c r="R24" s="312"/>
      <c r="T24" s="313"/>
      <c r="U24" s="313"/>
    </row>
    <row r="25" spans="1:21" s="202" customFormat="1">
      <c r="A25" s="269"/>
      <c r="B25" s="288" t="s">
        <v>138</v>
      </c>
      <c r="C25" s="272"/>
      <c r="D25" s="289"/>
      <c r="E25" s="289"/>
      <c r="F25" s="289"/>
      <c r="G25" s="314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71"/>
      <c r="T25" s="262"/>
      <c r="U25" s="262"/>
    </row>
    <row r="26" spans="1:21" s="202" customFormat="1">
      <c r="A26" s="270"/>
      <c r="B26" s="291" t="s">
        <v>133</v>
      </c>
      <c r="C26" s="272"/>
      <c r="D26" s="289"/>
      <c r="E26" s="293">
        <v>2.289174420321961E-2</v>
      </c>
      <c r="F26" s="293">
        <v>3.1193564275160068E-2</v>
      </c>
      <c r="G26" s="293">
        <v>9.8552043059661892E-3</v>
      </c>
      <c r="H26" s="293">
        <v>1.5350542233083854E-2</v>
      </c>
      <c r="I26" s="293">
        <v>2.2288261515601784E-2</v>
      </c>
      <c r="J26" s="293">
        <v>1.1572288227125443E-2</v>
      </c>
      <c r="K26" s="293">
        <v>4.5759609517998781E-3</v>
      </c>
      <c r="L26" s="293">
        <v>7.7782056218713902E-3</v>
      </c>
      <c r="M26" s="293">
        <v>1.9053425805959916E-2</v>
      </c>
      <c r="N26" s="293">
        <v>3.0938726230003013E-2</v>
      </c>
      <c r="O26" s="293">
        <v>3.6774538646696976E-2</v>
      </c>
      <c r="P26" s="293">
        <v>3.6224009273346375E-2</v>
      </c>
      <c r="Q26" s="290"/>
      <c r="R26" s="271"/>
      <c r="T26" s="262"/>
      <c r="U26" s="262"/>
    </row>
    <row r="27" spans="1:21" s="202" customFormat="1" ht="43.5">
      <c r="A27" s="270"/>
      <c r="B27" s="294" t="s">
        <v>134</v>
      </c>
      <c r="C27" s="272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90"/>
      <c r="R27" s="282" t="s">
        <v>136</v>
      </c>
      <c r="S27" s="273" t="s">
        <v>137</v>
      </c>
      <c r="T27" s="295" t="s">
        <v>134</v>
      </c>
      <c r="U27" s="296"/>
    </row>
    <row r="28" spans="1:21" s="202" customFormat="1">
      <c r="A28" s="270"/>
      <c r="B28" s="272"/>
      <c r="C28" s="272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90"/>
      <c r="R28" s="271">
        <f>SUM(R29:R34)</f>
        <v>1219.6632999999999</v>
      </c>
      <c r="S28" s="202">
        <f>SUM(S29:S34)</f>
        <v>0</v>
      </c>
      <c r="T28" s="298">
        <f>S28+R28</f>
        <v>1219.6632999999999</v>
      </c>
      <c r="U28" s="299"/>
    </row>
    <row r="29" spans="1:21" s="202" customFormat="1">
      <c r="A29" s="270"/>
      <c r="B29" s="294" t="s">
        <v>34</v>
      </c>
      <c r="C29" s="272"/>
      <c r="D29" s="289"/>
      <c r="E29" s="302">
        <v>4.4306601683650861E-3</v>
      </c>
      <c r="F29" s="302">
        <v>4.9252996223936949E-3</v>
      </c>
      <c r="G29" s="302">
        <v>3.9420817223864757E-2</v>
      </c>
      <c r="H29" s="302">
        <v>3.0548342752405682E-2</v>
      </c>
      <c r="I29" s="302">
        <v>1.485884101040119E-2</v>
      </c>
      <c r="J29" s="302">
        <v>1.1572288227125443E-2</v>
      </c>
      <c r="K29" s="302">
        <v>1.9066503965832825E-2</v>
      </c>
      <c r="L29" s="302">
        <v>2.6954177897574125E-2</v>
      </c>
      <c r="M29" s="302">
        <v>3.200975535401266E-2</v>
      </c>
      <c r="N29" s="302">
        <v>3.8484757017808624E-2</v>
      </c>
      <c r="O29" s="302">
        <v>2.3401979138807167E-2</v>
      </c>
      <c r="P29" s="302">
        <v>1.2316163152937766E-2</v>
      </c>
      <c r="Q29" s="290"/>
      <c r="R29" s="271">
        <f t="shared" ref="R29:R34" si="7">G29*$G$11+H29*$H$11+I29*$I$11+J29*$J$11+K29*$K$11+L29*$L$11+M29*$M$11+N29*$N$11+O29*$O$11+P29*$P$11+$E$11*E29+$F$11*F29</f>
        <v>27.212073136356935</v>
      </c>
      <c r="S29" s="267"/>
      <c r="T29" s="303">
        <f>(R29+S29)/$T$28</f>
        <v>2.2311135488258881E-2</v>
      </c>
      <c r="U29" s="304"/>
    </row>
    <row r="30" spans="1:21" s="202" customFormat="1">
      <c r="A30" s="270"/>
      <c r="B30" s="294" t="s">
        <v>35</v>
      </c>
      <c r="C30" s="272"/>
      <c r="D30" s="289"/>
      <c r="E30" s="302">
        <v>4.6521931767833404E-2</v>
      </c>
      <c r="F30" s="302">
        <v>6.3208011820719084E-2</v>
      </c>
      <c r="G30" s="302">
        <v>4.5106512015768332E-2</v>
      </c>
      <c r="H30" s="302">
        <v>4.2767679853367956E-2</v>
      </c>
      <c r="I30" s="302">
        <v>4.6805349182763745E-2</v>
      </c>
      <c r="J30" s="302">
        <v>2.4301805276963434E-2</v>
      </c>
      <c r="K30" s="302">
        <v>4.8047589993898715E-2</v>
      </c>
      <c r="L30" s="302">
        <v>5.3908355795148258E-2</v>
      </c>
      <c r="M30" s="302">
        <v>5.601707186952215E-2</v>
      </c>
      <c r="N30" s="302">
        <v>8.1874434047690903E-2</v>
      </c>
      <c r="O30" s="302">
        <v>4.6803958277614341E-2</v>
      </c>
      <c r="P30" s="302">
        <v>6.7449105266970941E-2</v>
      </c>
      <c r="Q30" s="290"/>
      <c r="R30" s="271">
        <f t="shared" si="7"/>
        <v>63.079339133259268</v>
      </c>
      <c r="S30" s="267"/>
      <c r="T30" s="303">
        <f t="shared" ref="T30:T34" si="8">(R30+S30)/$T$28</f>
        <v>5.1718649838245742E-2</v>
      </c>
      <c r="U30" s="304"/>
    </row>
    <row r="31" spans="1:21" s="202" customFormat="1">
      <c r="A31" s="270"/>
      <c r="B31" s="294" t="s">
        <v>36</v>
      </c>
      <c r="C31" s="272"/>
      <c r="D31" s="289"/>
      <c r="E31" s="302">
        <v>4.4306601683650859E-2</v>
      </c>
      <c r="F31" s="302">
        <v>8.2088327039894923E-2</v>
      </c>
      <c r="G31" s="302">
        <v>0.14782806458949285</v>
      </c>
      <c r="H31" s="302">
        <v>5.3459599816709946E-2</v>
      </c>
      <c r="I31" s="302">
        <v>0.11515601783060922</v>
      </c>
      <c r="J31" s="302">
        <v>0.10029316463508717</v>
      </c>
      <c r="K31" s="302">
        <v>0.11439902379499695</v>
      </c>
      <c r="L31" s="302">
        <v>6.9310743165190605E-2</v>
      </c>
      <c r="M31" s="302">
        <v>8.7645758707415602E-2</v>
      </c>
      <c r="N31" s="302">
        <v>0.18110473890733472</v>
      </c>
      <c r="O31" s="302">
        <v>0.13372559507889811</v>
      </c>
      <c r="P31" s="302">
        <v>9.9978265594435997E-2</v>
      </c>
      <c r="Q31" s="290"/>
      <c r="R31" s="271">
        <f t="shared" si="7"/>
        <v>131.16243761220335</v>
      </c>
      <c r="S31" s="267"/>
      <c r="T31" s="303">
        <f t="shared" si="8"/>
        <v>0.10753987400637811</v>
      </c>
      <c r="U31" s="304"/>
    </row>
    <row r="32" spans="1:21" s="202" customFormat="1">
      <c r="A32" s="270"/>
      <c r="B32" s="294" t="s">
        <v>37</v>
      </c>
      <c r="C32" s="272"/>
      <c r="D32" s="289"/>
      <c r="E32" s="302">
        <v>0.69531826908876082</v>
      </c>
      <c r="F32" s="302">
        <v>0.66409456575274983</v>
      </c>
      <c r="G32" s="302">
        <v>0.63338639981805778</v>
      </c>
      <c r="H32" s="302">
        <v>0.7513364899954178</v>
      </c>
      <c r="I32" s="302">
        <v>0.61627043090638933</v>
      </c>
      <c r="J32" s="302">
        <v>0.71728899861132533</v>
      </c>
      <c r="K32" s="302">
        <v>0.69402074435631478</v>
      </c>
      <c r="L32" s="302">
        <v>0.69292260300346553</v>
      </c>
      <c r="M32" s="302">
        <v>0.68096943830500734</v>
      </c>
      <c r="N32" s="302">
        <v>0.56180199215212789</v>
      </c>
      <c r="O32" s="302">
        <v>0.5950788981010966</v>
      </c>
      <c r="P32" s="302">
        <v>0.62189379120481059</v>
      </c>
      <c r="Q32" s="290"/>
      <c r="R32" s="271">
        <f t="shared" si="7"/>
        <v>802.54580227113183</v>
      </c>
      <c r="S32" s="267"/>
      <c r="T32" s="303">
        <f t="shared" si="8"/>
        <v>0.65800602696755073</v>
      </c>
      <c r="U32" s="304"/>
    </row>
    <row r="33" spans="1:21" s="202" customFormat="1">
      <c r="A33" s="270"/>
      <c r="B33" s="294" t="s">
        <v>38</v>
      </c>
      <c r="C33" s="272"/>
      <c r="D33" s="289"/>
      <c r="E33" s="302">
        <v>0.1905922315758381</v>
      </c>
      <c r="F33" s="302">
        <v>0.15777376457067804</v>
      </c>
      <c r="G33" s="302">
        <v>0.1190963535744068</v>
      </c>
      <c r="H33" s="302">
        <v>0.11638918588666564</v>
      </c>
      <c r="I33" s="302">
        <v>0.19390787518573552</v>
      </c>
      <c r="J33" s="302">
        <v>0.13593581237463354</v>
      </c>
      <c r="K33" s="302">
        <v>0.11531421598535692</v>
      </c>
      <c r="L33" s="302">
        <v>0.14747785906815555</v>
      </c>
      <c r="M33" s="302">
        <v>0.12963950918375125</v>
      </c>
      <c r="N33" s="302">
        <v>0.12767884092967099</v>
      </c>
      <c r="O33" s="302">
        <v>0.18093073014174912</v>
      </c>
      <c r="P33" s="302">
        <v>0.17554154893863649</v>
      </c>
      <c r="Q33" s="290"/>
      <c r="R33" s="271">
        <f t="shared" si="7"/>
        <v>178.31801137648694</v>
      </c>
      <c r="S33" s="267"/>
      <c r="T33" s="303">
        <f t="shared" si="8"/>
        <v>0.14620265394267987</v>
      </c>
      <c r="U33" s="304"/>
    </row>
    <row r="34" spans="1:21" s="202" customFormat="1">
      <c r="A34" s="270"/>
      <c r="B34" s="294" t="s">
        <v>39</v>
      </c>
      <c r="C34" s="272"/>
      <c r="D34" s="300"/>
      <c r="E34" s="302">
        <v>1.8830305715551617E-2</v>
      </c>
      <c r="F34" s="302">
        <v>2.7910031193564267E-2</v>
      </c>
      <c r="G34" s="302">
        <v>1.5161852778409517E-2</v>
      </c>
      <c r="H34" s="302">
        <v>5.4987016954330219E-3</v>
      </c>
      <c r="I34" s="302">
        <v>1.3001485884101041E-2</v>
      </c>
      <c r="J34" s="302">
        <v>1.0607930874864989E-2</v>
      </c>
      <c r="K34" s="302">
        <v>9.1519219035997527E-3</v>
      </c>
      <c r="L34" s="302">
        <v>9.4262610704659248E-3</v>
      </c>
      <c r="M34" s="302">
        <v>1.371846658029114E-2</v>
      </c>
      <c r="N34" s="302">
        <v>9.0552369453667375E-3</v>
      </c>
      <c r="O34" s="302">
        <v>2.0058839261834719E-2</v>
      </c>
      <c r="P34" s="302">
        <v>2.2821125842208221E-2</v>
      </c>
      <c r="Q34" s="290"/>
      <c r="R34" s="271">
        <f t="shared" si="7"/>
        <v>17.345636470561736</v>
      </c>
      <c r="S34" s="267"/>
      <c r="T34" s="303">
        <f t="shared" si="8"/>
        <v>1.4221659756886787E-2</v>
      </c>
      <c r="U34" s="304"/>
    </row>
    <row r="35" spans="1:21" s="202" customFormat="1">
      <c r="A35" s="306"/>
      <c r="B35" s="307"/>
      <c r="C35" s="307"/>
      <c r="D35" s="315"/>
      <c r="E35" s="316">
        <f>E29+E30+E31+E32+E33+E34</f>
        <v>1</v>
      </c>
      <c r="F35" s="316">
        <f>F29+F30+F31+F32+F33+F34</f>
        <v>0.99999999999999989</v>
      </c>
      <c r="G35" s="316">
        <f t="shared" ref="G35:P35" si="9">G29+G30+G32+G31+G33+G34</f>
        <v>1</v>
      </c>
      <c r="H35" s="316">
        <f t="shared" si="9"/>
        <v>1.0000000000000002</v>
      </c>
      <c r="I35" s="316">
        <f t="shared" si="9"/>
        <v>1</v>
      </c>
      <c r="J35" s="316">
        <f t="shared" si="9"/>
        <v>1</v>
      </c>
      <c r="K35" s="316">
        <f t="shared" si="9"/>
        <v>1</v>
      </c>
      <c r="L35" s="316">
        <f t="shared" si="9"/>
        <v>1</v>
      </c>
      <c r="M35" s="316">
        <f t="shared" si="9"/>
        <v>1.0000000000000002</v>
      </c>
      <c r="N35" s="316">
        <f t="shared" si="9"/>
        <v>0.99999999999999978</v>
      </c>
      <c r="O35" s="316">
        <f t="shared" si="9"/>
        <v>1</v>
      </c>
      <c r="P35" s="316">
        <f t="shared" si="9"/>
        <v>1</v>
      </c>
      <c r="Q35" s="317"/>
      <c r="R35" s="312"/>
      <c r="S35" s="318"/>
      <c r="T35" s="313"/>
      <c r="U35" s="313"/>
    </row>
    <row r="36" spans="1:21" s="202" customFormat="1">
      <c r="A36" s="269" t="s">
        <v>139</v>
      </c>
      <c r="B36" s="288" t="s">
        <v>140</v>
      </c>
      <c r="C36" s="272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71"/>
      <c r="T36" s="262"/>
      <c r="U36" s="262"/>
    </row>
    <row r="37" spans="1:21" s="202" customFormat="1">
      <c r="A37" s="319"/>
      <c r="B37" s="320" t="s">
        <v>133</v>
      </c>
      <c r="C37" s="321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/>
      <c r="P37" s="322"/>
      <c r="Q37" s="323"/>
      <c r="R37" s="324"/>
      <c r="T37" s="262"/>
      <c r="U37" s="262"/>
    </row>
    <row r="38" spans="1:21" s="202" customFormat="1" ht="43.5">
      <c r="A38" s="325"/>
      <c r="B38" s="326" t="s">
        <v>134</v>
      </c>
      <c r="C38" s="327"/>
      <c r="D38" s="328"/>
      <c r="E38" s="328"/>
      <c r="F38" s="328"/>
      <c r="G38" s="328"/>
      <c r="H38" s="328"/>
      <c r="I38" s="328"/>
      <c r="J38" s="328"/>
      <c r="K38" s="328"/>
      <c r="L38" s="328"/>
      <c r="M38" s="328"/>
      <c r="N38" s="328"/>
      <c r="O38" s="328"/>
      <c r="P38" s="328"/>
      <c r="Q38" s="329"/>
      <c r="R38" s="330" t="s">
        <v>136</v>
      </c>
      <c r="S38" s="331" t="s">
        <v>137</v>
      </c>
      <c r="T38" s="332" t="s">
        <v>134</v>
      </c>
      <c r="U38" s="333"/>
    </row>
    <row r="39" spans="1:21" s="202" customFormat="1">
      <c r="A39" s="325"/>
      <c r="B39" s="327"/>
      <c r="C39" s="327"/>
      <c r="D39" s="328"/>
      <c r="E39" s="328"/>
      <c r="F39" s="328"/>
      <c r="G39" s="328"/>
      <c r="H39" s="328"/>
      <c r="I39" s="328"/>
      <c r="J39" s="328"/>
      <c r="K39" s="328"/>
      <c r="L39" s="328"/>
      <c r="M39" s="328"/>
      <c r="N39" s="328"/>
      <c r="O39" s="328"/>
      <c r="P39" s="328"/>
      <c r="Q39" s="329"/>
      <c r="R39" s="334">
        <f>R28+R17</f>
        <v>3956.8949999999995</v>
      </c>
      <c r="S39" s="329">
        <f>S28+S17</f>
        <v>0</v>
      </c>
      <c r="T39" s="335">
        <f>S39+R39</f>
        <v>3956.8949999999995</v>
      </c>
      <c r="U39" s="336"/>
    </row>
    <row r="40" spans="1:21" s="202" customFormat="1">
      <c r="A40" s="325"/>
      <c r="B40" s="326" t="s">
        <v>34</v>
      </c>
      <c r="C40" s="327"/>
      <c r="D40" s="328"/>
      <c r="E40" s="337">
        <f>((E10*E18)+(E11*E29))/E12</f>
        <v>2.151789920765345E-2</v>
      </c>
      <c r="F40" s="337">
        <f>((F10*F18)+(F11*F29))/F12</f>
        <v>7.4674629371306329E-3</v>
      </c>
      <c r="G40" s="337">
        <f t="shared" ref="G40:P40" si="10">((G10*G18)+(G11*G29))/G12</f>
        <v>4.2177427548409877E-2</v>
      </c>
      <c r="H40" s="337">
        <f t="shared" si="10"/>
        <v>1.5993262130225162E-2</v>
      </c>
      <c r="I40" s="337">
        <f t="shared" si="10"/>
        <v>9.1628666759173086E-3</v>
      </c>
      <c r="J40" s="337">
        <f t="shared" si="10"/>
        <v>1.0599995916339854E-2</v>
      </c>
      <c r="K40" s="337">
        <f t="shared" si="10"/>
        <v>1.1095537820836974E-2</v>
      </c>
      <c r="L40" s="337">
        <f t="shared" si="10"/>
        <v>1.1284085866060523E-2</v>
      </c>
      <c r="M40" s="337">
        <f t="shared" si="10"/>
        <v>1.6910141418622342E-2</v>
      </c>
      <c r="N40" s="337">
        <f t="shared" si="10"/>
        <v>1.9947698028812026E-2</v>
      </c>
      <c r="O40" s="337">
        <f t="shared" si="10"/>
        <v>8.6010526801789909E-3</v>
      </c>
      <c r="P40" s="337">
        <f t="shared" si="10"/>
        <v>1.425614142369739E-2</v>
      </c>
      <c r="Q40" s="329"/>
      <c r="R40" s="334">
        <f>R29+R18</f>
        <v>61.58242893935757</v>
      </c>
      <c r="S40" s="329">
        <f>S29+S18</f>
        <v>0</v>
      </c>
      <c r="T40" s="338">
        <f>(R40+S40)/$T$39</f>
        <v>1.5563321477915785E-2</v>
      </c>
      <c r="U40" s="339"/>
    </row>
    <row r="41" spans="1:21" s="202" customFormat="1">
      <c r="A41" s="325"/>
      <c r="B41" s="326" t="s">
        <v>35</v>
      </c>
      <c r="C41" s="327"/>
      <c r="D41" s="328"/>
      <c r="E41" s="337">
        <f>((E10*E19)+(E11*E30))/E12</f>
        <v>3.9786082055553035E-2</v>
      </c>
      <c r="F41" s="337">
        <f t="shared" ref="F41:P41" si="11">((F10*F19)+(F11*F30))/F12</f>
        <v>6.3473327946611827E-2</v>
      </c>
      <c r="G41" s="337">
        <f t="shared" si="11"/>
        <v>4.4666665931684717E-2</v>
      </c>
      <c r="H41" s="337">
        <f t="shared" si="11"/>
        <v>3.0329056229783224E-2</v>
      </c>
      <c r="I41" s="337">
        <f t="shared" si="11"/>
        <v>6.2747649836189953E-2</v>
      </c>
      <c r="J41" s="337">
        <f t="shared" si="11"/>
        <v>3.1692954221226498E-2</v>
      </c>
      <c r="K41" s="337">
        <f t="shared" si="11"/>
        <v>2.9068222325509381E-2</v>
      </c>
      <c r="L41" s="337">
        <f t="shared" si="11"/>
        <v>4.2020655673199944E-2</v>
      </c>
      <c r="M41" s="337">
        <f t="shared" si="11"/>
        <v>5.1214317357605066E-2</v>
      </c>
      <c r="N41" s="337">
        <f t="shared" si="11"/>
        <v>7.137410476168235E-2</v>
      </c>
      <c r="O41" s="337">
        <f t="shared" si="11"/>
        <v>5.504582015541673E-2</v>
      </c>
      <c r="P41" s="337">
        <f t="shared" si="11"/>
        <v>6.5723353678647387E-2</v>
      </c>
      <c r="Q41" s="329"/>
      <c r="R41" s="334">
        <f>R30+R19</f>
        <v>203.75659839518568</v>
      </c>
      <c r="S41" s="329">
        <f t="shared" ref="R41:S45" si="12">S30+S19</f>
        <v>0</v>
      </c>
      <c r="T41" s="338">
        <f t="shared" ref="T41:T45" si="13">(R41+S41)/$T$39</f>
        <v>5.1494062489701065E-2</v>
      </c>
      <c r="U41" s="339"/>
    </row>
    <row r="42" spans="1:21" s="202" customFormat="1">
      <c r="A42" s="325"/>
      <c r="B42" s="326" t="s">
        <v>36</v>
      </c>
      <c r="C42" s="327"/>
      <c r="D42" s="328"/>
      <c r="E42" s="337">
        <f>((E10*E20)+(E11*E31))/E12</f>
        <v>4.8458310482571924E-2</v>
      </c>
      <c r="F42" s="337">
        <f t="shared" ref="F42:P42" si="14">((F10*F20)+(F11*F31))/F12</f>
        <v>4.3493893912813462E-2</v>
      </c>
      <c r="G42" s="337">
        <f t="shared" si="14"/>
        <v>9.3643698427957459E-2</v>
      </c>
      <c r="H42" s="337">
        <f t="shared" si="14"/>
        <v>4.1219024140340704E-2</v>
      </c>
      <c r="I42" s="337">
        <f t="shared" si="14"/>
        <v>7.0136778232705851E-2</v>
      </c>
      <c r="J42" s="337">
        <f t="shared" si="14"/>
        <v>6.975618111470909E-2</v>
      </c>
      <c r="K42" s="337">
        <f t="shared" si="14"/>
        <v>0.1034601330036779</v>
      </c>
      <c r="L42" s="337">
        <f t="shared" si="14"/>
        <v>3.0673033213089947E-2</v>
      </c>
      <c r="M42" s="337">
        <f t="shared" si="14"/>
        <v>5.7949159921057168E-2</v>
      </c>
      <c r="N42" s="337">
        <f t="shared" si="14"/>
        <v>0.10547566111737521</v>
      </c>
      <c r="O42" s="337">
        <f t="shared" si="14"/>
        <v>7.3048431017762858E-2</v>
      </c>
      <c r="P42" s="337">
        <f t="shared" si="14"/>
        <v>4.4769916705682908E-2</v>
      </c>
      <c r="Q42" s="329"/>
      <c r="R42" s="334">
        <f>R31+R20</f>
        <v>264.78264711953238</v>
      </c>
      <c r="S42" s="329">
        <f t="shared" si="12"/>
        <v>0</v>
      </c>
      <c r="T42" s="338">
        <f>(R42+S42)/$T$39</f>
        <v>6.6916773662058865E-2</v>
      </c>
      <c r="U42" s="339"/>
    </row>
    <row r="43" spans="1:21" s="202" customFormat="1">
      <c r="A43" s="325"/>
      <c r="B43" s="326" t="s">
        <v>37</v>
      </c>
      <c r="C43" s="327"/>
      <c r="D43" s="328"/>
      <c r="E43" s="337">
        <f>((E10*E21)+(E11*E32))/E12</f>
        <v>0.76037849202860253</v>
      </c>
      <c r="F43" s="337">
        <f t="shared" ref="F43:P43" si="15">((F10*F21)+(F11*F32))/F12</f>
        <v>0.75034855065603145</v>
      </c>
      <c r="G43" s="337">
        <f t="shared" si="15"/>
        <v>0.70180914730485133</v>
      </c>
      <c r="H43" s="337">
        <f t="shared" si="15"/>
        <v>0.80350483458751576</v>
      </c>
      <c r="I43" s="337">
        <f t="shared" si="15"/>
        <v>0.70095535227962513</v>
      </c>
      <c r="J43" s="337">
        <f t="shared" si="15"/>
        <v>0.76023282334405673</v>
      </c>
      <c r="K43" s="337">
        <f t="shared" si="15"/>
        <v>0.74627232888316575</v>
      </c>
      <c r="L43" s="337">
        <f t="shared" si="15"/>
        <v>0.80489711584075441</v>
      </c>
      <c r="M43" s="337">
        <f t="shared" si="15"/>
        <v>0.77152292449068516</v>
      </c>
      <c r="N43" s="337">
        <f t="shared" si="15"/>
        <v>0.67849641479163669</v>
      </c>
      <c r="O43" s="337">
        <f t="shared" si="15"/>
        <v>0.77872858685273683</v>
      </c>
      <c r="P43" s="337">
        <f t="shared" si="15"/>
        <v>0.72063190774388863</v>
      </c>
      <c r="Q43" s="329"/>
      <c r="R43" s="334">
        <f>R32+R21</f>
        <v>2951.0167731033775</v>
      </c>
      <c r="S43" s="329">
        <f t="shared" si="12"/>
        <v>0</v>
      </c>
      <c r="T43" s="338">
        <f t="shared" si="13"/>
        <v>0.74579102379602635</v>
      </c>
      <c r="U43" s="339"/>
    </row>
    <row r="44" spans="1:21" s="202" customFormat="1">
      <c r="A44" s="325"/>
      <c r="B44" s="326" t="s">
        <v>38</v>
      </c>
      <c r="C44" s="327"/>
      <c r="D44" s="328"/>
      <c r="E44" s="337">
        <f>((E10*E22)+(E11*E33))/E12</f>
        <v>0.11633832234519934</v>
      </c>
      <c r="F44" s="337">
        <f t="shared" ref="F44:P44" si="16">((F10*F22)+(F11*F33))/F12</f>
        <v>0.11346757462306341</v>
      </c>
      <c r="G44" s="337">
        <f t="shared" si="16"/>
        <v>0.10661532246305942</v>
      </c>
      <c r="H44" s="337">
        <f t="shared" si="16"/>
        <v>0.10569228713997744</v>
      </c>
      <c r="I44" s="337">
        <f t="shared" si="16"/>
        <v>0.15052473611469852</v>
      </c>
      <c r="J44" s="337">
        <f t="shared" si="16"/>
        <v>0.12007456111704028</v>
      </c>
      <c r="K44" s="337">
        <f t="shared" si="16"/>
        <v>0.10347784983632984</v>
      </c>
      <c r="L44" s="337">
        <f t="shared" si="16"/>
        <v>0.10546485562569785</v>
      </c>
      <c r="M44" s="337">
        <f t="shared" si="16"/>
        <v>9.3725151093733819E-2</v>
      </c>
      <c r="N44" s="337">
        <f t="shared" si="16"/>
        <v>0.11843169130489103</v>
      </c>
      <c r="O44" s="337">
        <f t="shared" si="16"/>
        <v>7.3041958744974073E-2</v>
      </c>
      <c r="P44" s="337">
        <f t="shared" si="16"/>
        <v>0.14617827892312413</v>
      </c>
      <c r="Q44" s="329"/>
      <c r="R44" s="334">
        <f t="shared" si="12"/>
        <v>438.79042125762186</v>
      </c>
      <c r="S44" s="329">
        <f>S33+S22</f>
        <v>0</v>
      </c>
      <c r="T44" s="338">
        <f t="shared" si="13"/>
        <v>0.11089261182255832</v>
      </c>
      <c r="U44" s="339"/>
    </row>
    <row r="45" spans="1:21" s="202" customFormat="1">
      <c r="A45" s="325"/>
      <c r="B45" s="326" t="s">
        <v>39</v>
      </c>
      <c r="C45" s="327"/>
      <c r="D45" s="340"/>
      <c r="E45" s="337">
        <f>((E10*E23)+(E11*E34))/E12</f>
        <v>1.3520893880419663E-2</v>
      </c>
      <c r="F45" s="337">
        <f t="shared" ref="F45:P45" si="17">((F10*F23)+(F11*F34))/F12</f>
        <v>2.1749189924349318E-2</v>
      </c>
      <c r="G45" s="337">
        <f t="shared" si="17"/>
        <v>1.1087738324037255E-2</v>
      </c>
      <c r="H45" s="337">
        <f t="shared" si="17"/>
        <v>3.2615357721577369E-3</v>
      </c>
      <c r="I45" s="337">
        <f t="shared" si="17"/>
        <v>6.4726168608630376E-3</v>
      </c>
      <c r="J45" s="337">
        <f t="shared" si="17"/>
        <v>7.6434842866273988E-3</v>
      </c>
      <c r="K45" s="337">
        <f t="shared" si="17"/>
        <v>6.6259281304802521E-3</v>
      </c>
      <c r="L45" s="337">
        <f t="shared" si="17"/>
        <v>5.6602537811972194E-3</v>
      </c>
      <c r="M45" s="337">
        <f t="shared" si="17"/>
        <v>8.6783057182964543E-3</v>
      </c>
      <c r="N45" s="337">
        <f t="shared" si="17"/>
        <v>6.2744299956027554E-3</v>
      </c>
      <c r="O45" s="337">
        <f t="shared" si="17"/>
        <v>1.1534150548930575E-2</v>
      </c>
      <c r="P45" s="337">
        <f t="shared" si="17"/>
        <v>8.4404015249595413E-3</v>
      </c>
      <c r="Q45" s="329"/>
      <c r="R45" s="334">
        <f t="shared" si="12"/>
        <v>36.966131184925032</v>
      </c>
      <c r="S45" s="329">
        <f t="shared" si="12"/>
        <v>0</v>
      </c>
      <c r="T45" s="338">
        <f t="shared" si="13"/>
        <v>9.3422067517396935E-3</v>
      </c>
      <c r="U45" s="339"/>
    </row>
    <row r="46" spans="1:21" s="202" customFormat="1">
      <c r="A46" s="341"/>
      <c r="B46" s="342"/>
      <c r="C46" s="342"/>
      <c r="D46" s="343"/>
      <c r="E46" s="344">
        <f>SUM(E40:E45)</f>
        <v>1</v>
      </c>
      <c r="F46" s="344">
        <f t="shared" ref="F46:O46" si="18">SUM(F40:F45)</f>
        <v>1.0000000000000002</v>
      </c>
      <c r="G46" s="344">
        <f t="shared" si="18"/>
        <v>1</v>
      </c>
      <c r="H46" s="344">
        <f t="shared" si="18"/>
        <v>1</v>
      </c>
      <c r="I46" s="344">
        <f t="shared" si="18"/>
        <v>0.99999999999999989</v>
      </c>
      <c r="J46" s="344">
        <f t="shared" si="18"/>
        <v>0.99999999999999989</v>
      </c>
      <c r="K46" s="344">
        <f t="shared" si="18"/>
        <v>1.0000000000000002</v>
      </c>
      <c r="L46" s="344">
        <f t="shared" si="18"/>
        <v>0.99999999999999978</v>
      </c>
      <c r="M46" s="344">
        <f t="shared" si="18"/>
        <v>1</v>
      </c>
      <c r="N46" s="344">
        <f t="shared" si="18"/>
        <v>1</v>
      </c>
      <c r="O46" s="344">
        <f t="shared" si="18"/>
        <v>1</v>
      </c>
      <c r="P46" s="344">
        <f>SUM(P40:P45)</f>
        <v>1</v>
      </c>
      <c r="Q46" s="345"/>
      <c r="R46" s="346"/>
      <c r="T46" s="313"/>
      <c r="U46" s="313"/>
    </row>
    <row r="47" spans="1:21" s="202" customFormat="1" ht="23">
      <c r="A47" s="266" t="s">
        <v>141</v>
      </c>
      <c r="B47" s="347" t="s">
        <v>142</v>
      </c>
      <c r="C47" s="266" t="s">
        <v>143</v>
      </c>
      <c r="D47" s="348">
        <f>SUM(E47:P47)</f>
        <v>130.79</v>
      </c>
      <c r="E47" s="349">
        <v>29.845999999999997</v>
      </c>
      <c r="F47" s="349">
        <v>8.7839999999999989</v>
      </c>
      <c r="G47" s="349">
        <v>15.917999999999999</v>
      </c>
      <c r="H47" s="349">
        <v>7.02</v>
      </c>
      <c r="I47" s="349">
        <v>5.3760000000000003</v>
      </c>
      <c r="J47" s="349">
        <v>5.25</v>
      </c>
      <c r="K47" s="349">
        <v>5.4640000000000004</v>
      </c>
      <c r="L47" s="349">
        <v>5.24</v>
      </c>
      <c r="M47" s="349">
        <v>3.8</v>
      </c>
      <c r="N47" s="350">
        <v>0</v>
      </c>
      <c r="O47" s="350">
        <v>18.29</v>
      </c>
      <c r="P47" s="351">
        <v>25.802</v>
      </c>
      <c r="Q47" s="352"/>
      <c r="R47" s="353"/>
      <c r="T47" s="262"/>
      <c r="U47" s="262"/>
    </row>
    <row r="48" spans="1:21" s="202" customFormat="1">
      <c r="A48" s="266"/>
      <c r="B48" s="347" t="s">
        <v>144</v>
      </c>
      <c r="C48" s="266"/>
      <c r="D48" s="348">
        <f>SUM(E48:P48)</f>
        <v>123.14999999999999</v>
      </c>
      <c r="E48" s="354">
        <v>7</v>
      </c>
      <c r="F48" s="354">
        <v>17</v>
      </c>
      <c r="G48" s="354">
        <v>35.549999999999997</v>
      </c>
      <c r="H48" s="354">
        <v>16.95</v>
      </c>
      <c r="I48" s="354">
        <v>18</v>
      </c>
      <c r="J48" s="354">
        <v>7.3</v>
      </c>
      <c r="K48" s="354">
        <v>2.75</v>
      </c>
      <c r="L48" s="354">
        <v>6</v>
      </c>
      <c r="M48" s="354">
        <v>1</v>
      </c>
      <c r="N48" s="350">
        <v>7.6</v>
      </c>
      <c r="O48" s="350">
        <v>2.8</v>
      </c>
      <c r="P48" s="351">
        <v>1.2</v>
      </c>
      <c r="Q48" s="352"/>
      <c r="R48" s="353"/>
      <c r="T48" s="262"/>
      <c r="U48" s="262"/>
    </row>
    <row r="49" spans="1:21" s="202" customFormat="1">
      <c r="A49" s="266"/>
      <c r="B49" s="266"/>
      <c r="C49" s="266"/>
      <c r="D49" s="355"/>
      <c r="E49" s="355"/>
      <c r="F49" s="355"/>
      <c r="G49" s="355"/>
      <c r="H49" s="355"/>
      <c r="I49" s="355"/>
      <c r="J49" s="355"/>
      <c r="K49" s="355"/>
      <c r="L49" s="355"/>
      <c r="M49" s="355"/>
      <c r="N49" s="355"/>
      <c r="O49" s="355"/>
      <c r="P49" s="355"/>
      <c r="T49" s="262"/>
      <c r="U49" s="262"/>
    </row>
    <row r="50" spans="1:21" s="202" customFormat="1" ht="29">
      <c r="A50" s="270" t="s">
        <v>145</v>
      </c>
      <c r="B50" s="269" t="s">
        <v>146</v>
      </c>
      <c r="C50" s="270" t="s">
        <v>147</v>
      </c>
      <c r="D50" s="281">
        <f>SUM(E50:P50)</f>
        <v>988</v>
      </c>
      <c r="E50" s="272">
        <f>E51+E52</f>
        <v>59</v>
      </c>
      <c r="F50" s="272">
        <f>F51+F52</f>
        <v>16</v>
      </c>
      <c r="G50" s="272">
        <f>G51+G52</f>
        <v>240</v>
      </c>
      <c r="H50" s="272">
        <f>H51+H52</f>
        <v>14</v>
      </c>
      <c r="I50" s="272">
        <f>I51+I52</f>
        <v>120</v>
      </c>
      <c r="J50" s="272">
        <f t="shared" ref="J50:P50" si="19">J51+J52</f>
        <v>247</v>
      </c>
      <c r="K50" s="272">
        <f t="shared" si="19"/>
        <v>52</v>
      </c>
      <c r="L50" s="272">
        <f t="shared" si="19"/>
        <v>40</v>
      </c>
      <c r="M50" s="272">
        <f t="shared" si="19"/>
        <v>29</v>
      </c>
      <c r="N50" s="272">
        <f t="shared" si="19"/>
        <v>31</v>
      </c>
      <c r="O50" s="272">
        <f t="shared" si="19"/>
        <v>50</v>
      </c>
      <c r="P50" s="272">
        <f t="shared" si="19"/>
        <v>90</v>
      </c>
      <c r="T50" s="262"/>
      <c r="U50" s="262"/>
    </row>
    <row r="51" spans="1:21" s="202" customFormat="1" ht="43.5">
      <c r="B51" s="356" t="s">
        <v>151</v>
      </c>
      <c r="D51" s="202">
        <f>E51+F51+G51+H51+I51+J51+K51+L51+M51+N51+O51+P51</f>
        <v>269</v>
      </c>
      <c r="E51" s="202">
        <v>36</v>
      </c>
      <c r="F51" s="202">
        <v>16</v>
      </c>
      <c r="G51" s="202">
        <v>32</v>
      </c>
      <c r="H51" s="202">
        <v>14</v>
      </c>
      <c r="I51" s="202">
        <v>13</v>
      </c>
      <c r="J51" s="202">
        <v>28</v>
      </c>
      <c r="K51" s="202">
        <v>21</v>
      </c>
      <c r="L51" s="202">
        <v>15</v>
      </c>
      <c r="M51" s="202">
        <v>17</v>
      </c>
      <c r="N51" s="202">
        <v>12</v>
      </c>
      <c r="O51" s="202">
        <v>16</v>
      </c>
      <c r="P51" s="202">
        <v>49</v>
      </c>
    </row>
    <row r="52" spans="1:21" s="202" customFormat="1" ht="43.5">
      <c r="B52" s="356" t="s">
        <v>152</v>
      </c>
      <c r="D52" s="202">
        <f>E52+F52+G52+H52+I52+J52+K52+L52+M52+N52+O52+P52</f>
        <v>719</v>
      </c>
      <c r="E52" s="202">
        <v>23</v>
      </c>
      <c r="F52" s="202">
        <v>0</v>
      </c>
      <c r="G52" s="202">
        <v>208</v>
      </c>
      <c r="H52" s="202">
        <v>0</v>
      </c>
      <c r="I52" s="202">
        <v>107</v>
      </c>
      <c r="J52" s="202">
        <v>219</v>
      </c>
      <c r="K52" s="202">
        <v>31</v>
      </c>
      <c r="L52" s="202">
        <v>25</v>
      </c>
      <c r="M52" s="202">
        <v>12</v>
      </c>
      <c r="N52" s="202">
        <v>19</v>
      </c>
      <c r="O52" s="202">
        <v>34</v>
      </c>
      <c r="P52" s="202">
        <v>41</v>
      </c>
    </row>
    <row r="53" spans="1:21" s="202" customFormat="1"/>
    <row r="54" spans="1:21" s="202" customFormat="1"/>
    <row r="55" spans="1:21" s="202" customFormat="1"/>
  </sheetData>
  <sheetProtection algorithmName="SHA-512" hashValue="a0KHBGelIouuipjv5WefWvXg6Gw/I+VZcTdlE4pLte7J5M4CMOVUGAMY1hsr5A3Z7p9sk58h86NWo8lS0lNjsQ==" saltValue="c88EuwH6yy5RZjzQ0zGV6A==" spinCount="100000" sheet="1" objects="1" scenarios="1"/>
  <mergeCells count="1">
    <mergeCell ref="E1:P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7"/>
  <sheetViews>
    <sheetView topLeftCell="A5" zoomScale="115" zoomScaleNormal="115" workbookViewId="0">
      <selection activeCell="D11" sqref="D11"/>
    </sheetView>
  </sheetViews>
  <sheetFormatPr baseColWidth="10" defaultColWidth="8.7265625" defaultRowHeight="14.5"/>
  <cols>
    <col min="1" max="4" width="23.7265625" customWidth="1"/>
    <col min="5" max="5" width="25.1796875" bestFit="1" customWidth="1"/>
    <col min="6" max="6" width="11.453125" customWidth="1"/>
    <col min="7" max="7" width="12" bestFit="1" customWidth="1"/>
    <col min="8" max="8" width="18.26953125" bestFit="1" customWidth="1"/>
    <col min="9" max="256" width="11.453125" customWidth="1"/>
  </cols>
  <sheetData>
    <row r="1" spans="1:5" ht="74.25" customHeight="1"/>
    <row r="2" spans="1:5" ht="18.5">
      <c r="A2" s="1" t="s">
        <v>41</v>
      </c>
    </row>
    <row r="6" spans="1:5" s="202" customFormat="1"/>
    <row r="7" spans="1:5" s="202" customFormat="1">
      <c r="A7" s="357" t="s">
        <v>42</v>
      </c>
      <c r="B7" s="357" t="s">
        <v>8</v>
      </c>
      <c r="C7" s="357" t="s">
        <v>43</v>
      </c>
      <c r="D7" s="357" t="s">
        <v>44</v>
      </c>
      <c r="E7" s="357" t="s">
        <v>45</v>
      </c>
    </row>
    <row r="8" spans="1:5" s="202" customFormat="1">
      <c r="A8" s="358">
        <v>1</v>
      </c>
      <c r="B8" s="358" t="s">
        <v>46</v>
      </c>
      <c r="C8" s="359">
        <f>BECH4y!L5</f>
        <v>2563.7114990839427</v>
      </c>
      <c r="D8" s="359">
        <f>PEy!G6</f>
        <v>287.15361972000005</v>
      </c>
      <c r="E8" s="359">
        <f t="shared" ref="E8:E12" si="0">C8-D8</f>
        <v>2276.5578793639424</v>
      </c>
    </row>
    <row r="9" spans="1:5" s="202" customFormat="1">
      <c r="A9" s="358">
        <v>2</v>
      </c>
      <c r="B9" s="358" t="s">
        <v>47</v>
      </c>
      <c r="C9" s="359">
        <f>BECH4y!L6</f>
        <v>2675.143566618101</v>
      </c>
      <c r="D9" s="359">
        <f>PEy!G7</f>
        <v>312.76433777305596</v>
      </c>
      <c r="E9" s="359">
        <f t="shared" si="0"/>
        <v>2362.379228845045</v>
      </c>
    </row>
    <row r="10" spans="1:5" s="202" customFormat="1">
      <c r="A10" s="360">
        <v>3</v>
      </c>
      <c r="B10" s="358" t="s">
        <v>48</v>
      </c>
      <c r="C10" s="359">
        <f>BECH4y!L7</f>
        <v>1759.4091305730576</v>
      </c>
      <c r="D10" s="359">
        <f>PEy!G8</f>
        <v>213.77259389599999</v>
      </c>
      <c r="E10" s="359">
        <f t="shared" si="0"/>
        <v>1545.6365366770576</v>
      </c>
    </row>
    <row r="11" spans="1:5" s="202" customFormat="1">
      <c r="A11" s="360">
        <v>4</v>
      </c>
      <c r="B11" s="358" t="s">
        <v>49</v>
      </c>
      <c r="C11" s="359">
        <f>BECH4y!L8</f>
        <v>2380.753329628441</v>
      </c>
      <c r="D11" s="359">
        <f>PEy!G9</f>
        <v>299.65366796800004</v>
      </c>
      <c r="E11" s="359">
        <f t="shared" si="0"/>
        <v>2081.0996616604407</v>
      </c>
    </row>
    <row r="12" spans="1:5" s="202" customFormat="1">
      <c r="A12" s="360">
        <v>5</v>
      </c>
      <c r="B12" s="358" t="s">
        <v>50</v>
      </c>
      <c r="C12" s="361">
        <f>BECH4y!L9</f>
        <v>4324.1281547918379</v>
      </c>
      <c r="D12" s="361">
        <f>PEy!G10</f>
        <v>507.59354002422333</v>
      </c>
      <c r="E12" s="359">
        <f t="shared" si="0"/>
        <v>3816.5346147676146</v>
      </c>
    </row>
    <row r="13" spans="1:5" s="202" customFormat="1">
      <c r="A13" s="362">
        <v>6</v>
      </c>
      <c r="B13" s="357" t="s">
        <v>51</v>
      </c>
      <c r="C13" s="363">
        <f>BECH4y!L10</f>
        <v>3427.7809331662888</v>
      </c>
      <c r="D13" s="364">
        <f>PEy!G11</f>
        <v>428.81352670084323</v>
      </c>
      <c r="E13" s="365">
        <f>C13-D13</f>
        <v>2998.9674064654455</v>
      </c>
    </row>
    <row r="14" spans="1:5" s="202" customFormat="1">
      <c r="A14" s="366">
        <v>7</v>
      </c>
      <c r="B14" s="367" t="s">
        <v>52</v>
      </c>
      <c r="C14" s="368" t="e">
        <f>BECH4y!L11</f>
        <v>#DIV/0!</v>
      </c>
      <c r="D14" s="368" t="s">
        <v>53</v>
      </c>
      <c r="E14" s="368" t="s">
        <v>53</v>
      </c>
    </row>
    <row r="15" spans="1:5" s="202" customFormat="1">
      <c r="A15" s="366">
        <v>8</v>
      </c>
      <c r="B15" s="367" t="s">
        <v>54</v>
      </c>
      <c r="C15" s="368" t="e">
        <f>BECH4y!L12</f>
        <v>#DIV/0!</v>
      </c>
      <c r="D15" s="368" t="s">
        <v>53</v>
      </c>
      <c r="E15" s="368" t="s">
        <v>53</v>
      </c>
    </row>
    <row r="16" spans="1:5" s="202" customFormat="1">
      <c r="A16" s="366">
        <v>9</v>
      </c>
      <c r="B16" s="367" t="s">
        <v>55</v>
      </c>
      <c r="C16" s="264" t="s">
        <v>53</v>
      </c>
      <c r="D16" s="368" t="s">
        <v>53</v>
      </c>
      <c r="E16" s="368" t="s">
        <v>53</v>
      </c>
    </row>
    <row r="17" spans="1:5" s="202" customFormat="1">
      <c r="A17" s="366">
        <v>10</v>
      </c>
      <c r="B17" s="367" t="s">
        <v>56</v>
      </c>
      <c r="C17" s="264" t="s">
        <v>53</v>
      </c>
      <c r="D17" s="368" t="s">
        <v>53</v>
      </c>
      <c r="E17" s="368" t="s">
        <v>53</v>
      </c>
    </row>
  </sheetData>
  <sheetProtection algorithmName="SHA-512" hashValue="swrdpANhp6XLcr+KIBjHZUYd6qrV8/fEQN0sE4y7lSTl+EB3mjYlCNrJGBmUyqIyhvcqNAXtMSBCEJgVEzGqJA==" saltValue="TefZRaR7RqCHg84/Y0FDYg==" spinCount="100000" sheet="1" objects="1" scenarios="1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91"/>
  <sheetViews>
    <sheetView workbookViewId="0">
      <selection activeCell="F14" sqref="F14"/>
    </sheetView>
  </sheetViews>
  <sheetFormatPr baseColWidth="10" defaultColWidth="8.7265625" defaultRowHeight="14.5"/>
  <cols>
    <col min="1" max="1" width="6.1796875" customWidth="1"/>
    <col min="2" max="2" width="23.54296875" customWidth="1"/>
    <col min="3" max="16" width="11.81640625" customWidth="1"/>
    <col min="17" max="17" width="5.1796875" customWidth="1"/>
    <col min="18" max="19" width="11.453125" customWidth="1"/>
    <col min="20" max="20" width="25.453125" customWidth="1"/>
    <col min="21" max="256" width="11.453125" customWidth="1"/>
  </cols>
  <sheetData>
    <row r="1" spans="1:21">
      <c r="A1" s="18"/>
      <c r="B1" s="19"/>
      <c r="D1" s="20"/>
      <c r="E1" s="20"/>
      <c r="F1" s="20"/>
      <c r="G1" s="20"/>
      <c r="H1" s="20"/>
    </row>
    <row r="2" spans="1:21" ht="29">
      <c r="A2" s="21" t="s">
        <v>103</v>
      </c>
      <c r="B2" s="21" t="s">
        <v>104</v>
      </c>
      <c r="D2" s="20" t="s">
        <v>105</v>
      </c>
      <c r="E2" s="61" t="s">
        <v>153</v>
      </c>
      <c r="F2" s="61" t="s">
        <v>154</v>
      </c>
      <c r="G2" s="61" t="s">
        <v>155</v>
      </c>
      <c r="H2" s="61" t="s">
        <v>156</v>
      </c>
      <c r="I2" s="61" t="s">
        <v>157</v>
      </c>
      <c r="J2" s="61" t="s">
        <v>158</v>
      </c>
      <c r="K2" s="61" t="s">
        <v>159</v>
      </c>
      <c r="L2" s="61" t="s">
        <v>160</v>
      </c>
      <c r="M2" s="61" t="s">
        <v>161</v>
      </c>
      <c r="N2" s="61" t="s">
        <v>162</v>
      </c>
      <c r="O2" s="61" t="s">
        <v>163</v>
      </c>
      <c r="P2" s="61" t="s">
        <v>164</v>
      </c>
      <c r="R2" s="61" t="s">
        <v>40</v>
      </c>
    </row>
    <row r="3" spans="1:21" ht="57.5" hidden="1">
      <c r="A3" s="22" t="s">
        <v>118</v>
      </c>
      <c r="B3" s="22" t="s">
        <v>119</v>
      </c>
      <c r="C3" s="22" t="s">
        <v>120</v>
      </c>
      <c r="D3" s="43">
        <v>25</v>
      </c>
    </row>
    <row r="4" spans="1:21" ht="46" hidden="1">
      <c r="A4" s="22" t="s">
        <v>121</v>
      </c>
      <c r="B4" s="22" t="s">
        <v>122</v>
      </c>
      <c r="C4" s="22"/>
      <c r="D4" s="43">
        <v>298</v>
      </c>
    </row>
    <row r="5" spans="1:21" ht="34.5" hidden="1">
      <c r="A5" s="42" t="s">
        <v>61</v>
      </c>
      <c r="B5" s="22" t="s">
        <v>123</v>
      </c>
      <c r="C5" s="22"/>
      <c r="D5" s="43">
        <v>0</v>
      </c>
    </row>
    <row r="6" spans="1:21" ht="48" customHeight="1">
      <c r="A6" s="23" t="s">
        <v>165</v>
      </c>
      <c r="B6" s="23" t="s">
        <v>148</v>
      </c>
      <c r="C6" s="23" t="s">
        <v>149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21" ht="29">
      <c r="A7" s="23"/>
      <c r="B7" s="34" t="s">
        <v>166</v>
      </c>
      <c r="C7" s="24"/>
      <c r="D7" s="70">
        <f>SUM(E7:P7)</f>
        <v>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24"/>
      <c r="R7" s="24"/>
    </row>
    <row r="8" spans="1:21" ht="29">
      <c r="A8" s="23"/>
      <c r="B8" s="34" t="s">
        <v>167</v>
      </c>
      <c r="C8" s="24"/>
      <c r="D8" s="24">
        <f>SUM(E8:P8)</f>
        <v>0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24"/>
      <c r="R8" s="24"/>
    </row>
    <row r="9" spans="1:21">
      <c r="A9" s="24"/>
      <c r="B9" s="32" t="s">
        <v>131</v>
      </c>
      <c r="C9" s="32"/>
      <c r="D9" s="33">
        <f>SUM(E9:P9)</f>
        <v>0</v>
      </c>
      <c r="E9" s="33">
        <f>SUM(E7:E8)</f>
        <v>0</v>
      </c>
      <c r="F9" s="33">
        <f t="shared" ref="F9:P9" si="0">SUM(F7:F8)</f>
        <v>0</v>
      </c>
      <c r="G9" s="33">
        <f t="shared" si="0"/>
        <v>0</v>
      </c>
      <c r="H9" s="33">
        <f t="shared" si="0"/>
        <v>0</v>
      </c>
      <c r="I9" s="33">
        <f t="shared" si="0"/>
        <v>0</v>
      </c>
      <c r="J9" s="33">
        <f t="shared" si="0"/>
        <v>0</v>
      </c>
      <c r="K9" s="33">
        <f t="shared" si="0"/>
        <v>0</v>
      </c>
      <c r="L9" s="33">
        <f t="shared" si="0"/>
        <v>0</v>
      </c>
      <c r="M9" s="33">
        <f t="shared" si="0"/>
        <v>0</v>
      </c>
      <c r="N9" s="33">
        <f t="shared" si="0"/>
        <v>0</v>
      </c>
      <c r="O9" s="33">
        <f t="shared" si="0"/>
        <v>0</v>
      </c>
      <c r="P9" s="33">
        <f t="shared" si="0"/>
        <v>0</v>
      </c>
      <c r="Q9" s="24"/>
      <c r="R9" s="24"/>
    </row>
    <row r="11" spans="1:21">
      <c r="A11" s="35"/>
      <c r="B11" s="60" t="s">
        <v>132</v>
      </c>
      <c r="C11" s="24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6"/>
      <c r="R11" s="16"/>
    </row>
    <row r="12" spans="1:21">
      <c r="A12" s="23"/>
      <c r="B12" s="25" t="s">
        <v>133</v>
      </c>
      <c r="C12" s="24"/>
      <c r="D12" s="32">
        <f>SUM(E12:P12)</f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24"/>
      <c r="R12" s="24"/>
    </row>
    <row r="13" spans="1:21" ht="58">
      <c r="A13" s="23"/>
      <c r="B13" s="48" t="s">
        <v>134</v>
      </c>
      <c r="C13" s="23" t="s">
        <v>135</v>
      </c>
      <c r="D13" s="24"/>
      <c r="E13" s="16"/>
      <c r="F13" s="47"/>
      <c r="G13" s="16"/>
      <c r="H13" s="16"/>
      <c r="I13" s="16"/>
      <c r="J13" s="16"/>
      <c r="K13" s="16"/>
      <c r="L13" s="16"/>
      <c r="M13" s="16"/>
      <c r="N13" s="24"/>
      <c r="O13" s="24"/>
      <c r="P13" s="24"/>
      <c r="Q13" s="24"/>
      <c r="R13" s="36" t="s">
        <v>136</v>
      </c>
      <c r="S13" s="50" t="s">
        <v>137</v>
      </c>
      <c r="T13" s="49" t="s">
        <v>134</v>
      </c>
    </row>
    <row r="14" spans="1:21">
      <c r="A14" s="23"/>
      <c r="B14" s="24"/>
      <c r="C14" s="23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6"/>
      <c r="R14" s="16">
        <f>SUM(R15:R20)</f>
        <v>0</v>
      </c>
      <c r="S14">
        <f>SUM(S15:S20)</f>
        <v>0</v>
      </c>
      <c r="T14" s="38">
        <f>S14+R14</f>
        <v>0</v>
      </c>
    </row>
    <row r="15" spans="1:21">
      <c r="A15" s="23"/>
      <c r="B15" s="24" t="s">
        <v>168</v>
      </c>
      <c r="C15" s="24"/>
      <c r="D15" s="28"/>
      <c r="E15" s="45"/>
      <c r="F15" s="45"/>
      <c r="G15" s="45"/>
      <c r="H15" s="45"/>
      <c r="I15" s="45"/>
      <c r="J15" s="45"/>
      <c r="K15" s="45"/>
      <c r="L15" s="46"/>
      <c r="M15" s="46"/>
      <c r="N15" s="45"/>
      <c r="O15" s="46"/>
      <c r="P15" s="45"/>
      <c r="Q15" s="26"/>
      <c r="R15" s="16">
        <f t="shared" ref="R15:R20" si="1">E15*$E$7+F15*$F$7+G15*$G$7+H15*$H$7+I15*$I$7+J15*$J$7+K15*$K$7+L15*$L$7+M15*$M$7+N15*$N$7+O15*$O$7+P15*$P$7</f>
        <v>0</v>
      </c>
      <c r="S15" s="43"/>
      <c r="T15" s="39" t="e">
        <f t="shared" ref="T15:T20" si="2">(R15+S15)/$T$14</f>
        <v>#DIV/0!</v>
      </c>
      <c r="U15" s="40"/>
    </row>
    <row r="16" spans="1:21">
      <c r="A16" s="23"/>
      <c r="B16" s="24" t="s">
        <v>169</v>
      </c>
      <c r="C16" s="24"/>
      <c r="D16" s="28"/>
      <c r="E16" s="45"/>
      <c r="F16" s="45"/>
      <c r="G16" s="45"/>
      <c r="H16" s="45"/>
      <c r="I16" s="45"/>
      <c r="J16" s="45"/>
      <c r="K16" s="45"/>
      <c r="L16" s="46"/>
      <c r="M16" s="46"/>
      <c r="N16" s="45"/>
      <c r="O16" s="46"/>
      <c r="P16" s="45"/>
      <c r="Q16" s="26"/>
      <c r="R16" s="16">
        <f t="shared" si="1"/>
        <v>0</v>
      </c>
      <c r="S16" s="43"/>
      <c r="T16" s="39" t="e">
        <f t="shared" si="2"/>
        <v>#DIV/0!</v>
      </c>
      <c r="U16" s="40"/>
    </row>
    <row r="17" spans="1:21">
      <c r="A17" s="23"/>
      <c r="B17" s="24" t="s">
        <v>170</v>
      </c>
      <c r="C17" s="24"/>
      <c r="D17" s="28"/>
      <c r="E17" s="45"/>
      <c r="F17" s="45"/>
      <c r="G17" s="45"/>
      <c r="H17" s="45"/>
      <c r="I17" s="45"/>
      <c r="J17" s="45"/>
      <c r="K17" s="45"/>
      <c r="L17" s="46"/>
      <c r="M17" s="46"/>
      <c r="N17" s="45"/>
      <c r="O17" s="46"/>
      <c r="P17" s="45"/>
      <c r="Q17" s="26"/>
      <c r="R17" s="16">
        <f t="shared" si="1"/>
        <v>0</v>
      </c>
      <c r="S17" s="43"/>
      <c r="T17" s="39" t="e">
        <f t="shared" si="2"/>
        <v>#DIV/0!</v>
      </c>
      <c r="U17" s="40"/>
    </row>
    <row r="18" spans="1:21">
      <c r="A18" s="23"/>
      <c r="B18" s="24" t="s">
        <v>171</v>
      </c>
      <c r="C18" s="24"/>
      <c r="D18" s="28"/>
      <c r="E18" s="45"/>
      <c r="F18" s="45"/>
      <c r="G18" s="45"/>
      <c r="H18" s="45"/>
      <c r="I18" s="45"/>
      <c r="J18" s="45"/>
      <c r="K18" s="45"/>
      <c r="L18" s="46"/>
      <c r="M18" s="46"/>
      <c r="N18" s="45"/>
      <c r="O18" s="46"/>
      <c r="P18" s="45"/>
      <c r="Q18" s="26"/>
      <c r="R18" s="16">
        <f t="shared" si="1"/>
        <v>0</v>
      </c>
      <c r="S18" s="43"/>
      <c r="T18" s="39" t="e">
        <f t="shared" si="2"/>
        <v>#DIV/0!</v>
      </c>
      <c r="U18" s="40"/>
    </row>
    <row r="19" spans="1:21">
      <c r="A19" s="23"/>
      <c r="B19" s="24" t="s">
        <v>172</v>
      </c>
      <c r="C19" s="24"/>
      <c r="D19" s="28"/>
      <c r="E19" s="45"/>
      <c r="F19" s="45"/>
      <c r="G19" s="45"/>
      <c r="H19" s="45"/>
      <c r="I19" s="45"/>
      <c r="J19" s="45"/>
      <c r="K19" s="45"/>
      <c r="L19" s="46"/>
      <c r="M19" s="46"/>
      <c r="N19" s="45"/>
      <c r="O19" s="46"/>
      <c r="P19" s="45"/>
      <c r="Q19" s="26"/>
      <c r="R19" s="16">
        <f t="shared" si="1"/>
        <v>0</v>
      </c>
      <c r="S19" s="43"/>
      <c r="T19" s="39" t="e">
        <f t="shared" si="2"/>
        <v>#DIV/0!</v>
      </c>
      <c r="U19" s="40"/>
    </row>
    <row r="20" spans="1:21">
      <c r="A20" s="23"/>
      <c r="B20" s="24" t="s">
        <v>173</v>
      </c>
      <c r="C20" s="24"/>
      <c r="D20" s="28"/>
      <c r="E20" s="66"/>
      <c r="F20" s="45"/>
      <c r="G20" s="45"/>
      <c r="H20" s="45"/>
      <c r="I20" s="45"/>
      <c r="J20" s="45"/>
      <c r="K20" s="45"/>
      <c r="L20" s="46"/>
      <c r="M20" s="46"/>
      <c r="N20" s="45"/>
      <c r="O20" s="46"/>
      <c r="P20" s="45"/>
      <c r="Q20" s="26"/>
      <c r="R20" s="16">
        <f t="shared" si="1"/>
        <v>0</v>
      </c>
      <c r="S20" s="43"/>
      <c r="T20" s="39" t="e">
        <f t="shared" si="2"/>
        <v>#DIV/0!</v>
      </c>
      <c r="U20" s="40"/>
    </row>
    <row r="21" spans="1:21">
      <c r="A21" s="51"/>
      <c r="B21" s="52"/>
      <c r="C21" s="52"/>
      <c r="D21" s="64"/>
      <c r="E21" s="68"/>
      <c r="F21" s="65"/>
      <c r="G21" s="65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5"/>
      <c r="T21" s="40"/>
      <c r="U21" s="40"/>
    </row>
    <row r="22" spans="1:21">
      <c r="A22" s="35"/>
      <c r="B22" s="60" t="s">
        <v>138</v>
      </c>
      <c r="C22" s="24"/>
      <c r="D22" s="29"/>
      <c r="E22" s="67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16"/>
    </row>
    <row r="23" spans="1:21">
      <c r="A23" s="23"/>
      <c r="B23" s="25" t="s">
        <v>133</v>
      </c>
      <c r="C23" s="24"/>
      <c r="D23" s="29"/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26"/>
      <c r="R23" s="16"/>
    </row>
    <row r="24" spans="1:21" ht="58">
      <c r="A24" s="23"/>
      <c r="B24" s="48" t="s">
        <v>134</v>
      </c>
      <c r="C24" s="24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6"/>
      <c r="R24" s="36" t="s">
        <v>136</v>
      </c>
      <c r="S24" s="50" t="s">
        <v>137</v>
      </c>
      <c r="T24" s="49" t="s">
        <v>134</v>
      </c>
    </row>
    <row r="25" spans="1:21">
      <c r="A25" s="23"/>
      <c r="B25" s="24"/>
      <c r="C25" s="2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6"/>
      <c r="R25" s="16">
        <f>SUM(R26:R31)</f>
        <v>0</v>
      </c>
      <c r="S25">
        <f>SUM(S26:S31)</f>
        <v>0</v>
      </c>
      <c r="T25" s="38">
        <f>S25+R25</f>
        <v>0</v>
      </c>
    </row>
    <row r="26" spans="1:21">
      <c r="A26" s="23"/>
      <c r="B26" s="24" t="s">
        <v>168</v>
      </c>
      <c r="C26" s="24"/>
      <c r="D26" s="29"/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26"/>
      <c r="R26" s="16">
        <f t="shared" ref="R26:R31" si="3">E26*$E$8+F26*$F$8+G26*$G$8+H26*$H$8+I26*$I$8+J26*$J$8+K26*$K$8+L26*$L$8+M26*$M$8+N26*$N$8+O26*$O$8+P26*$P$8</f>
        <v>0</v>
      </c>
      <c r="S26" s="43"/>
      <c r="T26" s="39" t="e">
        <f t="shared" ref="T26:T31" si="4">(R26+S26)/$T$25</f>
        <v>#DIV/0!</v>
      </c>
    </row>
    <row r="27" spans="1:21">
      <c r="A27" s="23"/>
      <c r="B27" s="24" t="s">
        <v>169</v>
      </c>
      <c r="C27" s="24"/>
      <c r="D27" s="29"/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26"/>
      <c r="R27" s="16">
        <f t="shared" si="3"/>
        <v>0</v>
      </c>
      <c r="S27" s="43"/>
      <c r="T27" s="39" t="e">
        <f t="shared" si="4"/>
        <v>#DIV/0!</v>
      </c>
    </row>
    <row r="28" spans="1:21">
      <c r="A28" s="23"/>
      <c r="B28" s="24" t="s">
        <v>170</v>
      </c>
      <c r="C28" s="24"/>
      <c r="D28" s="29"/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26"/>
      <c r="R28" s="16">
        <f t="shared" si="3"/>
        <v>0</v>
      </c>
      <c r="S28" s="43"/>
      <c r="T28" s="39" t="e">
        <f t="shared" si="4"/>
        <v>#DIV/0!</v>
      </c>
    </row>
    <row r="29" spans="1:21">
      <c r="A29" s="23"/>
      <c r="B29" s="24" t="s">
        <v>171</v>
      </c>
      <c r="C29" s="24"/>
      <c r="D29" s="29"/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26"/>
      <c r="R29" s="16">
        <f t="shared" si="3"/>
        <v>0</v>
      </c>
      <c r="S29" s="43"/>
      <c r="T29" s="39" t="e">
        <f t="shared" si="4"/>
        <v>#DIV/0!</v>
      </c>
    </row>
    <row r="30" spans="1:21" ht="17.5" customHeight="1">
      <c r="A30" s="23"/>
      <c r="B30" s="24" t="s">
        <v>172</v>
      </c>
      <c r="C30" s="24"/>
      <c r="D30" s="29"/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26"/>
      <c r="R30" s="16">
        <f t="shared" si="3"/>
        <v>0</v>
      </c>
      <c r="S30" s="43"/>
      <c r="T30" s="39" t="e">
        <f t="shared" si="4"/>
        <v>#DIV/0!</v>
      </c>
    </row>
    <row r="31" spans="1:21">
      <c r="A31" s="23"/>
      <c r="B31" s="24" t="s">
        <v>173</v>
      </c>
      <c r="C31" s="24"/>
      <c r="D31" s="28"/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26"/>
      <c r="R31" s="16">
        <f t="shared" si="3"/>
        <v>0</v>
      </c>
      <c r="S31" s="43"/>
      <c r="T31" s="39" t="e">
        <f t="shared" si="4"/>
        <v>#DIV/0!</v>
      </c>
      <c r="U31" s="40"/>
    </row>
    <row r="32" spans="1:21">
      <c r="A32" s="51"/>
      <c r="B32" s="52"/>
      <c r="C32" s="52"/>
      <c r="D32" s="53"/>
      <c r="E32" s="56"/>
      <c r="F32" s="56"/>
      <c r="G32" s="56"/>
      <c r="H32" s="56"/>
      <c r="I32" s="56"/>
      <c r="J32" s="56"/>
      <c r="K32" s="56"/>
      <c r="L32" s="57"/>
      <c r="M32" s="57"/>
      <c r="N32" s="56"/>
      <c r="O32" s="57"/>
      <c r="P32" s="56"/>
      <c r="Q32" s="58"/>
      <c r="R32" s="55"/>
      <c r="S32" s="59"/>
      <c r="T32" s="40"/>
      <c r="U32" s="40"/>
    </row>
    <row r="33" spans="1:21" ht="29">
      <c r="A33" s="35" t="s">
        <v>139</v>
      </c>
      <c r="B33" s="60" t="s">
        <v>140</v>
      </c>
      <c r="C33" s="24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16"/>
    </row>
    <row r="34" spans="1:21">
      <c r="A34" s="23"/>
      <c r="B34" s="25" t="s">
        <v>133</v>
      </c>
      <c r="C34" s="24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6"/>
      <c r="R34" s="16"/>
    </row>
    <row r="35" spans="1:21" ht="58">
      <c r="A35" s="23"/>
      <c r="B35" s="48" t="s">
        <v>134</v>
      </c>
      <c r="C35" s="24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6"/>
      <c r="R35" s="36" t="s">
        <v>136</v>
      </c>
      <c r="S35" s="50" t="s">
        <v>137</v>
      </c>
      <c r="T35" s="49" t="s">
        <v>134</v>
      </c>
    </row>
    <row r="36" spans="1:21">
      <c r="A36" s="23"/>
      <c r="B36" s="24"/>
      <c r="C36" s="24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6"/>
      <c r="R36" s="16">
        <f t="shared" ref="R36:S38" si="5">R25+R14</f>
        <v>0</v>
      </c>
      <c r="S36" s="26">
        <f t="shared" si="5"/>
        <v>0</v>
      </c>
      <c r="T36" s="38">
        <f>S36+R36</f>
        <v>0</v>
      </c>
    </row>
    <row r="37" spans="1:21">
      <c r="A37" s="23"/>
      <c r="B37" s="24" t="s">
        <v>168</v>
      </c>
      <c r="C37" s="24"/>
      <c r="D37" s="29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26"/>
      <c r="R37" s="16">
        <f t="shared" si="5"/>
        <v>0</v>
      </c>
      <c r="S37" s="26">
        <f t="shared" si="5"/>
        <v>0</v>
      </c>
      <c r="T37" s="39" t="e">
        <f t="shared" ref="T37:T42" si="6">(R37+S37)/$T$36</f>
        <v>#DIV/0!</v>
      </c>
    </row>
    <row r="38" spans="1:21">
      <c r="A38" s="23"/>
      <c r="B38" s="24" t="s">
        <v>169</v>
      </c>
      <c r="C38" s="24"/>
      <c r="D38" s="29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26"/>
      <c r="R38" s="16">
        <f t="shared" si="5"/>
        <v>0</v>
      </c>
      <c r="S38" s="26">
        <f t="shared" si="5"/>
        <v>0</v>
      </c>
      <c r="T38" s="39" t="e">
        <f t="shared" si="6"/>
        <v>#DIV/0!</v>
      </c>
    </row>
    <row r="39" spans="1:21">
      <c r="A39" s="23"/>
      <c r="B39" s="24" t="s">
        <v>170</v>
      </c>
      <c r="C39" s="24"/>
      <c r="D39" s="29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26"/>
      <c r="R39" s="16">
        <f t="shared" ref="R39:S42" si="7">R28+R17</f>
        <v>0</v>
      </c>
      <c r="S39" s="26">
        <f t="shared" si="7"/>
        <v>0</v>
      </c>
      <c r="T39" s="39" t="e">
        <f t="shared" si="6"/>
        <v>#DIV/0!</v>
      </c>
    </row>
    <row r="40" spans="1:21">
      <c r="A40" s="23"/>
      <c r="B40" s="24" t="s">
        <v>171</v>
      </c>
      <c r="C40" s="24"/>
      <c r="D40" s="29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26"/>
      <c r="R40" s="16">
        <f t="shared" si="7"/>
        <v>0</v>
      </c>
      <c r="S40" s="26">
        <f t="shared" si="7"/>
        <v>0</v>
      </c>
      <c r="T40" s="39" t="e">
        <f t="shared" si="6"/>
        <v>#DIV/0!</v>
      </c>
    </row>
    <row r="41" spans="1:21" ht="17.5" customHeight="1">
      <c r="A41" s="23"/>
      <c r="B41" s="24" t="s">
        <v>172</v>
      </c>
      <c r="C41" s="24"/>
      <c r="D41" s="29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26"/>
      <c r="R41" s="16">
        <f t="shared" si="7"/>
        <v>0</v>
      </c>
      <c r="S41" s="26">
        <f>S30+S19</f>
        <v>0</v>
      </c>
      <c r="T41" s="39" t="e">
        <f t="shared" si="6"/>
        <v>#DIV/0!</v>
      </c>
    </row>
    <row r="42" spans="1:21">
      <c r="A42" s="23"/>
      <c r="B42" s="24" t="s">
        <v>173</v>
      </c>
      <c r="C42" s="24"/>
      <c r="D42" s="28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26"/>
      <c r="R42" s="16">
        <f t="shared" si="7"/>
        <v>0</v>
      </c>
      <c r="S42" s="26">
        <f t="shared" si="7"/>
        <v>0</v>
      </c>
      <c r="T42" s="39" t="e">
        <f t="shared" si="6"/>
        <v>#DIV/0!</v>
      </c>
      <c r="U42" s="40"/>
    </row>
    <row r="43" spans="1:21">
      <c r="A43" s="51"/>
      <c r="B43" s="52"/>
      <c r="C43" s="52"/>
      <c r="D43" s="53"/>
      <c r="E43" s="56"/>
      <c r="F43" s="56"/>
      <c r="G43" s="56"/>
      <c r="H43" s="56"/>
      <c r="I43" s="56"/>
      <c r="J43" s="56"/>
      <c r="K43" s="56"/>
      <c r="L43" s="57"/>
      <c r="M43" s="57"/>
      <c r="N43" s="56"/>
      <c r="O43" s="57"/>
      <c r="P43" s="56"/>
      <c r="Q43" s="58"/>
      <c r="R43" s="55"/>
      <c r="T43" s="40"/>
      <c r="U43" s="40"/>
    </row>
    <row r="44" spans="1:21" ht="27">
      <c r="A44" s="22" t="s">
        <v>141</v>
      </c>
      <c r="B44" s="30" t="s">
        <v>142</v>
      </c>
      <c r="C44" s="22" t="s">
        <v>143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R44" s="44"/>
    </row>
    <row r="45" spans="1:21">
      <c r="A45" s="22"/>
      <c r="B45" s="22"/>
      <c r="C45" s="22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</row>
    <row r="46" spans="1:21" ht="43.5">
      <c r="A46" s="23" t="s">
        <v>145</v>
      </c>
      <c r="B46" s="35" t="s">
        <v>146</v>
      </c>
      <c r="C46" s="23" t="s">
        <v>147</v>
      </c>
      <c r="D46" s="24">
        <f>SUM(E46:P46)</f>
        <v>0</v>
      </c>
      <c r="E46" s="24">
        <f>E48-E47</f>
        <v>0</v>
      </c>
      <c r="F46" s="24">
        <f t="shared" ref="F46:P46" si="8">F48-F47</f>
        <v>0</v>
      </c>
      <c r="G46" s="24">
        <f t="shared" si="8"/>
        <v>0</v>
      </c>
      <c r="H46" s="24">
        <f t="shared" si="8"/>
        <v>0</v>
      </c>
      <c r="I46" s="24">
        <f t="shared" si="8"/>
        <v>0</v>
      </c>
      <c r="J46" s="24">
        <f t="shared" si="8"/>
        <v>0</v>
      </c>
      <c r="K46" s="24">
        <f t="shared" si="8"/>
        <v>0</v>
      </c>
      <c r="L46" s="24">
        <f t="shared" si="8"/>
        <v>0</v>
      </c>
      <c r="M46" s="24">
        <f t="shared" si="8"/>
        <v>0</v>
      </c>
      <c r="N46" s="24">
        <f t="shared" si="8"/>
        <v>0</v>
      </c>
      <c r="O46" s="24">
        <f t="shared" si="8"/>
        <v>0</v>
      </c>
      <c r="P46" s="24">
        <f t="shared" si="8"/>
        <v>0</v>
      </c>
    </row>
    <row r="47" spans="1:21">
      <c r="A47" s="23"/>
      <c r="B47" s="23" t="s">
        <v>174</v>
      </c>
      <c r="C47" s="23"/>
      <c r="D47" s="2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</row>
    <row r="48" spans="1:21">
      <c r="A48" s="23"/>
      <c r="B48" s="23" t="s">
        <v>175</v>
      </c>
      <c r="C48" s="23"/>
      <c r="D48" s="2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1:8">
      <c r="A49" s="22"/>
      <c r="B49" s="22"/>
      <c r="C49" s="22"/>
    </row>
    <row r="51" spans="1:8" s="19" customFormat="1" ht="72.5">
      <c r="B51" s="63" t="s">
        <v>176</v>
      </c>
      <c r="C51" s="63" t="s">
        <v>177</v>
      </c>
      <c r="D51" s="63" t="s">
        <v>178</v>
      </c>
      <c r="E51" s="63" t="s">
        <v>179</v>
      </c>
      <c r="F51" s="36" t="s">
        <v>180</v>
      </c>
      <c r="G51" s="63" t="s">
        <v>181</v>
      </c>
      <c r="H51" s="63" t="s">
        <v>182</v>
      </c>
    </row>
    <row r="52" spans="1:8">
      <c r="B52" s="44"/>
      <c r="C52" s="44"/>
      <c r="D52" s="44"/>
      <c r="E52" s="44"/>
      <c r="F52" s="44"/>
      <c r="G52" s="44"/>
      <c r="H52" s="62"/>
    </row>
    <row r="53" spans="1:8">
      <c r="B53" s="44"/>
      <c r="C53" s="44"/>
      <c r="D53" s="44"/>
      <c r="E53" s="44"/>
      <c r="F53" s="44"/>
      <c r="G53" s="44"/>
      <c r="H53" s="62"/>
    </row>
    <row r="54" spans="1:8">
      <c r="B54" s="44"/>
      <c r="C54" s="44"/>
      <c r="D54" s="44"/>
      <c r="E54" s="44"/>
      <c r="F54" s="44"/>
      <c r="G54" s="44"/>
      <c r="H54" s="62"/>
    </row>
    <row r="55" spans="1:8">
      <c r="B55" s="44"/>
      <c r="C55" s="44"/>
      <c r="D55" s="44"/>
      <c r="E55" s="44"/>
      <c r="F55" s="44"/>
      <c r="G55" s="44"/>
      <c r="H55" s="62"/>
    </row>
    <row r="56" spans="1:8">
      <c r="B56" s="44"/>
      <c r="C56" s="44"/>
      <c r="D56" s="44"/>
      <c r="E56" s="44"/>
      <c r="F56" s="44"/>
      <c r="G56" s="44"/>
      <c r="H56" s="62"/>
    </row>
    <row r="57" spans="1:8">
      <c r="B57" s="44"/>
      <c r="C57" s="44"/>
      <c r="D57" s="44"/>
      <c r="E57" s="44"/>
      <c r="F57" s="44"/>
      <c r="G57" s="44"/>
      <c r="H57" s="62"/>
    </row>
    <row r="58" spans="1:8">
      <c r="B58" s="44"/>
      <c r="C58" s="44"/>
      <c r="D58" s="44"/>
      <c r="E58" s="44"/>
      <c r="F58" s="44"/>
      <c r="G58" s="44"/>
      <c r="H58" s="62"/>
    </row>
    <row r="59" spans="1:8">
      <c r="B59" s="44"/>
      <c r="C59" s="44"/>
      <c r="D59" s="44"/>
      <c r="E59" s="44"/>
      <c r="F59" s="44"/>
      <c r="G59" s="44"/>
      <c r="H59" s="62"/>
    </row>
    <row r="60" spans="1:8">
      <c r="B60" s="44"/>
      <c r="C60" s="44"/>
      <c r="D60" s="44"/>
      <c r="E60" s="44"/>
      <c r="F60" s="44"/>
      <c r="G60" s="44"/>
      <c r="H60" s="62"/>
    </row>
    <row r="61" spans="1:8">
      <c r="B61" s="44"/>
      <c r="C61" s="44"/>
      <c r="D61" s="44"/>
      <c r="E61" s="44"/>
      <c r="F61" s="44"/>
      <c r="G61" s="44"/>
      <c r="H61" s="62"/>
    </row>
    <row r="62" spans="1:8">
      <c r="B62" s="44"/>
      <c r="C62" s="44"/>
      <c r="D62" s="44"/>
      <c r="E62" s="44"/>
      <c r="F62" s="44"/>
      <c r="G62" s="44"/>
      <c r="H62" s="62"/>
    </row>
    <row r="63" spans="1:8">
      <c r="B63" s="44"/>
      <c r="C63" s="44"/>
      <c r="D63" s="44"/>
      <c r="E63" s="44"/>
      <c r="F63" s="44"/>
      <c r="G63" s="44"/>
      <c r="H63" s="62"/>
    </row>
    <row r="64" spans="1:8">
      <c r="B64" s="44"/>
      <c r="C64" s="44"/>
      <c r="D64" s="44"/>
      <c r="E64" s="44"/>
      <c r="F64" s="44"/>
      <c r="G64" s="44"/>
      <c r="H64" s="62"/>
    </row>
    <row r="65" spans="2:8">
      <c r="B65" s="44"/>
      <c r="C65" s="44"/>
      <c r="D65" s="44"/>
      <c r="E65" s="44"/>
      <c r="F65" s="44"/>
      <c r="G65" s="44"/>
      <c r="H65" s="62"/>
    </row>
    <row r="66" spans="2:8">
      <c r="B66" s="44"/>
      <c r="C66" s="44"/>
      <c r="D66" s="44"/>
      <c r="E66" s="44"/>
      <c r="F66" s="44"/>
      <c r="G66" s="44"/>
      <c r="H66" s="62"/>
    </row>
    <row r="67" spans="2:8">
      <c r="B67" s="44"/>
      <c r="C67" s="44"/>
      <c r="D67" s="44"/>
      <c r="E67" s="44"/>
      <c r="F67" s="44"/>
      <c r="G67" s="44"/>
      <c r="H67" s="62"/>
    </row>
    <row r="68" spans="2:8">
      <c r="B68" s="44"/>
      <c r="C68" s="44"/>
      <c r="D68" s="44"/>
      <c r="E68" s="44"/>
      <c r="F68" s="44"/>
      <c r="G68" s="44"/>
      <c r="H68" s="62"/>
    </row>
    <row r="69" spans="2:8">
      <c r="B69" s="44"/>
      <c r="C69" s="44"/>
      <c r="D69" s="44"/>
      <c r="E69" s="44"/>
      <c r="F69" s="44"/>
      <c r="G69" s="44"/>
      <c r="H69" s="62"/>
    </row>
    <row r="70" spans="2:8">
      <c r="B70" s="44"/>
      <c r="C70" s="44"/>
      <c r="D70" s="44"/>
      <c r="E70" s="44"/>
      <c r="F70" s="44"/>
      <c r="G70" s="44"/>
      <c r="H70" s="62"/>
    </row>
    <row r="71" spans="2:8">
      <c r="B71" s="44"/>
      <c r="C71" s="44"/>
      <c r="D71" s="44"/>
      <c r="E71" s="44"/>
      <c r="F71" s="44"/>
      <c r="G71" s="44"/>
      <c r="H71" s="62"/>
    </row>
    <row r="72" spans="2:8">
      <c r="B72" s="44"/>
      <c r="C72" s="44"/>
      <c r="D72" s="44"/>
      <c r="E72" s="44"/>
      <c r="F72" s="44"/>
      <c r="G72" s="44"/>
      <c r="H72" s="62"/>
    </row>
    <row r="73" spans="2:8">
      <c r="B73" s="44"/>
      <c r="C73" s="44"/>
      <c r="D73" s="44"/>
      <c r="E73" s="44"/>
      <c r="F73" s="44"/>
      <c r="G73" s="44"/>
      <c r="H73" s="62"/>
    </row>
    <row r="74" spans="2:8">
      <c r="B74" s="44"/>
      <c r="C74" s="44"/>
      <c r="D74" s="44"/>
      <c r="E74" s="44"/>
      <c r="F74" s="44"/>
      <c r="G74" s="44"/>
      <c r="H74" s="62"/>
    </row>
    <row r="75" spans="2:8">
      <c r="B75" s="44"/>
      <c r="C75" s="44"/>
      <c r="D75" s="44"/>
      <c r="E75" s="44"/>
      <c r="F75" s="44"/>
      <c r="G75" s="44"/>
      <c r="H75" s="62"/>
    </row>
    <row r="76" spans="2:8">
      <c r="B76" s="44"/>
      <c r="C76" s="44"/>
      <c r="D76" s="44"/>
      <c r="E76" s="44"/>
      <c r="F76" s="44"/>
      <c r="G76" s="44"/>
      <c r="H76" s="62"/>
    </row>
    <row r="77" spans="2:8">
      <c r="B77" s="44"/>
      <c r="C77" s="44"/>
      <c r="D77" s="44"/>
      <c r="E77" s="44"/>
      <c r="F77" s="44"/>
      <c r="G77" s="44"/>
      <c r="H77" s="62"/>
    </row>
    <row r="78" spans="2:8">
      <c r="B78" s="44"/>
      <c r="C78" s="44"/>
      <c r="D78" s="44"/>
      <c r="E78" s="44"/>
      <c r="F78" s="44"/>
      <c r="G78" s="44"/>
      <c r="H78" s="62"/>
    </row>
    <row r="79" spans="2:8">
      <c r="B79" s="44"/>
      <c r="C79" s="44"/>
      <c r="D79" s="44"/>
      <c r="E79" s="44"/>
      <c r="F79" s="44"/>
      <c r="G79" s="44"/>
      <c r="H79" s="62"/>
    </row>
    <row r="80" spans="2:8">
      <c r="B80" s="44"/>
      <c r="C80" s="44"/>
      <c r="D80" s="44"/>
      <c r="E80" s="44"/>
      <c r="F80" s="44"/>
      <c r="G80" s="44"/>
      <c r="H80" s="62"/>
    </row>
    <row r="81" spans="2:8">
      <c r="B81" s="44"/>
      <c r="C81" s="44"/>
      <c r="D81" s="44"/>
      <c r="E81" s="44"/>
      <c r="F81" s="44"/>
      <c r="G81" s="44"/>
      <c r="H81" s="62"/>
    </row>
    <row r="82" spans="2:8">
      <c r="B82" s="44"/>
      <c r="C82" s="44"/>
      <c r="D82" s="44"/>
      <c r="E82" s="44"/>
      <c r="F82" s="44"/>
      <c r="G82" s="44"/>
      <c r="H82" s="62"/>
    </row>
    <row r="83" spans="2:8">
      <c r="B83" s="44"/>
      <c r="C83" s="44"/>
      <c r="D83" s="44"/>
      <c r="E83" s="44"/>
      <c r="F83" s="44"/>
      <c r="G83" s="44"/>
      <c r="H83" s="62"/>
    </row>
    <row r="84" spans="2:8">
      <c r="B84" s="44"/>
      <c r="C84" s="44"/>
      <c r="D84" s="44"/>
      <c r="E84" s="44"/>
      <c r="F84" s="44"/>
      <c r="G84" s="44"/>
      <c r="H84" s="62"/>
    </row>
    <row r="85" spans="2:8">
      <c r="B85" s="44"/>
      <c r="C85" s="44"/>
      <c r="D85" s="44"/>
      <c r="E85" s="44"/>
      <c r="F85" s="44"/>
      <c r="G85" s="44"/>
      <c r="H85" s="62"/>
    </row>
    <row r="86" spans="2:8">
      <c r="B86" s="44"/>
      <c r="C86" s="44"/>
      <c r="D86" s="44"/>
      <c r="E86" s="44"/>
      <c r="F86" s="44"/>
      <c r="G86" s="44"/>
      <c r="H86" s="62"/>
    </row>
    <row r="87" spans="2:8">
      <c r="B87" s="44"/>
      <c r="C87" s="44"/>
      <c r="D87" s="44"/>
      <c r="E87" s="44"/>
      <c r="F87" s="44"/>
      <c r="G87" s="44"/>
      <c r="H87" s="62"/>
    </row>
    <row r="88" spans="2:8">
      <c r="B88" s="44"/>
      <c r="C88" s="44"/>
      <c r="D88" s="44"/>
      <c r="E88" s="44"/>
      <c r="F88" s="44"/>
      <c r="G88" s="44"/>
      <c r="H88" s="62"/>
    </row>
    <row r="89" spans="2:8">
      <c r="B89" s="44"/>
      <c r="C89" s="44"/>
      <c r="D89" s="44"/>
      <c r="E89" s="44"/>
      <c r="F89" s="44"/>
      <c r="G89" s="44"/>
      <c r="H89" s="62"/>
    </row>
    <row r="90" spans="2:8">
      <c r="B90" s="44"/>
      <c r="C90" s="44"/>
      <c r="D90" s="44"/>
      <c r="E90" s="44"/>
      <c r="F90" s="44"/>
      <c r="G90" s="44"/>
      <c r="H90" s="62"/>
    </row>
    <row r="91" spans="2:8">
      <c r="B91" s="44"/>
      <c r="C91" s="44"/>
      <c r="D91" s="44"/>
      <c r="E91" s="44"/>
      <c r="F91" s="44"/>
      <c r="G91" s="44"/>
      <c r="H91" s="62"/>
    </row>
  </sheetData>
  <dataValidations count="1">
    <dataValidation type="list" allowBlank="1" showInputMessage="1" showErrorMessage="1" sqref="C52:C108" xr:uid="{00000000-0002-0000-0A00-000000000000}">
      <formula1>"resellers,big customer,others"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91"/>
  <sheetViews>
    <sheetView workbookViewId="0">
      <selection sqref="A1:IV65536"/>
    </sheetView>
  </sheetViews>
  <sheetFormatPr baseColWidth="10" defaultColWidth="8.7265625" defaultRowHeight="14.5"/>
  <cols>
    <col min="1" max="1" width="6.1796875" customWidth="1"/>
    <col min="2" max="2" width="23.54296875" customWidth="1"/>
    <col min="3" max="16" width="11.81640625" customWidth="1"/>
    <col min="17" max="17" width="5.1796875" customWidth="1"/>
    <col min="18" max="19" width="11.453125" customWidth="1"/>
    <col min="20" max="20" width="25.453125" customWidth="1"/>
    <col min="21" max="256" width="11.453125" customWidth="1"/>
  </cols>
  <sheetData>
    <row r="1" spans="1:21">
      <c r="A1" s="18"/>
      <c r="B1" s="19"/>
      <c r="D1" s="20"/>
      <c r="E1" s="20"/>
      <c r="F1" s="20"/>
      <c r="G1" s="20"/>
      <c r="H1" s="20"/>
    </row>
    <row r="2" spans="1:21" ht="29">
      <c r="A2" s="21" t="s">
        <v>103</v>
      </c>
      <c r="B2" s="21" t="s">
        <v>104</v>
      </c>
      <c r="D2" s="20" t="s">
        <v>105</v>
      </c>
      <c r="E2" s="61" t="s">
        <v>153</v>
      </c>
      <c r="F2" s="61" t="s">
        <v>154</v>
      </c>
      <c r="G2" s="61" t="s">
        <v>155</v>
      </c>
      <c r="H2" s="61" t="s">
        <v>156</v>
      </c>
      <c r="I2" s="61" t="s">
        <v>157</v>
      </c>
      <c r="J2" s="61" t="s">
        <v>158</v>
      </c>
      <c r="K2" s="61" t="s">
        <v>159</v>
      </c>
      <c r="L2" s="61" t="s">
        <v>160</v>
      </c>
      <c r="M2" s="61" t="s">
        <v>161</v>
      </c>
      <c r="N2" s="61" t="s">
        <v>162</v>
      </c>
      <c r="O2" s="61" t="s">
        <v>163</v>
      </c>
      <c r="P2" s="61" t="s">
        <v>164</v>
      </c>
      <c r="R2" s="61" t="s">
        <v>40</v>
      </c>
    </row>
    <row r="3" spans="1:21" ht="57.5" hidden="1">
      <c r="A3" s="22" t="s">
        <v>118</v>
      </c>
      <c r="B3" s="22" t="s">
        <v>119</v>
      </c>
      <c r="C3" s="22" t="s">
        <v>120</v>
      </c>
      <c r="D3" s="43">
        <v>25</v>
      </c>
    </row>
    <row r="4" spans="1:21" ht="46" hidden="1">
      <c r="A4" s="22" t="s">
        <v>121</v>
      </c>
      <c r="B4" s="22" t="s">
        <v>122</v>
      </c>
      <c r="C4" s="22"/>
      <c r="D4" s="43">
        <v>298</v>
      </c>
    </row>
    <row r="5" spans="1:21" ht="34.5" hidden="1">
      <c r="A5" s="42" t="s">
        <v>61</v>
      </c>
      <c r="B5" s="22" t="s">
        <v>123</v>
      </c>
      <c r="C5" s="22"/>
      <c r="D5" s="43">
        <v>0</v>
      </c>
    </row>
    <row r="6" spans="1:21" ht="48" customHeight="1">
      <c r="A6" s="23" t="s">
        <v>165</v>
      </c>
      <c r="B6" s="23" t="s">
        <v>148</v>
      </c>
      <c r="C6" s="23" t="s">
        <v>149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21" ht="29">
      <c r="A7" s="23"/>
      <c r="B7" s="34" t="s">
        <v>166</v>
      </c>
      <c r="C7" s="24"/>
      <c r="D7" s="70">
        <f>SUM(E7:P7)</f>
        <v>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24"/>
      <c r="R7" s="24"/>
    </row>
    <row r="8" spans="1:21" ht="29">
      <c r="A8" s="23"/>
      <c r="B8" s="34" t="s">
        <v>167</v>
      </c>
      <c r="C8" s="24"/>
      <c r="D8" s="24">
        <f>SUM(E8:P8)</f>
        <v>0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24"/>
      <c r="R8" s="24"/>
    </row>
    <row r="9" spans="1:21">
      <c r="A9" s="24"/>
      <c r="B9" s="32" t="s">
        <v>131</v>
      </c>
      <c r="C9" s="32"/>
      <c r="D9" s="33">
        <f>SUM(E9:P9)</f>
        <v>0</v>
      </c>
      <c r="E9" s="33">
        <f>SUM(E7:E8)</f>
        <v>0</v>
      </c>
      <c r="F9" s="33">
        <f t="shared" ref="F9:P9" si="0">SUM(F7:F8)</f>
        <v>0</v>
      </c>
      <c r="G9" s="33">
        <f t="shared" si="0"/>
        <v>0</v>
      </c>
      <c r="H9" s="33">
        <f t="shared" si="0"/>
        <v>0</v>
      </c>
      <c r="I9" s="33">
        <f t="shared" si="0"/>
        <v>0</v>
      </c>
      <c r="J9" s="33">
        <f t="shared" si="0"/>
        <v>0</v>
      </c>
      <c r="K9" s="33">
        <f t="shared" si="0"/>
        <v>0</v>
      </c>
      <c r="L9" s="33">
        <f t="shared" si="0"/>
        <v>0</v>
      </c>
      <c r="M9" s="33">
        <f t="shared" si="0"/>
        <v>0</v>
      </c>
      <c r="N9" s="33">
        <f t="shared" si="0"/>
        <v>0</v>
      </c>
      <c r="O9" s="33">
        <f t="shared" si="0"/>
        <v>0</v>
      </c>
      <c r="P9" s="33">
        <f t="shared" si="0"/>
        <v>0</v>
      </c>
      <c r="Q9" s="24"/>
      <c r="R9" s="24"/>
    </row>
    <row r="11" spans="1:21">
      <c r="A11" s="35"/>
      <c r="B11" s="60" t="s">
        <v>132</v>
      </c>
      <c r="C11" s="24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6"/>
      <c r="R11" s="16"/>
    </row>
    <row r="12" spans="1:21">
      <c r="A12" s="23"/>
      <c r="B12" s="25" t="s">
        <v>133</v>
      </c>
      <c r="C12" s="24"/>
      <c r="D12" s="32">
        <f>SUM(E12:P12)</f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24"/>
      <c r="R12" s="24"/>
    </row>
    <row r="13" spans="1:21" ht="58">
      <c r="A13" s="23"/>
      <c r="B13" s="48" t="s">
        <v>134</v>
      </c>
      <c r="C13" s="23" t="s">
        <v>135</v>
      </c>
      <c r="D13" s="24"/>
      <c r="E13" s="16"/>
      <c r="F13" s="47"/>
      <c r="G13" s="16"/>
      <c r="H13" s="16"/>
      <c r="I13" s="16"/>
      <c r="J13" s="16"/>
      <c r="K13" s="16"/>
      <c r="L13" s="16"/>
      <c r="M13" s="16"/>
      <c r="N13" s="24"/>
      <c r="O13" s="24"/>
      <c r="P13" s="24"/>
      <c r="Q13" s="24"/>
      <c r="R13" s="36" t="s">
        <v>136</v>
      </c>
      <c r="S13" s="50" t="s">
        <v>137</v>
      </c>
      <c r="T13" s="49" t="s">
        <v>134</v>
      </c>
    </row>
    <row r="14" spans="1:21">
      <c r="A14" s="23"/>
      <c r="B14" s="24"/>
      <c r="C14" s="23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6"/>
      <c r="R14" s="16">
        <f>SUM(R15:R20)</f>
        <v>0</v>
      </c>
      <c r="S14">
        <f>SUM(S15:S20)</f>
        <v>0</v>
      </c>
      <c r="T14" s="38">
        <f>S14+R14</f>
        <v>0</v>
      </c>
    </row>
    <row r="15" spans="1:21">
      <c r="A15" s="23"/>
      <c r="B15" s="24" t="s">
        <v>168</v>
      </c>
      <c r="C15" s="24"/>
      <c r="D15" s="28"/>
      <c r="E15" s="45"/>
      <c r="F15" s="45"/>
      <c r="G15" s="45"/>
      <c r="H15" s="45"/>
      <c r="I15" s="45"/>
      <c r="J15" s="45"/>
      <c r="K15" s="45"/>
      <c r="L15" s="46"/>
      <c r="M15" s="46"/>
      <c r="N15" s="45"/>
      <c r="O15" s="46"/>
      <c r="P15" s="45"/>
      <c r="Q15" s="26"/>
      <c r="R15" s="16">
        <f t="shared" ref="R15:R20" si="1">E15*$E$7+F15*$F$7+G15*$G$7+H15*$H$7+I15*$I$7+J15*$J$7+K15*$K$7+L15*$L$7+M15*$M$7+N15*$N$7+O15*$O$7+P15*$P$7</f>
        <v>0</v>
      </c>
      <c r="S15" s="43"/>
      <c r="T15" s="39" t="e">
        <f t="shared" ref="T15:T20" si="2">(R15+S15)/$T$14</f>
        <v>#DIV/0!</v>
      </c>
      <c r="U15" s="40"/>
    </row>
    <row r="16" spans="1:21">
      <c r="A16" s="23"/>
      <c r="B16" s="24" t="s">
        <v>169</v>
      </c>
      <c r="C16" s="24"/>
      <c r="D16" s="28"/>
      <c r="E16" s="45"/>
      <c r="F16" s="45"/>
      <c r="G16" s="45"/>
      <c r="H16" s="45"/>
      <c r="I16" s="45"/>
      <c r="J16" s="45"/>
      <c r="K16" s="45"/>
      <c r="L16" s="46"/>
      <c r="M16" s="46"/>
      <c r="N16" s="45"/>
      <c r="O16" s="46"/>
      <c r="P16" s="45"/>
      <c r="Q16" s="26"/>
      <c r="R16" s="16">
        <f t="shared" si="1"/>
        <v>0</v>
      </c>
      <c r="S16" s="43"/>
      <c r="T16" s="39" t="e">
        <f t="shared" si="2"/>
        <v>#DIV/0!</v>
      </c>
      <c r="U16" s="40"/>
    </row>
    <row r="17" spans="1:21">
      <c r="A17" s="23"/>
      <c r="B17" s="24" t="s">
        <v>170</v>
      </c>
      <c r="C17" s="24"/>
      <c r="D17" s="28"/>
      <c r="E17" s="45"/>
      <c r="F17" s="45"/>
      <c r="G17" s="45"/>
      <c r="H17" s="45"/>
      <c r="I17" s="45"/>
      <c r="J17" s="45"/>
      <c r="K17" s="45"/>
      <c r="L17" s="46"/>
      <c r="M17" s="46"/>
      <c r="N17" s="45"/>
      <c r="O17" s="46"/>
      <c r="P17" s="45"/>
      <c r="Q17" s="26"/>
      <c r="R17" s="16">
        <f t="shared" si="1"/>
        <v>0</v>
      </c>
      <c r="S17" s="43"/>
      <c r="T17" s="39" t="e">
        <f t="shared" si="2"/>
        <v>#DIV/0!</v>
      </c>
      <c r="U17" s="40"/>
    </row>
    <row r="18" spans="1:21">
      <c r="A18" s="23"/>
      <c r="B18" s="24" t="s">
        <v>171</v>
      </c>
      <c r="C18" s="24"/>
      <c r="D18" s="28"/>
      <c r="E18" s="45"/>
      <c r="F18" s="45"/>
      <c r="G18" s="45"/>
      <c r="H18" s="45"/>
      <c r="I18" s="45"/>
      <c r="J18" s="45"/>
      <c r="K18" s="45"/>
      <c r="L18" s="46"/>
      <c r="M18" s="46"/>
      <c r="N18" s="45"/>
      <c r="O18" s="46"/>
      <c r="P18" s="45"/>
      <c r="Q18" s="26"/>
      <c r="R18" s="16">
        <f t="shared" si="1"/>
        <v>0</v>
      </c>
      <c r="S18" s="43"/>
      <c r="T18" s="39" t="e">
        <f t="shared" si="2"/>
        <v>#DIV/0!</v>
      </c>
      <c r="U18" s="40"/>
    </row>
    <row r="19" spans="1:21">
      <c r="A19" s="23"/>
      <c r="B19" s="24" t="s">
        <v>172</v>
      </c>
      <c r="C19" s="24"/>
      <c r="D19" s="28"/>
      <c r="E19" s="45"/>
      <c r="F19" s="45"/>
      <c r="G19" s="45"/>
      <c r="H19" s="45"/>
      <c r="I19" s="45"/>
      <c r="J19" s="45"/>
      <c r="K19" s="45"/>
      <c r="L19" s="46"/>
      <c r="M19" s="46"/>
      <c r="N19" s="45"/>
      <c r="O19" s="46"/>
      <c r="P19" s="45"/>
      <c r="Q19" s="26"/>
      <c r="R19" s="16">
        <f t="shared" si="1"/>
        <v>0</v>
      </c>
      <c r="S19" s="43"/>
      <c r="T19" s="39" t="e">
        <f t="shared" si="2"/>
        <v>#DIV/0!</v>
      </c>
      <c r="U19" s="40"/>
    </row>
    <row r="20" spans="1:21">
      <c r="A20" s="23"/>
      <c r="B20" s="24" t="s">
        <v>173</v>
      </c>
      <c r="C20" s="24"/>
      <c r="D20" s="28"/>
      <c r="E20" s="66"/>
      <c r="F20" s="45"/>
      <c r="G20" s="45"/>
      <c r="H20" s="45"/>
      <c r="I20" s="45"/>
      <c r="J20" s="45"/>
      <c r="K20" s="45"/>
      <c r="L20" s="46"/>
      <c r="M20" s="46"/>
      <c r="N20" s="45"/>
      <c r="O20" s="46"/>
      <c r="P20" s="45"/>
      <c r="Q20" s="26"/>
      <c r="R20" s="16">
        <f t="shared" si="1"/>
        <v>0</v>
      </c>
      <c r="S20" s="43"/>
      <c r="T20" s="39" t="e">
        <f t="shared" si="2"/>
        <v>#DIV/0!</v>
      </c>
      <c r="U20" s="40"/>
    </row>
    <row r="21" spans="1:21">
      <c r="A21" s="51"/>
      <c r="B21" s="52"/>
      <c r="C21" s="52"/>
      <c r="D21" s="64"/>
      <c r="E21" s="68"/>
      <c r="F21" s="65"/>
      <c r="G21" s="65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5"/>
      <c r="T21" s="40"/>
      <c r="U21" s="40"/>
    </row>
    <row r="22" spans="1:21">
      <c r="A22" s="35"/>
      <c r="B22" s="60" t="s">
        <v>138</v>
      </c>
      <c r="C22" s="24"/>
      <c r="D22" s="29"/>
      <c r="E22" s="67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16"/>
    </row>
    <row r="23" spans="1:21">
      <c r="A23" s="23"/>
      <c r="B23" s="25" t="s">
        <v>133</v>
      </c>
      <c r="C23" s="24"/>
      <c r="D23" s="29"/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26"/>
      <c r="R23" s="16"/>
    </row>
    <row r="24" spans="1:21" ht="58">
      <c r="A24" s="23"/>
      <c r="B24" s="48" t="s">
        <v>134</v>
      </c>
      <c r="C24" s="24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6"/>
      <c r="R24" s="36" t="s">
        <v>136</v>
      </c>
      <c r="S24" s="50" t="s">
        <v>137</v>
      </c>
      <c r="T24" s="49" t="s">
        <v>134</v>
      </c>
    </row>
    <row r="25" spans="1:21">
      <c r="A25" s="23"/>
      <c r="B25" s="24"/>
      <c r="C25" s="2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6"/>
      <c r="R25" s="16">
        <f>SUM(R26:R31)</f>
        <v>0</v>
      </c>
      <c r="S25">
        <f>SUM(S26:S31)</f>
        <v>0</v>
      </c>
      <c r="T25" s="38">
        <f>S25+R25</f>
        <v>0</v>
      </c>
    </row>
    <row r="26" spans="1:21">
      <c r="A26" s="23"/>
      <c r="B26" s="24" t="s">
        <v>168</v>
      </c>
      <c r="C26" s="24"/>
      <c r="D26" s="29"/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26"/>
      <c r="R26" s="16">
        <f t="shared" ref="R26:R31" si="3">E26*$E$8+F26*$F$8+G26*$G$8+H26*$H$8+I26*$I$8+J26*$J$8+K26*$K$8+L26*$L$8+M26*$M$8+N26*$N$8+O26*$O$8+P26*$P$8</f>
        <v>0</v>
      </c>
      <c r="S26" s="43"/>
      <c r="T26" s="39" t="e">
        <f t="shared" ref="T26:T31" si="4">(R26+S26)/$T$25</f>
        <v>#DIV/0!</v>
      </c>
    </row>
    <row r="27" spans="1:21">
      <c r="A27" s="23"/>
      <c r="B27" s="24" t="s">
        <v>169</v>
      </c>
      <c r="C27" s="24"/>
      <c r="D27" s="29"/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26"/>
      <c r="R27" s="16">
        <f t="shared" si="3"/>
        <v>0</v>
      </c>
      <c r="S27" s="43"/>
      <c r="T27" s="39" t="e">
        <f t="shared" si="4"/>
        <v>#DIV/0!</v>
      </c>
    </row>
    <row r="28" spans="1:21">
      <c r="A28" s="23"/>
      <c r="B28" s="24" t="s">
        <v>170</v>
      </c>
      <c r="C28" s="24"/>
      <c r="D28" s="29"/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26"/>
      <c r="R28" s="16">
        <f t="shared" si="3"/>
        <v>0</v>
      </c>
      <c r="S28" s="43"/>
      <c r="T28" s="39" t="e">
        <f t="shared" si="4"/>
        <v>#DIV/0!</v>
      </c>
    </row>
    <row r="29" spans="1:21">
      <c r="A29" s="23"/>
      <c r="B29" s="24" t="s">
        <v>171</v>
      </c>
      <c r="C29" s="24"/>
      <c r="D29" s="29"/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26"/>
      <c r="R29" s="16">
        <f t="shared" si="3"/>
        <v>0</v>
      </c>
      <c r="S29" s="43"/>
      <c r="T29" s="39" t="e">
        <f t="shared" si="4"/>
        <v>#DIV/0!</v>
      </c>
    </row>
    <row r="30" spans="1:21" ht="17.5" customHeight="1">
      <c r="A30" s="23"/>
      <c r="B30" s="24" t="s">
        <v>172</v>
      </c>
      <c r="C30" s="24"/>
      <c r="D30" s="29"/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26"/>
      <c r="R30" s="16">
        <f t="shared" si="3"/>
        <v>0</v>
      </c>
      <c r="S30" s="43"/>
      <c r="T30" s="39" t="e">
        <f t="shared" si="4"/>
        <v>#DIV/0!</v>
      </c>
    </row>
    <row r="31" spans="1:21">
      <c r="A31" s="23"/>
      <c r="B31" s="24" t="s">
        <v>173</v>
      </c>
      <c r="C31" s="24"/>
      <c r="D31" s="28"/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26"/>
      <c r="R31" s="16">
        <f t="shared" si="3"/>
        <v>0</v>
      </c>
      <c r="S31" s="43"/>
      <c r="T31" s="39" t="e">
        <f t="shared" si="4"/>
        <v>#DIV/0!</v>
      </c>
      <c r="U31" s="40"/>
    </row>
    <row r="32" spans="1:21">
      <c r="A32" s="51"/>
      <c r="B32" s="52"/>
      <c r="C32" s="52"/>
      <c r="D32" s="53"/>
      <c r="E32" s="56"/>
      <c r="F32" s="56"/>
      <c r="G32" s="56"/>
      <c r="H32" s="56"/>
      <c r="I32" s="56"/>
      <c r="J32" s="56"/>
      <c r="K32" s="56"/>
      <c r="L32" s="57"/>
      <c r="M32" s="57"/>
      <c r="N32" s="56"/>
      <c r="O32" s="57"/>
      <c r="P32" s="56"/>
      <c r="Q32" s="58"/>
      <c r="R32" s="55"/>
      <c r="S32" s="59"/>
      <c r="T32" s="40"/>
      <c r="U32" s="40"/>
    </row>
    <row r="33" spans="1:21" ht="29">
      <c r="A33" s="35" t="s">
        <v>139</v>
      </c>
      <c r="B33" s="60" t="s">
        <v>140</v>
      </c>
      <c r="C33" s="24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16"/>
    </row>
    <row r="34" spans="1:21">
      <c r="A34" s="23"/>
      <c r="B34" s="25" t="s">
        <v>133</v>
      </c>
      <c r="C34" s="24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6"/>
      <c r="R34" s="16"/>
    </row>
    <row r="35" spans="1:21" ht="58">
      <c r="A35" s="23"/>
      <c r="B35" s="48" t="s">
        <v>134</v>
      </c>
      <c r="C35" s="24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6"/>
      <c r="R35" s="36" t="s">
        <v>136</v>
      </c>
      <c r="S35" s="50" t="s">
        <v>137</v>
      </c>
      <c r="T35" s="49" t="s">
        <v>134</v>
      </c>
    </row>
    <row r="36" spans="1:21">
      <c r="A36" s="23"/>
      <c r="B36" s="24"/>
      <c r="C36" s="24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6"/>
      <c r="R36" s="16">
        <f t="shared" ref="R36:S38" si="5">R25+R14</f>
        <v>0</v>
      </c>
      <c r="S36" s="26">
        <f t="shared" si="5"/>
        <v>0</v>
      </c>
      <c r="T36" s="38">
        <f>S36+R36</f>
        <v>0</v>
      </c>
    </row>
    <row r="37" spans="1:21">
      <c r="A37" s="23"/>
      <c r="B37" s="24" t="s">
        <v>168</v>
      </c>
      <c r="C37" s="24"/>
      <c r="D37" s="29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26"/>
      <c r="R37" s="16">
        <f t="shared" si="5"/>
        <v>0</v>
      </c>
      <c r="S37" s="26">
        <f t="shared" si="5"/>
        <v>0</v>
      </c>
      <c r="T37" s="39" t="e">
        <f t="shared" ref="T37:T42" si="6">(R37+S37)/$T$36</f>
        <v>#DIV/0!</v>
      </c>
    </row>
    <row r="38" spans="1:21">
      <c r="A38" s="23"/>
      <c r="B38" s="24" t="s">
        <v>169</v>
      </c>
      <c r="C38" s="24"/>
      <c r="D38" s="29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26"/>
      <c r="R38" s="16">
        <f t="shared" si="5"/>
        <v>0</v>
      </c>
      <c r="S38" s="26">
        <f t="shared" si="5"/>
        <v>0</v>
      </c>
      <c r="T38" s="39" t="e">
        <f t="shared" si="6"/>
        <v>#DIV/0!</v>
      </c>
    </row>
    <row r="39" spans="1:21">
      <c r="A39" s="23"/>
      <c r="B39" s="24" t="s">
        <v>170</v>
      </c>
      <c r="C39" s="24"/>
      <c r="D39" s="29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26"/>
      <c r="R39" s="16">
        <f t="shared" ref="R39:S42" si="7">R28+R17</f>
        <v>0</v>
      </c>
      <c r="S39" s="26">
        <f t="shared" si="7"/>
        <v>0</v>
      </c>
      <c r="T39" s="39" t="e">
        <f t="shared" si="6"/>
        <v>#DIV/0!</v>
      </c>
    </row>
    <row r="40" spans="1:21">
      <c r="A40" s="23"/>
      <c r="B40" s="24" t="s">
        <v>171</v>
      </c>
      <c r="C40" s="24"/>
      <c r="D40" s="29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26"/>
      <c r="R40" s="16">
        <f t="shared" si="7"/>
        <v>0</v>
      </c>
      <c r="S40" s="26">
        <f t="shared" si="7"/>
        <v>0</v>
      </c>
      <c r="T40" s="39" t="e">
        <f t="shared" si="6"/>
        <v>#DIV/0!</v>
      </c>
    </row>
    <row r="41" spans="1:21" ht="17.5" customHeight="1">
      <c r="A41" s="23"/>
      <c r="B41" s="24" t="s">
        <v>172</v>
      </c>
      <c r="C41" s="24"/>
      <c r="D41" s="29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26"/>
      <c r="R41" s="16">
        <f t="shared" si="7"/>
        <v>0</v>
      </c>
      <c r="S41" s="26">
        <f>S30+S19</f>
        <v>0</v>
      </c>
      <c r="T41" s="39" t="e">
        <f t="shared" si="6"/>
        <v>#DIV/0!</v>
      </c>
    </row>
    <row r="42" spans="1:21">
      <c r="A42" s="23"/>
      <c r="B42" s="24" t="s">
        <v>173</v>
      </c>
      <c r="C42" s="24"/>
      <c r="D42" s="28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26"/>
      <c r="R42" s="16">
        <f t="shared" si="7"/>
        <v>0</v>
      </c>
      <c r="S42" s="26">
        <f t="shared" si="7"/>
        <v>0</v>
      </c>
      <c r="T42" s="39" t="e">
        <f t="shared" si="6"/>
        <v>#DIV/0!</v>
      </c>
      <c r="U42" s="40"/>
    </row>
    <row r="43" spans="1:21">
      <c r="A43" s="51"/>
      <c r="B43" s="52"/>
      <c r="C43" s="52"/>
      <c r="D43" s="53"/>
      <c r="E43" s="56"/>
      <c r="F43" s="56"/>
      <c r="G43" s="56"/>
      <c r="H43" s="56"/>
      <c r="I43" s="56"/>
      <c r="J43" s="56"/>
      <c r="K43" s="56"/>
      <c r="L43" s="57"/>
      <c r="M43" s="57"/>
      <c r="N43" s="56"/>
      <c r="O43" s="57"/>
      <c r="P43" s="56"/>
      <c r="Q43" s="58"/>
      <c r="R43" s="55"/>
      <c r="T43" s="40"/>
      <c r="U43" s="40"/>
    </row>
    <row r="44" spans="1:21" ht="27">
      <c r="A44" s="22" t="s">
        <v>141</v>
      </c>
      <c r="B44" s="30" t="s">
        <v>142</v>
      </c>
      <c r="C44" s="22" t="s">
        <v>143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R44" s="44"/>
    </row>
    <row r="45" spans="1:21">
      <c r="A45" s="22"/>
      <c r="B45" s="22"/>
      <c r="C45" s="22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</row>
    <row r="46" spans="1:21" ht="43.5">
      <c r="A46" s="23" t="s">
        <v>145</v>
      </c>
      <c r="B46" s="35" t="s">
        <v>146</v>
      </c>
      <c r="C46" s="23" t="s">
        <v>147</v>
      </c>
      <c r="D46" s="24">
        <f>SUM(E46:P46)</f>
        <v>0</v>
      </c>
      <c r="E46" s="24">
        <f>E48-E47</f>
        <v>0</v>
      </c>
      <c r="F46" s="24">
        <f t="shared" ref="F46:P46" si="8">F48-F47</f>
        <v>0</v>
      </c>
      <c r="G46" s="24">
        <f t="shared" si="8"/>
        <v>0</v>
      </c>
      <c r="H46" s="24">
        <f t="shared" si="8"/>
        <v>0</v>
      </c>
      <c r="I46" s="24">
        <f t="shared" si="8"/>
        <v>0</v>
      </c>
      <c r="J46" s="24">
        <f t="shared" si="8"/>
        <v>0</v>
      </c>
      <c r="K46" s="24">
        <f t="shared" si="8"/>
        <v>0</v>
      </c>
      <c r="L46" s="24">
        <f t="shared" si="8"/>
        <v>0</v>
      </c>
      <c r="M46" s="24">
        <f t="shared" si="8"/>
        <v>0</v>
      </c>
      <c r="N46" s="24">
        <f t="shared" si="8"/>
        <v>0</v>
      </c>
      <c r="O46" s="24">
        <f t="shared" si="8"/>
        <v>0</v>
      </c>
      <c r="P46" s="24">
        <f t="shared" si="8"/>
        <v>0</v>
      </c>
    </row>
    <row r="47" spans="1:21">
      <c r="A47" s="23"/>
      <c r="B47" s="23" t="s">
        <v>174</v>
      </c>
      <c r="C47" s="23"/>
      <c r="D47" s="2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</row>
    <row r="48" spans="1:21">
      <c r="A48" s="23"/>
      <c r="B48" s="23" t="s">
        <v>175</v>
      </c>
      <c r="C48" s="23"/>
      <c r="D48" s="2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1:8">
      <c r="A49" s="22"/>
      <c r="B49" s="22"/>
      <c r="C49" s="22"/>
    </row>
    <row r="51" spans="1:8" s="19" customFormat="1" ht="72.5">
      <c r="B51" s="63" t="s">
        <v>176</v>
      </c>
      <c r="C51" s="63" t="s">
        <v>177</v>
      </c>
      <c r="D51" s="63" t="s">
        <v>178</v>
      </c>
      <c r="E51" s="63" t="s">
        <v>179</v>
      </c>
      <c r="F51" s="36" t="s">
        <v>180</v>
      </c>
      <c r="G51" s="63" t="s">
        <v>181</v>
      </c>
      <c r="H51" s="63" t="s">
        <v>182</v>
      </c>
    </row>
    <row r="52" spans="1:8">
      <c r="B52" s="44"/>
      <c r="C52" s="44"/>
      <c r="D52" s="44"/>
      <c r="E52" s="44"/>
      <c r="F52" s="44"/>
      <c r="G52" s="44"/>
      <c r="H52" s="62"/>
    </row>
    <row r="53" spans="1:8">
      <c r="B53" s="44"/>
      <c r="C53" s="44"/>
      <c r="D53" s="44"/>
      <c r="E53" s="44"/>
      <c r="F53" s="44"/>
      <c r="G53" s="44"/>
      <c r="H53" s="62"/>
    </row>
    <row r="54" spans="1:8">
      <c r="B54" s="44"/>
      <c r="C54" s="44"/>
      <c r="D54" s="44"/>
      <c r="E54" s="44"/>
      <c r="F54" s="44"/>
      <c r="G54" s="44"/>
      <c r="H54" s="62"/>
    </row>
    <row r="55" spans="1:8">
      <c r="B55" s="44"/>
      <c r="C55" s="44"/>
      <c r="D55" s="44"/>
      <c r="E55" s="44"/>
      <c r="F55" s="44"/>
      <c r="G55" s="44"/>
      <c r="H55" s="62"/>
    </row>
    <row r="56" spans="1:8">
      <c r="B56" s="44"/>
      <c r="C56" s="44"/>
      <c r="D56" s="44"/>
      <c r="E56" s="44"/>
      <c r="F56" s="44"/>
      <c r="G56" s="44"/>
      <c r="H56" s="62"/>
    </row>
    <row r="57" spans="1:8">
      <c r="B57" s="44"/>
      <c r="C57" s="44"/>
      <c r="D57" s="44"/>
      <c r="E57" s="44"/>
      <c r="F57" s="44"/>
      <c r="G57" s="44"/>
      <c r="H57" s="62"/>
    </row>
    <row r="58" spans="1:8">
      <c r="B58" s="44"/>
      <c r="C58" s="44"/>
      <c r="D58" s="44"/>
      <c r="E58" s="44"/>
      <c r="F58" s="44"/>
      <c r="G58" s="44"/>
      <c r="H58" s="62"/>
    </row>
    <row r="59" spans="1:8">
      <c r="B59" s="44"/>
      <c r="C59" s="44"/>
      <c r="D59" s="44"/>
      <c r="E59" s="44"/>
      <c r="F59" s="44"/>
      <c r="G59" s="44"/>
      <c r="H59" s="62"/>
    </row>
    <row r="60" spans="1:8">
      <c r="B60" s="44"/>
      <c r="C60" s="44"/>
      <c r="D60" s="44"/>
      <c r="E60" s="44"/>
      <c r="F60" s="44"/>
      <c r="G60" s="44"/>
      <c r="H60" s="62"/>
    </row>
    <row r="61" spans="1:8">
      <c r="B61" s="44"/>
      <c r="C61" s="44"/>
      <c r="D61" s="44"/>
      <c r="E61" s="44"/>
      <c r="F61" s="44"/>
      <c r="G61" s="44"/>
      <c r="H61" s="62"/>
    </row>
    <row r="62" spans="1:8">
      <c r="B62" s="44"/>
      <c r="C62" s="44"/>
      <c r="D62" s="44"/>
      <c r="E62" s="44"/>
      <c r="F62" s="44"/>
      <c r="G62" s="44"/>
      <c r="H62" s="62"/>
    </row>
    <row r="63" spans="1:8">
      <c r="B63" s="44"/>
      <c r="C63" s="44"/>
      <c r="D63" s="44"/>
      <c r="E63" s="44"/>
      <c r="F63" s="44"/>
      <c r="G63" s="44"/>
      <c r="H63" s="62"/>
    </row>
    <row r="64" spans="1:8">
      <c r="B64" s="44"/>
      <c r="C64" s="44"/>
      <c r="D64" s="44"/>
      <c r="E64" s="44"/>
      <c r="F64" s="44"/>
      <c r="G64" s="44"/>
      <c r="H64" s="62"/>
    </row>
    <row r="65" spans="2:8">
      <c r="B65" s="44"/>
      <c r="C65" s="44"/>
      <c r="D65" s="44"/>
      <c r="E65" s="44"/>
      <c r="F65" s="44"/>
      <c r="G65" s="44"/>
      <c r="H65" s="62"/>
    </row>
    <row r="66" spans="2:8">
      <c r="B66" s="44"/>
      <c r="C66" s="44"/>
      <c r="D66" s="44"/>
      <c r="E66" s="44"/>
      <c r="F66" s="44"/>
      <c r="G66" s="44"/>
      <c r="H66" s="62"/>
    </row>
    <row r="67" spans="2:8">
      <c r="B67" s="44"/>
      <c r="C67" s="44"/>
      <c r="D67" s="44"/>
      <c r="E67" s="44"/>
      <c r="F67" s="44"/>
      <c r="G67" s="44"/>
      <c r="H67" s="62"/>
    </row>
    <row r="68" spans="2:8">
      <c r="B68" s="44"/>
      <c r="C68" s="44"/>
      <c r="D68" s="44"/>
      <c r="E68" s="44"/>
      <c r="F68" s="44"/>
      <c r="G68" s="44"/>
      <c r="H68" s="62"/>
    </row>
    <row r="69" spans="2:8">
      <c r="B69" s="44"/>
      <c r="C69" s="44"/>
      <c r="D69" s="44"/>
      <c r="E69" s="44"/>
      <c r="F69" s="44"/>
      <c r="G69" s="44"/>
      <c r="H69" s="62"/>
    </row>
    <row r="70" spans="2:8">
      <c r="B70" s="44"/>
      <c r="C70" s="44"/>
      <c r="D70" s="44"/>
      <c r="E70" s="44"/>
      <c r="F70" s="44"/>
      <c r="G70" s="44"/>
      <c r="H70" s="62"/>
    </row>
    <row r="71" spans="2:8">
      <c r="B71" s="44"/>
      <c r="C71" s="44"/>
      <c r="D71" s="44"/>
      <c r="E71" s="44"/>
      <c r="F71" s="44"/>
      <c r="G71" s="44"/>
      <c r="H71" s="62"/>
    </row>
    <row r="72" spans="2:8">
      <c r="B72" s="44"/>
      <c r="C72" s="44"/>
      <c r="D72" s="44"/>
      <c r="E72" s="44"/>
      <c r="F72" s="44"/>
      <c r="G72" s="44"/>
      <c r="H72" s="62"/>
    </row>
    <row r="73" spans="2:8">
      <c r="B73" s="44"/>
      <c r="C73" s="44"/>
      <c r="D73" s="44"/>
      <c r="E73" s="44"/>
      <c r="F73" s="44"/>
      <c r="G73" s="44"/>
      <c r="H73" s="62"/>
    </row>
    <row r="74" spans="2:8">
      <c r="B74" s="44"/>
      <c r="C74" s="44"/>
      <c r="D74" s="44"/>
      <c r="E74" s="44"/>
      <c r="F74" s="44"/>
      <c r="G74" s="44"/>
      <c r="H74" s="62"/>
    </row>
    <row r="75" spans="2:8">
      <c r="B75" s="44"/>
      <c r="C75" s="44"/>
      <c r="D75" s="44"/>
      <c r="E75" s="44"/>
      <c r="F75" s="44"/>
      <c r="G75" s="44"/>
      <c r="H75" s="62"/>
    </row>
    <row r="76" spans="2:8">
      <c r="B76" s="44"/>
      <c r="C76" s="44"/>
      <c r="D76" s="44"/>
      <c r="E76" s="44"/>
      <c r="F76" s="44"/>
      <c r="G76" s="44"/>
      <c r="H76" s="62"/>
    </row>
    <row r="77" spans="2:8">
      <c r="B77" s="44"/>
      <c r="C77" s="44"/>
      <c r="D77" s="44"/>
      <c r="E77" s="44"/>
      <c r="F77" s="44"/>
      <c r="G77" s="44"/>
      <c r="H77" s="62"/>
    </row>
    <row r="78" spans="2:8">
      <c r="B78" s="44"/>
      <c r="C78" s="44"/>
      <c r="D78" s="44"/>
      <c r="E78" s="44"/>
      <c r="F78" s="44"/>
      <c r="G78" s="44"/>
      <c r="H78" s="62"/>
    </row>
    <row r="79" spans="2:8">
      <c r="B79" s="44"/>
      <c r="C79" s="44"/>
      <c r="D79" s="44"/>
      <c r="E79" s="44"/>
      <c r="F79" s="44"/>
      <c r="G79" s="44"/>
      <c r="H79" s="62"/>
    </row>
    <row r="80" spans="2:8">
      <c r="B80" s="44"/>
      <c r="C80" s="44"/>
      <c r="D80" s="44"/>
      <c r="E80" s="44"/>
      <c r="F80" s="44"/>
      <c r="G80" s="44"/>
      <c r="H80" s="62"/>
    </row>
    <row r="81" spans="2:8">
      <c r="B81" s="44"/>
      <c r="C81" s="44"/>
      <c r="D81" s="44"/>
      <c r="E81" s="44"/>
      <c r="F81" s="44"/>
      <c r="G81" s="44"/>
      <c r="H81" s="62"/>
    </row>
    <row r="82" spans="2:8">
      <c r="B82" s="44"/>
      <c r="C82" s="44"/>
      <c r="D82" s="44"/>
      <c r="E82" s="44"/>
      <c r="F82" s="44"/>
      <c r="G82" s="44"/>
      <c r="H82" s="62"/>
    </row>
    <row r="83" spans="2:8">
      <c r="B83" s="44"/>
      <c r="C83" s="44"/>
      <c r="D83" s="44"/>
      <c r="E83" s="44"/>
      <c r="F83" s="44"/>
      <c r="G83" s="44"/>
      <c r="H83" s="62"/>
    </row>
    <row r="84" spans="2:8">
      <c r="B84" s="44"/>
      <c r="C84" s="44"/>
      <c r="D84" s="44"/>
      <c r="E84" s="44"/>
      <c r="F84" s="44"/>
      <c r="G84" s="44"/>
      <c r="H84" s="62"/>
    </row>
    <row r="85" spans="2:8">
      <c r="B85" s="44"/>
      <c r="C85" s="44"/>
      <c r="D85" s="44"/>
      <c r="E85" s="44"/>
      <c r="F85" s="44"/>
      <c r="G85" s="44"/>
      <c r="H85" s="62"/>
    </row>
    <row r="86" spans="2:8">
      <c r="B86" s="44"/>
      <c r="C86" s="44"/>
      <c r="D86" s="44"/>
      <c r="E86" s="44"/>
      <c r="F86" s="44"/>
      <c r="G86" s="44"/>
      <c r="H86" s="62"/>
    </row>
    <row r="87" spans="2:8">
      <c r="B87" s="44"/>
      <c r="C87" s="44"/>
      <c r="D87" s="44"/>
      <c r="E87" s="44"/>
      <c r="F87" s="44"/>
      <c r="G87" s="44"/>
      <c r="H87" s="62"/>
    </row>
    <row r="88" spans="2:8">
      <c r="B88" s="44"/>
      <c r="C88" s="44"/>
      <c r="D88" s="44"/>
      <c r="E88" s="44"/>
      <c r="F88" s="44"/>
      <c r="G88" s="44"/>
      <c r="H88" s="62"/>
    </row>
    <row r="89" spans="2:8">
      <c r="B89" s="44"/>
      <c r="C89" s="44"/>
      <c r="D89" s="44"/>
      <c r="E89" s="44"/>
      <c r="F89" s="44"/>
      <c r="G89" s="44"/>
      <c r="H89" s="62"/>
    </row>
    <row r="90" spans="2:8">
      <c r="B90" s="44"/>
      <c r="C90" s="44"/>
      <c r="D90" s="44"/>
      <c r="E90" s="44"/>
      <c r="F90" s="44"/>
      <c r="G90" s="44"/>
      <c r="H90" s="62"/>
    </row>
    <row r="91" spans="2:8">
      <c r="B91" s="44"/>
      <c r="C91" s="44"/>
      <c r="D91" s="44"/>
      <c r="E91" s="44"/>
      <c r="F91" s="44"/>
      <c r="G91" s="44"/>
      <c r="H91" s="62"/>
    </row>
  </sheetData>
  <dataValidations count="1">
    <dataValidation type="list" allowBlank="1" showInputMessage="1" showErrorMessage="1" sqref="C52:C108" xr:uid="{00000000-0002-0000-0C00-000000000000}">
      <formula1>"resellers,big customer,others"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91"/>
  <sheetViews>
    <sheetView workbookViewId="0">
      <selection sqref="A1:IV65536"/>
    </sheetView>
  </sheetViews>
  <sheetFormatPr baseColWidth="10" defaultColWidth="8.7265625" defaultRowHeight="14.5"/>
  <cols>
    <col min="1" max="1" width="6.1796875" customWidth="1"/>
    <col min="2" max="2" width="23.54296875" customWidth="1"/>
    <col min="3" max="16" width="11.81640625" customWidth="1"/>
    <col min="17" max="17" width="5.1796875" customWidth="1"/>
    <col min="18" max="19" width="11.453125" customWidth="1"/>
    <col min="20" max="20" width="25.453125" customWidth="1"/>
    <col min="21" max="256" width="11.453125" customWidth="1"/>
  </cols>
  <sheetData>
    <row r="1" spans="1:21">
      <c r="A1" s="18"/>
      <c r="B1" s="19"/>
      <c r="D1" s="20"/>
      <c r="E1" s="20"/>
      <c r="F1" s="20"/>
      <c r="G1" s="20"/>
      <c r="H1" s="20"/>
    </row>
    <row r="2" spans="1:21" ht="29">
      <c r="A2" s="21" t="s">
        <v>103</v>
      </c>
      <c r="B2" s="21" t="s">
        <v>104</v>
      </c>
      <c r="D2" s="20" t="s">
        <v>105</v>
      </c>
      <c r="E2" s="61" t="s">
        <v>153</v>
      </c>
      <c r="F2" s="61" t="s">
        <v>154</v>
      </c>
      <c r="G2" s="61" t="s">
        <v>155</v>
      </c>
      <c r="H2" s="61" t="s">
        <v>156</v>
      </c>
      <c r="I2" s="61" t="s">
        <v>157</v>
      </c>
      <c r="J2" s="61" t="s">
        <v>158</v>
      </c>
      <c r="K2" s="61" t="s">
        <v>159</v>
      </c>
      <c r="L2" s="61" t="s">
        <v>160</v>
      </c>
      <c r="M2" s="61" t="s">
        <v>161</v>
      </c>
      <c r="N2" s="61" t="s">
        <v>162</v>
      </c>
      <c r="O2" s="61" t="s">
        <v>163</v>
      </c>
      <c r="P2" s="61" t="s">
        <v>164</v>
      </c>
      <c r="R2" s="61" t="s">
        <v>40</v>
      </c>
    </row>
    <row r="3" spans="1:21" ht="57.5" hidden="1">
      <c r="A3" s="22" t="s">
        <v>118</v>
      </c>
      <c r="B3" s="22" t="s">
        <v>119</v>
      </c>
      <c r="C3" s="22" t="s">
        <v>120</v>
      </c>
      <c r="D3" s="43">
        <v>25</v>
      </c>
    </row>
    <row r="4" spans="1:21" ht="46" hidden="1">
      <c r="A4" s="22" t="s">
        <v>121</v>
      </c>
      <c r="B4" s="22" t="s">
        <v>122</v>
      </c>
      <c r="C4" s="22"/>
      <c r="D4" s="43">
        <v>298</v>
      </c>
    </row>
    <row r="5" spans="1:21" ht="34.5" hidden="1">
      <c r="A5" s="42" t="s">
        <v>61</v>
      </c>
      <c r="B5" s="22" t="s">
        <v>123</v>
      </c>
      <c r="C5" s="22"/>
      <c r="D5" s="43">
        <v>0</v>
      </c>
    </row>
    <row r="6" spans="1:21" ht="48" customHeight="1">
      <c r="A6" s="23" t="s">
        <v>165</v>
      </c>
      <c r="B6" s="23" t="s">
        <v>148</v>
      </c>
      <c r="C6" s="23" t="s">
        <v>149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21" ht="29">
      <c r="A7" s="23"/>
      <c r="B7" s="34" t="s">
        <v>166</v>
      </c>
      <c r="C7" s="24"/>
      <c r="D7" s="70">
        <f>SUM(E7:P7)</f>
        <v>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24"/>
      <c r="R7" s="24"/>
    </row>
    <row r="8" spans="1:21" ht="29">
      <c r="A8" s="23"/>
      <c r="B8" s="34" t="s">
        <v>167</v>
      </c>
      <c r="C8" s="24"/>
      <c r="D8" s="24">
        <f>SUM(E8:P8)</f>
        <v>0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24"/>
      <c r="R8" s="24"/>
    </row>
    <row r="9" spans="1:21">
      <c r="A9" s="24"/>
      <c r="B9" s="32" t="s">
        <v>131</v>
      </c>
      <c r="C9" s="32"/>
      <c r="D9" s="33">
        <f>SUM(E9:P9)</f>
        <v>0</v>
      </c>
      <c r="E9" s="33">
        <f>SUM(E7:E8)</f>
        <v>0</v>
      </c>
      <c r="F9" s="33">
        <f t="shared" ref="F9:P9" si="0">SUM(F7:F8)</f>
        <v>0</v>
      </c>
      <c r="G9" s="33">
        <f t="shared" si="0"/>
        <v>0</v>
      </c>
      <c r="H9" s="33">
        <f t="shared" si="0"/>
        <v>0</v>
      </c>
      <c r="I9" s="33">
        <f t="shared" si="0"/>
        <v>0</v>
      </c>
      <c r="J9" s="33">
        <f t="shared" si="0"/>
        <v>0</v>
      </c>
      <c r="K9" s="33">
        <f t="shared" si="0"/>
        <v>0</v>
      </c>
      <c r="L9" s="33">
        <f t="shared" si="0"/>
        <v>0</v>
      </c>
      <c r="M9" s="33">
        <f t="shared" si="0"/>
        <v>0</v>
      </c>
      <c r="N9" s="33">
        <f t="shared" si="0"/>
        <v>0</v>
      </c>
      <c r="O9" s="33">
        <f t="shared" si="0"/>
        <v>0</v>
      </c>
      <c r="P9" s="33">
        <f t="shared" si="0"/>
        <v>0</v>
      </c>
      <c r="Q9" s="24"/>
      <c r="R9" s="24"/>
    </row>
    <row r="11" spans="1:21">
      <c r="A11" s="35"/>
      <c r="B11" s="60" t="s">
        <v>132</v>
      </c>
      <c r="C11" s="24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6"/>
      <c r="R11" s="16"/>
    </row>
    <row r="12" spans="1:21">
      <c r="A12" s="23"/>
      <c r="B12" s="25" t="s">
        <v>133</v>
      </c>
      <c r="C12" s="24"/>
      <c r="D12" s="32">
        <f>SUM(E12:P12)</f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24"/>
      <c r="R12" s="24"/>
    </row>
    <row r="13" spans="1:21" ht="58">
      <c r="A13" s="23"/>
      <c r="B13" s="48" t="s">
        <v>134</v>
      </c>
      <c r="C13" s="23" t="s">
        <v>135</v>
      </c>
      <c r="D13" s="24"/>
      <c r="E13" s="16"/>
      <c r="F13" s="47"/>
      <c r="G13" s="16"/>
      <c r="H13" s="16"/>
      <c r="I13" s="16"/>
      <c r="J13" s="16"/>
      <c r="K13" s="16"/>
      <c r="L13" s="16"/>
      <c r="M13" s="16"/>
      <c r="N13" s="24"/>
      <c r="O13" s="24"/>
      <c r="P13" s="24"/>
      <c r="Q13" s="24"/>
      <c r="R13" s="36" t="s">
        <v>136</v>
      </c>
      <c r="S13" s="50" t="s">
        <v>137</v>
      </c>
      <c r="T13" s="49" t="s">
        <v>134</v>
      </c>
    </row>
    <row r="14" spans="1:21">
      <c r="A14" s="23"/>
      <c r="B14" s="24"/>
      <c r="C14" s="23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6"/>
      <c r="R14" s="16">
        <f>SUM(R15:R20)</f>
        <v>0</v>
      </c>
      <c r="S14">
        <f>SUM(S15:S20)</f>
        <v>0</v>
      </c>
      <c r="T14" s="38">
        <f>S14+R14</f>
        <v>0</v>
      </c>
    </row>
    <row r="15" spans="1:21">
      <c r="A15" s="23"/>
      <c r="B15" s="24" t="s">
        <v>168</v>
      </c>
      <c r="C15" s="24"/>
      <c r="D15" s="28"/>
      <c r="E15" s="45"/>
      <c r="F15" s="45"/>
      <c r="G15" s="45"/>
      <c r="H15" s="45"/>
      <c r="I15" s="45"/>
      <c r="J15" s="45"/>
      <c r="K15" s="45"/>
      <c r="L15" s="46"/>
      <c r="M15" s="46"/>
      <c r="N15" s="45"/>
      <c r="O15" s="46"/>
      <c r="P15" s="45"/>
      <c r="Q15" s="26"/>
      <c r="R15" s="16">
        <f t="shared" ref="R15:R20" si="1">E15*$E$7+F15*$F$7+G15*$G$7+H15*$H$7+I15*$I$7+J15*$J$7+K15*$K$7+L15*$L$7+M15*$M$7+N15*$N$7+O15*$O$7+P15*$P$7</f>
        <v>0</v>
      </c>
      <c r="S15" s="43"/>
      <c r="T15" s="39" t="e">
        <f t="shared" ref="T15:T20" si="2">(R15+S15)/$T$14</f>
        <v>#DIV/0!</v>
      </c>
      <c r="U15" s="40"/>
    </row>
    <row r="16" spans="1:21">
      <c r="A16" s="23"/>
      <c r="B16" s="24" t="s">
        <v>169</v>
      </c>
      <c r="C16" s="24"/>
      <c r="D16" s="28"/>
      <c r="E16" s="45"/>
      <c r="F16" s="45"/>
      <c r="G16" s="45"/>
      <c r="H16" s="45"/>
      <c r="I16" s="45"/>
      <c r="J16" s="45"/>
      <c r="K16" s="45"/>
      <c r="L16" s="46"/>
      <c r="M16" s="46"/>
      <c r="N16" s="45"/>
      <c r="O16" s="46"/>
      <c r="P16" s="45"/>
      <c r="Q16" s="26"/>
      <c r="R16" s="16">
        <f t="shared" si="1"/>
        <v>0</v>
      </c>
      <c r="S16" s="43"/>
      <c r="T16" s="39" t="e">
        <f t="shared" si="2"/>
        <v>#DIV/0!</v>
      </c>
      <c r="U16" s="40"/>
    </row>
    <row r="17" spans="1:21">
      <c r="A17" s="23"/>
      <c r="B17" s="24" t="s">
        <v>170</v>
      </c>
      <c r="C17" s="24"/>
      <c r="D17" s="28"/>
      <c r="E17" s="45"/>
      <c r="F17" s="45"/>
      <c r="G17" s="45"/>
      <c r="H17" s="45"/>
      <c r="I17" s="45"/>
      <c r="J17" s="45"/>
      <c r="K17" s="45"/>
      <c r="L17" s="46"/>
      <c r="M17" s="46"/>
      <c r="N17" s="45"/>
      <c r="O17" s="46"/>
      <c r="P17" s="45"/>
      <c r="Q17" s="26"/>
      <c r="R17" s="16">
        <f t="shared" si="1"/>
        <v>0</v>
      </c>
      <c r="S17" s="43"/>
      <c r="T17" s="39" t="e">
        <f t="shared" si="2"/>
        <v>#DIV/0!</v>
      </c>
      <c r="U17" s="40"/>
    </row>
    <row r="18" spans="1:21">
      <c r="A18" s="23"/>
      <c r="B18" s="24" t="s">
        <v>171</v>
      </c>
      <c r="C18" s="24"/>
      <c r="D18" s="28"/>
      <c r="E18" s="45"/>
      <c r="F18" s="45"/>
      <c r="G18" s="45"/>
      <c r="H18" s="45"/>
      <c r="I18" s="45"/>
      <c r="J18" s="45"/>
      <c r="K18" s="45"/>
      <c r="L18" s="46"/>
      <c r="M18" s="46"/>
      <c r="N18" s="45"/>
      <c r="O18" s="46"/>
      <c r="P18" s="45"/>
      <c r="Q18" s="26"/>
      <c r="R18" s="16">
        <f t="shared" si="1"/>
        <v>0</v>
      </c>
      <c r="S18" s="43"/>
      <c r="T18" s="39" t="e">
        <f t="shared" si="2"/>
        <v>#DIV/0!</v>
      </c>
      <c r="U18" s="40"/>
    </row>
    <row r="19" spans="1:21">
      <c r="A19" s="23"/>
      <c r="B19" s="24" t="s">
        <v>172</v>
      </c>
      <c r="C19" s="24"/>
      <c r="D19" s="28"/>
      <c r="E19" s="45"/>
      <c r="F19" s="45"/>
      <c r="G19" s="45"/>
      <c r="H19" s="45"/>
      <c r="I19" s="45"/>
      <c r="J19" s="45"/>
      <c r="K19" s="45"/>
      <c r="L19" s="46"/>
      <c r="M19" s="46"/>
      <c r="N19" s="45"/>
      <c r="O19" s="46"/>
      <c r="P19" s="45"/>
      <c r="Q19" s="26"/>
      <c r="R19" s="16">
        <f t="shared" si="1"/>
        <v>0</v>
      </c>
      <c r="S19" s="43"/>
      <c r="T19" s="39" t="e">
        <f t="shared" si="2"/>
        <v>#DIV/0!</v>
      </c>
      <c r="U19" s="40"/>
    </row>
    <row r="20" spans="1:21">
      <c r="A20" s="23"/>
      <c r="B20" s="24" t="s">
        <v>173</v>
      </c>
      <c r="C20" s="24"/>
      <c r="D20" s="28"/>
      <c r="E20" s="66"/>
      <c r="F20" s="45"/>
      <c r="G20" s="45"/>
      <c r="H20" s="45"/>
      <c r="I20" s="45"/>
      <c r="J20" s="45"/>
      <c r="K20" s="45"/>
      <c r="L20" s="46"/>
      <c r="M20" s="46"/>
      <c r="N20" s="45"/>
      <c r="O20" s="46"/>
      <c r="P20" s="45"/>
      <c r="Q20" s="26"/>
      <c r="R20" s="16">
        <f t="shared" si="1"/>
        <v>0</v>
      </c>
      <c r="S20" s="43"/>
      <c r="T20" s="39" t="e">
        <f t="shared" si="2"/>
        <v>#DIV/0!</v>
      </c>
      <c r="U20" s="40"/>
    </row>
    <row r="21" spans="1:21">
      <c r="A21" s="51"/>
      <c r="B21" s="52"/>
      <c r="C21" s="52"/>
      <c r="D21" s="64"/>
      <c r="E21" s="68"/>
      <c r="F21" s="65"/>
      <c r="G21" s="65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5"/>
      <c r="T21" s="40"/>
      <c r="U21" s="40"/>
    </row>
    <row r="22" spans="1:21">
      <c r="A22" s="35"/>
      <c r="B22" s="60" t="s">
        <v>138</v>
      </c>
      <c r="C22" s="24"/>
      <c r="D22" s="29"/>
      <c r="E22" s="67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16"/>
    </row>
    <row r="23" spans="1:21">
      <c r="A23" s="23"/>
      <c r="B23" s="25" t="s">
        <v>133</v>
      </c>
      <c r="C23" s="24"/>
      <c r="D23" s="29"/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26"/>
      <c r="R23" s="16"/>
    </row>
    <row r="24" spans="1:21" ht="58">
      <c r="A24" s="23"/>
      <c r="B24" s="48" t="s">
        <v>134</v>
      </c>
      <c r="C24" s="24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6"/>
      <c r="R24" s="36" t="s">
        <v>136</v>
      </c>
      <c r="S24" s="50" t="s">
        <v>137</v>
      </c>
      <c r="T24" s="49" t="s">
        <v>134</v>
      </c>
    </row>
    <row r="25" spans="1:21">
      <c r="A25" s="23"/>
      <c r="B25" s="24"/>
      <c r="C25" s="2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6"/>
      <c r="R25" s="16">
        <f>SUM(R26:R31)</f>
        <v>0</v>
      </c>
      <c r="S25">
        <f>SUM(S26:S31)</f>
        <v>0</v>
      </c>
      <c r="T25" s="38">
        <f>S25+R25</f>
        <v>0</v>
      </c>
    </row>
    <row r="26" spans="1:21">
      <c r="A26" s="23"/>
      <c r="B26" s="24" t="s">
        <v>168</v>
      </c>
      <c r="C26" s="24"/>
      <c r="D26" s="29"/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26"/>
      <c r="R26" s="16">
        <f t="shared" ref="R26:R31" si="3">E26*$E$8+F26*$F$8+G26*$G$8+H26*$H$8+I26*$I$8+J26*$J$8+K26*$K$8+L26*$L$8+M26*$M$8+N26*$N$8+O26*$O$8+P26*$P$8</f>
        <v>0</v>
      </c>
      <c r="S26" s="43"/>
      <c r="T26" s="39" t="e">
        <f t="shared" ref="T26:T31" si="4">(R26+S26)/$T$25</f>
        <v>#DIV/0!</v>
      </c>
    </row>
    <row r="27" spans="1:21">
      <c r="A27" s="23"/>
      <c r="B27" s="24" t="s">
        <v>169</v>
      </c>
      <c r="C27" s="24"/>
      <c r="D27" s="29"/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26"/>
      <c r="R27" s="16">
        <f t="shared" si="3"/>
        <v>0</v>
      </c>
      <c r="S27" s="43"/>
      <c r="T27" s="39" t="e">
        <f t="shared" si="4"/>
        <v>#DIV/0!</v>
      </c>
    </row>
    <row r="28" spans="1:21">
      <c r="A28" s="23"/>
      <c r="B28" s="24" t="s">
        <v>170</v>
      </c>
      <c r="C28" s="24"/>
      <c r="D28" s="29"/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26"/>
      <c r="R28" s="16">
        <f t="shared" si="3"/>
        <v>0</v>
      </c>
      <c r="S28" s="43"/>
      <c r="T28" s="39" t="e">
        <f t="shared" si="4"/>
        <v>#DIV/0!</v>
      </c>
    </row>
    <row r="29" spans="1:21">
      <c r="A29" s="23"/>
      <c r="B29" s="24" t="s">
        <v>171</v>
      </c>
      <c r="C29" s="24"/>
      <c r="D29" s="29"/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26"/>
      <c r="R29" s="16">
        <f t="shared" si="3"/>
        <v>0</v>
      </c>
      <c r="S29" s="43"/>
      <c r="T29" s="39" t="e">
        <f t="shared" si="4"/>
        <v>#DIV/0!</v>
      </c>
    </row>
    <row r="30" spans="1:21" ht="17.5" customHeight="1">
      <c r="A30" s="23"/>
      <c r="B30" s="24" t="s">
        <v>172</v>
      </c>
      <c r="C30" s="24"/>
      <c r="D30" s="29"/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26"/>
      <c r="R30" s="16">
        <f t="shared" si="3"/>
        <v>0</v>
      </c>
      <c r="S30" s="43"/>
      <c r="T30" s="39" t="e">
        <f t="shared" si="4"/>
        <v>#DIV/0!</v>
      </c>
    </row>
    <row r="31" spans="1:21">
      <c r="A31" s="23"/>
      <c r="B31" s="24" t="s">
        <v>173</v>
      </c>
      <c r="C31" s="24"/>
      <c r="D31" s="28"/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26"/>
      <c r="R31" s="16">
        <f t="shared" si="3"/>
        <v>0</v>
      </c>
      <c r="S31" s="43"/>
      <c r="T31" s="39" t="e">
        <f t="shared" si="4"/>
        <v>#DIV/0!</v>
      </c>
      <c r="U31" s="40"/>
    </row>
    <row r="32" spans="1:21">
      <c r="A32" s="51"/>
      <c r="B32" s="52"/>
      <c r="C32" s="52"/>
      <c r="D32" s="53"/>
      <c r="E32" s="56"/>
      <c r="F32" s="56"/>
      <c r="G32" s="56"/>
      <c r="H32" s="56"/>
      <c r="I32" s="56"/>
      <c r="J32" s="56"/>
      <c r="K32" s="56"/>
      <c r="L32" s="57"/>
      <c r="M32" s="57"/>
      <c r="N32" s="56"/>
      <c r="O32" s="57"/>
      <c r="P32" s="56"/>
      <c r="Q32" s="58"/>
      <c r="R32" s="55"/>
      <c r="S32" s="59"/>
      <c r="T32" s="40"/>
      <c r="U32" s="40"/>
    </row>
    <row r="33" spans="1:21" ht="29">
      <c r="A33" s="35" t="s">
        <v>139</v>
      </c>
      <c r="B33" s="60" t="s">
        <v>140</v>
      </c>
      <c r="C33" s="24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16"/>
    </row>
    <row r="34" spans="1:21">
      <c r="A34" s="23"/>
      <c r="B34" s="25" t="s">
        <v>133</v>
      </c>
      <c r="C34" s="24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6"/>
      <c r="R34" s="16"/>
    </row>
    <row r="35" spans="1:21" ht="58">
      <c r="A35" s="23"/>
      <c r="B35" s="48" t="s">
        <v>134</v>
      </c>
      <c r="C35" s="24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6"/>
      <c r="R35" s="36" t="s">
        <v>136</v>
      </c>
      <c r="S35" s="50" t="s">
        <v>137</v>
      </c>
      <c r="T35" s="49" t="s">
        <v>134</v>
      </c>
    </row>
    <row r="36" spans="1:21">
      <c r="A36" s="23"/>
      <c r="B36" s="24"/>
      <c r="C36" s="24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6"/>
      <c r="R36" s="16">
        <f t="shared" ref="R36:S38" si="5">R25+R14</f>
        <v>0</v>
      </c>
      <c r="S36" s="26">
        <f t="shared" si="5"/>
        <v>0</v>
      </c>
      <c r="T36" s="38">
        <f>S36+R36</f>
        <v>0</v>
      </c>
    </row>
    <row r="37" spans="1:21">
      <c r="A37" s="23"/>
      <c r="B37" s="24" t="s">
        <v>168</v>
      </c>
      <c r="C37" s="24"/>
      <c r="D37" s="29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26"/>
      <c r="R37" s="16">
        <f t="shared" si="5"/>
        <v>0</v>
      </c>
      <c r="S37" s="26">
        <f t="shared" si="5"/>
        <v>0</v>
      </c>
      <c r="T37" s="39" t="e">
        <f t="shared" ref="T37:T42" si="6">(R37+S37)/$T$36</f>
        <v>#DIV/0!</v>
      </c>
    </row>
    <row r="38" spans="1:21">
      <c r="A38" s="23"/>
      <c r="B38" s="24" t="s">
        <v>169</v>
      </c>
      <c r="C38" s="24"/>
      <c r="D38" s="29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26"/>
      <c r="R38" s="16">
        <f t="shared" si="5"/>
        <v>0</v>
      </c>
      <c r="S38" s="26">
        <f t="shared" si="5"/>
        <v>0</v>
      </c>
      <c r="T38" s="39" t="e">
        <f t="shared" si="6"/>
        <v>#DIV/0!</v>
      </c>
    </row>
    <row r="39" spans="1:21">
      <c r="A39" s="23"/>
      <c r="B39" s="24" t="s">
        <v>170</v>
      </c>
      <c r="C39" s="24"/>
      <c r="D39" s="29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26"/>
      <c r="R39" s="16">
        <f t="shared" ref="R39:S42" si="7">R28+R17</f>
        <v>0</v>
      </c>
      <c r="S39" s="26">
        <f t="shared" si="7"/>
        <v>0</v>
      </c>
      <c r="T39" s="39" t="e">
        <f t="shared" si="6"/>
        <v>#DIV/0!</v>
      </c>
    </row>
    <row r="40" spans="1:21">
      <c r="A40" s="23"/>
      <c r="B40" s="24" t="s">
        <v>171</v>
      </c>
      <c r="C40" s="24"/>
      <c r="D40" s="29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26"/>
      <c r="R40" s="16">
        <f t="shared" si="7"/>
        <v>0</v>
      </c>
      <c r="S40" s="26">
        <f t="shared" si="7"/>
        <v>0</v>
      </c>
      <c r="T40" s="39" t="e">
        <f t="shared" si="6"/>
        <v>#DIV/0!</v>
      </c>
    </row>
    <row r="41" spans="1:21" ht="17.5" customHeight="1">
      <c r="A41" s="23"/>
      <c r="B41" s="24" t="s">
        <v>172</v>
      </c>
      <c r="C41" s="24"/>
      <c r="D41" s="29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26"/>
      <c r="R41" s="16">
        <f t="shared" si="7"/>
        <v>0</v>
      </c>
      <c r="S41" s="26">
        <f>S30+S19</f>
        <v>0</v>
      </c>
      <c r="T41" s="39" t="e">
        <f t="shared" si="6"/>
        <v>#DIV/0!</v>
      </c>
    </row>
    <row r="42" spans="1:21">
      <c r="A42" s="23"/>
      <c r="B42" s="24" t="s">
        <v>173</v>
      </c>
      <c r="C42" s="24"/>
      <c r="D42" s="28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26"/>
      <c r="R42" s="16">
        <f t="shared" si="7"/>
        <v>0</v>
      </c>
      <c r="S42" s="26">
        <f t="shared" si="7"/>
        <v>0</v>
      </c>
      <c r="T42" s="39" t="e">
        <f t="shared" si="6"/>
        <v>#DIV/0!</v>
      </c>
      <c r="U42" s="40"/>
    </row>
    <row r="43" spans="1:21">
      <c r="A43" s="51"/>
      <c r="B43" s="52"/>
      <c r="C43" s="52"/>
      <c r="D43" s="53"/>
      <c r="E43" s="56"/>
      <c r="F43" s="56"/>
      <c r="G43" s="56"/>
      <c r="H43" s="56"/>
      <c r="I43" s="56"/>
      <c r="J43" s="56"/>
      <c r="K43" s="56"/>
      <c r="L43" s="57"/>
      <c r="M43" s="57"/>
      <c r="N43" s="56"/>
      <c r="O43" s="57"/>
      <c r="P43" s="56"/>
      <c r="Q43" s="58"/>
      <c r="R43" s="55"/>
      <c r="T43" s="40"/>
      <c r="U43" s="40"/>
    </row>
    <row r="44" spans="1:21" ht="27">
      <c r="A44" s="22" t="s">
        <v>141</v>
      </c>
      <c r="B44" s="30" t="s">
        <v>142</v>
      </c>
      <c r="C44" s="22" t="s">
        <v>143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R44" s="44"/>
    </row>
    <row r="45" spans="1:21">
      <c r="A45" s="22"/>
      <c r="B45" s="22"/>
      <c r="C45" s="22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</row>
    <row r="46" spans="1:21" ht="43.5">
      <c r="A46" s="23" t="s">
        <v>145</v>
      </c>
      <c r="B46" s="35" t="s">
        <v>146</v>
      </c>
      <c r="C46" s="23" t="s">
        <v>147</v>
      </c>
      <c r="D46" s="24">
        <f>SUM(E46:P46)</f>
        <v>0</v>
      </c>
      <c r="E46" s="24">
        <f>E48-E47</f>
        <v>0</v>
      </c>
      <c r="F46" s="24">
        <f t="shared" ref="F46:P46" si="8">F48-F47</f>
        <v>0</v>
      </c>
      <c r="G46" s="24">
        <f t="shared" si="8"/>
        <v>0</v>
      </c>
      <c r="H46" s="24">
        <f t="shared" si="8"/>
        <v>0</v>
      </c>
      <c r="I46" s="24">
        <f t="shared" si="8"/>
        <v>0</v>
      </c>
      <c r="J46" s="24">
        <f t="shared" si="8"/>
        <v>0</v>
      </c>
      <c r="K46" s="24">
        <f t="shared" si="8"/>
        <v>0</v>
      </c>
      <c r="L46" s="24">
        <f t="shared" si="8"/>
        <v>0</v>
      </c>
      <c r="M46" s="24">
        <f t="shared" si="8"/>
        <v>0</v>
      </c>
      <c r="N46" s="24">
        <f t="shared" si="8"/>
        <v>0</v>
      </c>
      <c r="O46" s="24">
        <f t="shared" si="8"/>
        <v>0</v>
      </c>
      <c r="P46" s="24">
        <f t="shared" si="8"/>
        <v>0</v>
      </c>
    </row>
    <row r="47" spans="1:21">
      <c r="A47" s="23"/>
      <c r="B47" s="23" t="s">
        <v>174</v>
      </c>
      <c r="C47" s="23"/>
      <c r="D47" s="2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</row>
    <row r="48" spans="1:21">
      <c r="A48" s="23"/>
      <c r="B48" s="23" t="s">
        <v>175</v>
      </c>
      <c r="C48" s="23"/>
      <c r="D48" s="2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1:8">
      <c r="A49" s="22"/>
      <c r="B49" s="22"/>
      <c r="C49" s="22"/>
    </row>
    <row r="51" spans="1:8" s="19" customFormat="1" ht="72.5">
      <c r="B51" s="63" t="s">
        <v>176</v>
      </c>
      <c r="C51" s="63" t="s">
        <v>177</v>
      </c>
      <c r="D51" s="63" t="s">
        <v>178</v>
      </c>
      <c r="E51" s="63" t="s">
        <v>179</v>
      </c>
      <c r="F51" s="36" t="s">
        <v>180</v>
      </c>
      <c r="G51" s="63" t="s">
        <v>181</v>
      </c>
      <c r="H51" s="63" t="s">
        <v>182</v>
      </c>
    </row>
    <row r="52" spans="1:8">
      <c r="B52" s="44"/>
      <c r="C52" s="44"/>
      <c r="D52" s="44"/>
      <c r="E52" s="44"/>
      <c r="F52" s="44"/>
      <c r="G52" s="44"/>
      <c r="H52" s="62"/>
    </row>
    <row r="53" spans="1:8">
      <c r="B53" s="44"/>
      <c r="C53" s="44"/>
      <c r="D53" s="44"/>
      <c r="E53" s="44"/>
      <c r="F53" s="44"/>
      <c r="G53" s="44"/>
      <c r="H53" s="62"/>
    </row>
    <row r="54" spans="1:8">
      <c r="B54" s="44"/>
      <c r="C54" s="44"/>
      <c r="D54" s="44"/>
      <c r="E54" s="44"/>
      <c r="F54" s="44"/>
      <c r="G54" s="44"/>
      <c r="H54" s="62"/>
    </row>
    <row r="55" spans="1:8">
      <c r="B55" s="44"/>
      <c r="C55" s="44"/>
      <c r="D55" s="44"/>
      <c r="E55" s="44"/>
      <c r="F55" s="44"/>
      <c r="G55" s="44"/>
      <c r="H55" s="62"/>
    </row>
    <row r="56" spans="1:8">
      <c r="B56" s="44"/>
      <c r="C56" s="44"/>
      <c r="D56" s="44"/>
      <c r="E56" s="44"/>
      <c r="F56" s="44"/>
      <c r="G56" s="44"/>
      <c r="H56" s="62"/>
    </row>
    <row r="57" spans="1:8">
      <c r="B57" s="44"/>
      <c r="C57" s="44"/>
      <c r="D57" s="44"/>
      <c r="E57" s="44"/>
      <c r="F57" s="44"/>
      <c r="G57" s="44"/>
      <c r="H57" s="62"/>
    </row>
    <row r="58" spans="1:8">
      <c r="B58" s="44"/>
      <c r="C58" s="44"/>
      <c r="D58" s="44"/>
      <c r="E58" s="44"/>
      <c r="F58" s="44"/>
      <c r="G58" s="44"/>
      <c r="H58" s="62"/>
    </row>
    <row r="59" spans="1:8">
      <c r="B59" s="44"/>
      <c r="C59" s="44"/>
      <c r="D59" s="44"/>
      <c r="E59" s="44"/>
      <c r="F59" s="44"/>
      <c r="G59" s="44"/>
      <c r="H59" s="62"/>
    </row>
    <row r="60" spans="1:8">
      <c r="B60" s="44"/>
      <c r="C60" s="44"/>
      <c r="D60" s="44"/>
      <c r="E60" s="44"/>
      <c r="F60" s="44"/>
      <c r="G60" s="44"/>
      <c r="H60" s="62"/>
    </row>
    <row r="61" spans="1:8">
      <c r="B61" s="44"/>
      <c r="C61" s="44"/>
      <c r="D61" s="44"/>
      <c r="E61" s="44"/>
      <c r="F61" s="44"/>
      <c r="G61" s="44"/>
      <c r="H61" s="62"/>
    </row>
    <row r="62" spans="1:8">
      <c r="B62" s="44"/>
      <c r="C62" s="44"/>
      <c r="D62" s="44"/>
      <c r="E62" s="44"/>
      <c r="F62" s="44"/>
      <c r="G62" s="44"/>
      <c r="H62" s="62"/>
    </row>
    <row r="63" spans="1:8">
      <c r="B63" s="44"/>
      <c r="C63" s="44"/>
      <c r="D63" s="44"/>
      <c r="E63" s="44"/>
      <c r="F63" s="44"/>
      <c r="G63" s="44"/>
      <c r="H63" s="62"/>
    </row>
    <row r="64" spans="1:8">
      <c r="B64" s="44"/>
      <c r="C64" s="44"/>
      <c r="D64" s="44"/>
      <c r="E64" s="44"/>
      <c r="F64" s="44"/>
      <c r="G64" s="44"/>
      <c r="H64" s="62"/>
    </row>
    <row r="65" spans="2:8">
      <c r="B65" s="44"/>
      <c r="C65" s="44"/>
      <c r="D65" s="44"/>
      <c r="E65" s="44"/>
      <c r="F65" s="44"/>
      <c r="G65" s="44"/>
      <c r="H65" s="62"/>
    </row>
    <row r="66" spans="2:8">
      <c r="B66" s="44"/>
      <c r="C66" s="44"/>
      <c r="D66" s="44"/>
      <c r="E66" s="44"/>
      <c r="F66" s="44"/>
      <c r="G66" s="44"/>
      <c r="H66" s="62"/>
    </row>
    <row r="67" spans="2:8">
      <c r="B67" s="44"/>
      <c r="C67" s="44"/>
      <c r="D67" s="44"/>
      <c r="E67" s="44"/>
      <c r="F67" s="44"/>
      <c r="G67" s="44"/>
      <c r="H67" s="62"/>
    </row>
    <row r="68" spans="2:8">
      <c r="B68" s="44"/>
      <c r="C68" s="44"/>
      <c r="D68" s="44"/>
      <c r="E68" s="44"/>
      <c r="F68" s="44"/>
      <c r="G68" s="44"/>
      <c r="H68" s="62"/>
    </row>
    <row r="69" spans="2:8">
      <c r="B69" s="44"/>
      <c r="C69" s="44"/>
      <c r="D69" s="44"/>
      <c r="E69" s="44"/>
      <c r="F69" s="44"/>
      <c r="G69" s="44"/>
      <c r="H69" s="62"/>
    </row>
    <row r="70" spans="2:8">
      <c r="B70" s="44"/>
      <c r="C70" s="44"/>
      <c r="D70" s="44"/>
      <c r="E70" s="44"/>
      <c r="F70" s="44"/>
      <c r="G70" s="44"/>
      <c r="H70" s="62"/>
    </row>
    <row r="71" spans="2:8">
      <c r="B71" s="44"/>
      <c r="C71" s="44"/>
      <c r="D71" s="44"/>
      <c r="E71" s="44"/>
      <c r="F71" s="44"/>
      <c r="G71" s="44"/>
      <c r="H71" s="62"/>
    </row>
    <row r="72" spans="2:8">
      <c r="B72" s="44"/>
      <c r="C72" s="44"/>
      <c r="D72" s="44"/>
      <c r="E72" s="44"/>
      <c r="F72" s="44"/>
      <c r="G72" s="44"/>
      <c r="H72" s="62"/>
    </row>
    <row r="73" spans="2:8">
      <c r="B73" s="44"/>
      <c r="C73" s="44"/>
      <c r="D73" s="44"/>
      <c r="E73" s="44"/>
      <c r="F73" s="44"/>
      <c r="G73" s="44"/>
      <c r="H73" s="62"/>
    </row>
    <row r="74" spans="2:8">
      <c r="B74" s="44"/>
      <c r="C74" s="44"/>
      <c r="D74" s="44"/>
      <c r="E74" s="44"/>
      <c r="F74" s="44"/>
      <c r="G74" s="44"/>
      <c r="H74" s="62"/>
    </row>
    <row r="75" spans="2:8">
      <c r="B75" s="44"/>
      <c r="C75" s="44"/>
      <c r="D75" s="44"/>
      <c r="E75" s="44"/>
      <c r="F75" s="44"/>
      <c r="G75" s="44"/>
      <c r="H75" s="62"/>
    </row>
    <row r="76" spans="2:8">
      <c r="B76" s="44"/>
      <c r="C76" s="44"/>
      <c r="D76" s="44"/>
      <c r="E76" s="44"/>
      <c r="F76" s="44"/>
      <c r="G76" s="44"/>
      <c r="H76" s="62"/>
    </row>
    <row r="77" spans="2:8">
      <c r="B77" s="44"/>
      <c r="C77" s="44"/>
      <c r="D77" s="44"/>
      <c r="E77" s="44"/>
      <c r="F77" s="44"/>
      <c r="G77" s="44"/>
      <c r="H77" s="62"/>
    </row>
    <row r="78" spans="2:8">
      <c r="B78" s="44"/>
      <c r="C78" s="44"/>
      <c r="D78" s="44"/>
      <c r="E78" s="44"/>
      <c r="F78" s="44"/>
      <c r="G78" s="44"/>
      <c r="H78" s="62"/>
    </row>
    <row r="79" spans="2:8">
      <c r="B79" s="44"/>
      <c r="C79" s="44"/>
      <c r="D79" s="44"/>
      <c r="E79" s="44"/>
      <c r="F79" s="44"/>
      <c r="G79" s="44"/>
      <c r="H79" s="62"/>
    </row>
    <row r="80" spans="2:8">
      <c r="B80" s="44"/>
      <c r="C80" s="44"/>
      <c r="D80" s="44"/>
      <c r="E80" s="44"/>
      <c r="F80" s="44"/>
      <c r="G80" s="44"/>
      <c r="H80" s="62"/>
    </row>
    <row r="81" spans="2:8">
      <c r="B81" s="44"/>
      <c r="C81" s="44"/>
      <c r="D81" s="44"/>
      <c r="E81" s="44"/>
      <c r="F81" s="44"/>
      <c r="G81" s="44"/>
      <c r="H81" s="62"/>
    </row>
    <row r="82" spans="2:8">
      <c r="B82" s="44"/>
      <c r="C82" s="44"/>
      <c r="D82" s="44"/>
      <c r="E82" s="44"/>
      <c r="F82" s="44"/>
      <c r="G82" s="44"/>
      <c r="H82" s="62"/>
    </row>
    <row r="83" spans="2:8">
      <c r="B83" s="44"/>
      <c r="C83" s="44"/>
      <c r="D83" s="44"/>
      <c r="E83" s="44"/>
      <c r="F83" s="44"/>
      <c r="G83" s="44"/>
      <c r="H83" s="62"/>
    </row>
    <row r="84" spans="2:8">
      <c r="B84" s="44"/>
      <c r="C84" s="44"/>
      <c r="D84" s="44"/>
      <c r="E84" s="44"/>
      <c r="F84" s="44"/>
      <c r="G84" s="44"/>
      <c r="H84" s="62"/>
    </row>
    <row r="85" spans="2:8">
      <c r="B85" s="44"/>
      <c r="C85" s="44"/>
      <c r="D85" s="44"/>
      <c r="E85" s="44"/>
      <c r="F85" s="44"/>
      <c r="G85" s="44"/>
      <c r="H85" s="62"/>
    </row>
    <row r="86" spans="2:8">
      <c r="B86" s="44"/>
      <c r="C86" s="44"/>
      <c r="D86" s="44"/>
      <c r="E86" s="44"/>
      <c r="F86" s="44"/>
      <c r="G86" s="44"/>
      <c r="H86" s="62"/>
    </row>
    <row r="87" spans="2:8">
      <c r="B87" s="44"/>
      <c r="C87" s="44"/>
      <c r="D87" s="44"/>
      <c r="E87" s="44"/>
      <c r="F87" s="44"/>
      <c r="G87" s="44"/>
      <c r="H87" s="62"/>
    </row>
    <row r="88" spans="2:8">
      <c r="B88" s="44"/>
      <c r="C88" s="44"/>
      <c r="D88" s="44"/>
      <c r="E88" s="44"/>
      <c r="F88" s="44"/>
      <c r="G88" s="44"/>
      <c r="H88" s="62"/>
    </row>
    <row r="89" spans="2:8">
      <c r="B89" s="44"/>
      <c r="C89" s="44"/>
      <c r="D89" s="44"/>
      <c r="E89" s="44"/>
      <c r="F89" s="44"/>
      <c r="G89" s="44"/>
      <c r="H89" s="62"/>
    </row>
    <row r="90" spans="2:8">
      <c r="B90" s="44"/>
      <c r="C90" s="44"/>
      <c r="D90" s="44"/>
      <c r="E90" s="44"/>
      <c r="F90" s="44"/>
      <c r="G90" s="44"/>
      <c r="H90" s="62"/>
    </row>
    <row r="91" spans="2:8">
      <c r="B91" s="44"/>
      <c r="C91" s="44"/>
      <c r="D91" s="44"/>
      <c r="E91" s="44"/>
      <c r="F91" s="44"/>
      <c r="G91" s="44"/>
      <c r="H91" s="62"/>
    </row>
  </sheetData>
  <dataValidations count="1">
    <dataValidation type="list" allowBlank="1" showInputMessage="1" showErrorMessage="1" sqref="C52:C108" xr:uid="{00000000-0002-0000-0D00-000000000000}">
      <formula1>"resellers,big customer,others"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5A9D88B9C4349B0C5E5B033594ED0" ma:contentTypeVersion="14" ma:contentTypeDescription="Crée un document." ma:contentTypeScope="" ma:versionID="d1e55f9a2b1185a3b2bb04d07740f6e7">
  <xsd:schema xmlns:xsd="http://www.w3.org/2001/XMLSchema" xmlns:xs="http://www.w3.org/2001/XMLSchema" xmlns:p="http://schemas.microsoft.com/office/2006/metadata/properties" xmlns:ns2="172fc981-c626-43d8-a844-afd709018c30" xmlns:ns3="48bdfb2c-49f3-4a26-a295-72a0eee9fc67" targetNamespace="http://schemas.microsoft.com/office/2006/metadata/properties" ma:root="true" ma:fieldsID="cfc8ef19ea5ada36607bf6168a6182ea" ns2:_="" ns3:_="">
    <xsd:import namespace="172fc981-c626-43d8-a844-afd709018c30"/>
    <xsd:import namespace="48bdfb2c-49f3-4a26-a295-72a0eee9f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fc981-c626-43d8-a844-afd709018c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3e95c364-a049-41b8-8aa1-3817c7a375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dfb2c-49f3-4a26-a295-72a0eee9fc6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84e85db-1314-4033-96cd-5257b86e0724}" ma:internalName="TaxCatchAll" ma:showField="CatchAllData" ma:web="48bdfb2c-49f3-4a26-a295-72a0eee9f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2fc981-c626-43d8-a844-afd709018c30">
      <Terms xmlns="http://schemas.microsoft.com/office/infopath/2007/PartnerControls"/>
    </lcf76f155ced4ddcb4097134ff3c332f>
    <TaxCatchAll xmlns="48bdfb2c-49f3-4a26-a295-72a0eee9fc67" xsi:nil="true"/>
  </documentManagement>
</p:properties>
</file>

<file path=customXml/itemProps1.xml><?xml version="1.0" encoding="utf-8"?>
<ds:datastoreItem xmlns:ds="http://schemas.openxmlformats.org/officeDocument/2006/customXml" ds:itemID="{12A21B00-6591-4E2C-9AED-DDEA542BC2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737242-A521-498D-BDE2-7205207508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2fc981-c626-43d8-a844-afd709018c30"/>
    <ds:schemaRef ds:uri="48bdfb2c-49f3-4a26-a295-72a0eee9f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1857EC-35CF-450C-90AB-F5E6482F921D}">
  <ds:schemaRefs>
    <ds:schemaRef ds:uri="http://schemas.microsoft.com/office/2006/metadata/properties"/>
    <ds:schemaRef ds:uri="http://schemas.microsoft.com/office/infopath/2007/PartnerControls"/>
    <ds:schemaRef ds:uri="172fc981-c626-43d8-a844-afd709018c30"/>
    <ds:schemaRef ds:uri="48bdfb2c-49f3-4a26-a295-72a0eee9fc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Introduction</vt:lpstr>
      <vt:lpstr>Monitored Datas</vt:lpstr>
      <vt:lpstr>BECH4y</vt:lpstr>
      <vt:lpstr>PEy</vt:lpstr>
      <vt:lpstr>Year6.2022</vt:lpstr>
      <vt:lpstr>Emission reductions</vt:lpstr>
      <vt:lpstr>Year4</vt:lpstr>
      <vt:lpstr>Year6</vt:lpstr>
      <vt:lpstr>Year7</vt:lpstr>
      <vt:lpstr>Year8</vt:lpstr>
      <vt:lpstr>Year9</vt:lpstr>
      <vt:lpstr>Year10</vt:lpstr>
      <vt:lpstr>fixé en amont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</dc:creator>
  <cp:keywords/>
  <dc:description/>
  <cp:lastModifiedBy>Shayna VALENTINE</cp:lastModifiedBy>
  <cp:revision/>
  <dcterms:created xsi:type="dcterms:W3CDTF">2012-12-20T16:07:35Z</dcterms:created>
  <dcterms:modified xsi:type="dcterms:W3CDTF">2023-09-22T09:09:31Z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0x010100A522C6049F07E847B77407BA8AB8C141</vt:lpwstr>
  </property>
  <property fmtid="{D5CDD505-2E9C-101B-9397-08002B2CF9AE}" pid="3" name="MediaServiceImageTags">
    <vt:lpwstr/>
  </property>
</Properties>
</file>