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mc:Ignorable="x15 xr xr6 xr10">
  <fileVersion appName="xl" lastEdited="7" lowestEdited="7" rupBuild="11028"/>
  <workbookPr codeName="ThisWorkbook" defaultThemeVersion="124226"/>
  <mc:AlternateContent xmlns:mc="http://schemas.openxmlformats.org/markup-compatibility/2006">
    <mc:Choice Requires="x15">
      <x15ac:absPath xmlns:x15ac="http://schemas.microsoft.com/office/spreadsheetml/2010/11/ac" url="/Users/thanhho/Library/CloudStorage/GoogleDrive-thanh@monsooncarbon.com/Shared drives/Monsoon Carbon/05 Live Projects/01 EMI - Nhon Hoa (GS)/03_Validation/05. GS - Design Review/1. Monsoon/NH2/"/>
    </mc:Choice>
  </mc:AlternateContent>
  <xr:revisionPtr revIDLastSave="0" documentId="8_{1CA00396-1FD7-5E49-8323-84CB6A973E10}" xr6:coauthVersionLast="47" xr6:coauthVersionMax="47" xr10:uidLastSave="{00000000-0000-0000-0000-000000000000}"/>
  <bookViews>
    <workbookView xWindow="0" yWindow="500" windowWidth="28800" windowHeight="16380" tabRatio="704" activeTab="1"/>
  </bookViews>
  <sheets>
    <sheet name="SDG summary" sheetId="73" r:id="rId1"/>
    <sheet name="Input data" sheetId="28" r:id="rId2"/>
    <sheet name="IRR" sheetId="39" r:id="rId3"/>
    <sheet name="Interest and tax calculation" sheetId="74" r:id="rId4"/>
    <sheet name="Sensitivity_Benchmark" sheetId="34" r:id="rId5"/>
    <sheet name="ER" sheetId="56" r:id="rId6"/>
    <sheet name="CMEF" sheetId="70" r:id="rId7"/>
    <sheet name="REFs" sheetId="75" r:id="rId8"/>
  </sheets>
  <externalReferences>
    <externalReference r:id="rId9"/>
    <externalReference r:id="rId10"/>
  </externalReferences>
  <definedNames>
    <definedName name="BetaList">#REF!</definedName>
    <definedName name="Capacity">'Input data'!$C$4</definedName>
    <definedName name="Constr_period">'Input data'!$C$10</definedName>
    <definedName name="Electricity_price">'Input data'!$C$21</definedName>
    <definedName name="ElectricPrice4Sensitive">'Input data'!$J$12</definedName>
    <definedName name="Emission_factor">'Input data'!$C$22</definedName>
    <definedName name="EXR">'Input data'!$C$36</definedName>
    <definedName name="fuels">#REF!</definedName>
    <definedName name="Gross_capacity">'Input data'!$C$4</definedName>
    <definedName name="Gross_output">'Input data'!$C$6</definedName>
    <definedName name="InvDown2">'Input data'!$I$21</definedName>
    <definedName name="Invest_cost">'Input data'!$C$11</definedName>
    <definedName name="InvRed2">'Input data'!$K$21</definedName>
    <definedName name="Last_Row">IF(Values_Entered,Header_Row+Number_of_Payments,Header_Row)</definedName>
    <definedName name="Life_time">'Input data'!$C$20</definedName>
    <definedName name="Local_loan_rate">Sensitivity_Benchmark!$H$7</definedName>
    <definedName name="NetOutput4Sensitive">'Input data'!$L$10</definedName>
    <definedName name="Number_of_Payments">MATCH(0.01,End_Bal,-1)+1</definedName>
    <definedName name="Operating_cost">'Input data'!$C$23</definedName>
    <definedName name="Para_loss_load">'Input data'!$C$7</definedName>
    <definedName name="Payment_Date">DATE(YEAR(Loan_Start),MONTH(Loan_Start)+Payment_Number,DAY(Loan_Start))</definedName>
    <definedName name="Power_density">'Input data'!$C$40</definedName>
    <definedName name="_xlnm.Print_Area" localSheetId="1">'Input data'!$A$1:$G$43</definedName>
    <definedName name="Print_Area_Reset">OFFSET(Full_Print,0,0,[0]!Last_Row)</definedName>
    <definedName name="Resources_fee">'Input data'!$C$36</definedName>
    <definedName name="TarInc2">'Input data'!$L$14</definedName>
    <definedName name="TarUp2">'Input data'!$I$14</definedName>
    <definedName name="TEIncr2">'Input data'!$N$12</definedName>
    <definedName name="TEUp2">'Input data'!$N$9</definedName>
    <definedName name="TotalCost4Sensitive">'Input data'!$J$19</definedName>
    <definedName name="Values_Entered">IF(Loan_Amount*Interest_Rate*Loan_Years*Loan_Start&gt;0,1,0)</definedName>
    <definedName name="WACC">Sensitivity_Benchmark!$H$9</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E38" i="73" l="1"/>
  <c r="D38" i="73"/>
  <c r="B47" i="73"/>
  <c r="B48" i="73"/>
  <c r="B49" i="73"/>
  <c r="B50" i="73"/>
  <c r="B51" i="73"/>
  <c r="B52" i="73"/>
  <c r="B32" i="73"/>
  <c r="B33" i="73"/>
  <c r="B34" i="73"/>
  <c r="B35" i="73"/>
  <c r="B36" i="73"/>
  <c r="B37" i="73"/>
  <c r="A18" i="73"/>
  <c r="B18" i="73"/>
  <c r="A19" i="73"/>
  <c r="B19" i="73"/>
  <c r="A20" i="73"/>
  <c r="A35" i="73"/>
  <c r="A50" i="73"/>
  <c r="B20" i="73"/>
  <c r="A21" i="73"/>
  <c r="A36" i="73"/>
  <c r="A51" i="73"/>
  <c r="B21" i="73"/>
  <c r="A22" i="73"/>
  <c r="B22" i="73"/>
  <c r="B17" i="73"/>
  <c r="H41" i="56"/>
  <c r="H40" i="56"/>
  <c r="H39" i="56"/>
  <c r="H29" i="56"/>
  <c r="H30" i="56"/>
  <c r="H31" i="56"/>
  <c r="H32" i="56"/>
  <c r="H33" i="56"/>
  <c r="H34" i="56"/>
  <c r="H35" i="56"/>
  <c r="H36" i="56"/>
  <c r="H37" i="56"/>
  <c r="H38" i="56"/>
  <c r="H28" i="56"/>
  <c r="H27" i="56"/>
  <c r="H26" i="56"/>
  <c r="H25" i="56"/>
  <c r="H24" i="56"/>
  <c r="F41" i="56"/>
  <c r="E41" i="56"/>
  <c r="D41" i="56"/>
  <c r="G41" i="56"/>
  <c r="C41" i="56"/>
  <c r="F40" i="56"/>
  <c r="E40" i="56"/>
  <c r="C40" i="56"/>
  <c r="F39" i="56"/>
  <c r="E39" i="56"/>
  <c r="C39" i="56"/>
  <c r="F38" i="56"/>
  <c r="D38" i="56"/>
  <c r="G38" i="56"/>
  <c r="F37" i="56"/>
  <c r="D37" i="56"/>
  <c r="G37" i="56"/>
  <c r="F36" i="56"/>
  <c r="D36" i="56"/>
  <c r="G36" i="56"/>
  <c r="F35" i="56"/>
  <c r="D35" i="56"/>
  <c r="G35" i="56"/>
  <c r="F34" i="56"/>
  <c r="D34" i="56"/>
  <c r="G34" i="56"/>
  <c r="F33" i="56"/>
  <c r="D33" i="56"/>
  <c r="G33" i="56"/>
  <c r="F32" i="56"/>
  <c r="D32" i="56"/>
  <c r="G32" i="56"/>
  <c r="F31" i="56"/>
  <c r="D31" i="56"/>
  <c r="G31" i="56"/>
  <c r="F30" i="56"/>
  <c r="D30" i="56"/>
  <c r="G30" i="56"/>
  <c r="F29" i="56"/>
  <c r="D29" i="56"/>
  <c r="G29" i="56"/>
  <c r="F28" i="56"/>
  <c r="D28" i="56"/>
  <c r="G28" i="56"/>
  <c r="F27" i="56"/>
  <c r="D27" i="56"/>
  <c r="G27" i="56"/>
  <c r="F26" i="56"/>
  <c r="D26" i="56"/>
  <c r="D39" i="56"/>
  <c r="F25" i="56"/>
  <c r="D25" i="56"/>
  <c r="G25" i="56"/>
  <c r="F24" i="56"/>
  <c r="D24" i="56"/>
  <c r="G24" i="56"/>
  <c r="L6" i="56"/>
  <c r="C11" i="28"/>
  <c r="F33" i="28"/>
  <c r="I33" i="28"/>
  <c r="I34" i="28" s="1"/>
  <c r="F26" i="28"/>
  <c r="F27" i="28"/>
  <c r="G27" i="28"/>
  <c r="F28" i="28"/>
  <c r="G28" i="28"/>
  <c r="F25" i="28"/>
  <c r="G25" i="28"/>
  <c r="V20" i="39"/>
  <c r="U20" i="39"/>
  <c r="T20" i="39"/>
  <c r="S20" i="39"/>
  <c r="R20" i="39"/>
  <c r="Q20" i="39"/>
  <c r="P20" i="39"/>
  <c r="O20" i="39"/>
  <c r="N20" i="39"/>
  <c r="M20" i="39"/>
  <c r="C9" i="39"/>
  <c r="C8" i="39"/>
  <c r="C17" i="39"/>
  <c r="D17" i="39"/>
  <c r="E17" i="39"/>
  <c r="F17" i="39"/>
  <c r="G17" i="39"/>
  <c r="H17" i="39"/>
  <c r="I17" i="39"/>
  <c r="J17" i="39"/>
  <c r="K17" i="39"/>
  <c r="L17" i="39"/>
  <c r="M17" i="39"/>
  <c r="N17" i="39"/>
  <c r="O17" i="39"/>
  <c r="P17" i="39"/>
  <c r="Q17" i="39"/>
  <c r="R17" i="39"/>
  <c r="S17" i="39"/>
  <c r="T17" i="39"/>
  <c r="U17" i="39"/>
  <c r="V17" i="39"/>
  <c r="A6" i="75"/>
  <c r="A7" i="75"/>
  <c r="A8" i="75"/>
  <c r="A9" i="75"/>
  <c r="A10" i="75"/>
  <c r="A11" i="75"/>
  <c r="A12" i="75"/>
  <c r="A13" i="75"/>
  <c r="A14" i="75"/>
  <c r="A15" i="75"/>
  <c r="C31" i="28"/>
  <c r="C15" i="39"/>
  <c r="E4" i="34"/>
  <c r="E5" i="34"/>
  <c r="E6" i="34"/>
  <c r="E7" i="34"/>
  <c r="E8" i="34"/>
  <c r="E9" i="34"/>
  <c r="E10" i="34"/>
  <c r="E11" i="34"/>
  <c r="E12" i="34"/>
  <c r="H6" i="34"/>
  <c r="F13" i="28"/>
  <c r="D53" i="73"/>
  <c r="E11" i="70"/>
  <c r="C5" i="73"/>
  <c r="E5" i="73"/>
  <c r="E37" i="73"/>
  <c r="C25" i="73"/>
  <c r="D12" i="73"/>
  <c r="F12" i="56"/>
  <c r="F13" i="56"/>
  <c r="E12" i="56"/>
  <c r="E13" i="56"/>
  <c r="A7" i="56"/>
  <c r="A8" i="56"/>
  <c r="A9" i="56"/>
  <c r="A10" i="56"/>
  <c r="A11" i="56"/>
  <c r="D55" i="73"/>
  <c r="C55" i="73"/>
  <c r="C52" i="73"/>
  <c r="E52" i="73"/>
  <c r="C51" i="73"/>
  <c r="E51" i="73"/>
  <c r="C50" i="73"/>
  <c r="E50" i="73"/>
  <c r="C49" i="73"/>
  <c r="E49" i="73"/>
  <c r="C48" i="73"/>
  <c r="E48" i="73"/>
  <c r="C47" i="73"/>
  <c r="E47" i="73"/>
  <c r="C40" i="73"/>
  <c r="D40" i="73"/>
  <c r="C38" i="73"/>
  <c r="C37" i="73"/>
  <c r="C36" i="73"/>
  <c r="E36" i="73"/>
  <c r="C35" i="73"/>
  <c r="E35" i="73"/>
  <c r="C34" i="73"/>
  <c r="E34" i="73"/>
  <c r="C33" i="73"/>
  <c r="E33" i="73"/>
  <c r="C32" i="73"/>
  <c r="E32" i="73"/>
  <c r="A37" i="73"/>
  <c r="A52" i="73"/>
  <c r="A34" i="73"/>
  <c r="A49" i="73"/>
  <c r="A33" i="73"/>
  <c r="A48" i="73"/>
  <c r="A17" i="73"/>
  <c r="A32" i="73"/>
  <c r="A47" i="73"/>
  <c r="V14" i="39"/>
  <c r="U14" i="39"/>
  <c r="T14" i="39"/>
  <c r="S14" i="39"/>
  <c r="R14" i="39"/>
  <c r="Q14" i="39"/>
  <c r="P14" i="39"/>
  <c r="O14" i="39"/>
  <c r="N14" i="39"/>
  <c r="M14" i="39"/>
  <c r="L14" i="39"/>
  <c r="K14" i="39"/>
  <c r="J14" i="39"/>
  <c r="I14" i="39"/>
  <c r="H14" i="39"/>
  <c r="G14" i="39"/>
  <c r="F14" i="39"/>
  <c r="E14" i="39"/>
  <c r="D14" i="39"/>
  <c r="C14" i="39"/>
  <c r="C9" i="28"/>
  <c r="I7" i="56"/>
  <c r="K10" i="28"/>
  <c r="M10" i="28"/>
  <c r="N10" i="28"/>
  <c r="J11" i="28"/>
  <c r="J13" i="28"/>
  <c r="J14" i="28"/>
  <c r="C19" i="28"/>
  <c r="J18" i="28"/>
  <c r="J20" i="28"/>
  <c r="J21" i="28"/>
  <c r="C38" i="28"/>
  <c r="AL34" i="28"/>
  <c r="AL35" i="28"/>
  <c r="C39" i="28"/>
  <c r="B2" i="39"/>
  <c r="C2" i="39"/>
  <c r="D2" i="39"/>
  <c r="E2" i="39"/>
  <c r="F2" i="39"/>
  <c r="G2" i="39"/>
  <c r="H2" i="39"/>
  <c r="I2" i="39"/>
  <c r="J2" i="39"/>
  <c r="K2" i="39"/>
  <c r="L2" i="39"/>
  <c r="M2" i="39"/>
  <c r="N2" i="39"/>
  <c r="O2" i="39"/>
  <c r="P2" i="39"/>
  <c r="Q2" i="39"/>
  <c r="R2" i="39"/>
  <c r="S2" i="39"/>
  <c r="T2" i="39"/>
  <c r="U2" i="39"/>
  <c r="V2" i="39"/>
  <c r="D7" i="39"/>
  <c r="E7" i="39"/>
  <c r="F7" i="39"/>
  <c r="G7" i="39"/>
  <c r="H7" i="39"/>
  <c r="I7" i="39"/>
  <c r="J7" i="39"/>
  <c r="K7" i="39"/>
  <c r="L7" i="39"/>
  <c r="M7" i="39"/>
  <c r="N7" i="39"/>
  <c r="O7" i="39"/>
  <c r="P7" i="39"/>
  <c r="Q7" i="39"/>
  <c r="R7" i="39"/>
  <c r="S7" i="39"/>
  <c r="T7" i="39"/>
  <c r="U7" i="39"/>
  <c r="V7" i="39"/>
  <c r="D9" i="39"/>
  <c r="D8" i="39"/>
  <c r="E9" i="39"/>
  <c r="E8" i="39"/>
  <c r="F9" i="39"/>
  <c r="F8" i="39"/>
  <c r="G9" i="39"/>
  <c r="G8" i="39"/>
  <c r="H9" i="39"/>
  <c r="H8" i="39"/>
  <c r="I9" i="39"/>
  <c r="I8" i="39"/>
  <c r="J9" i="39"/>
  <c r="J8" i="39"/>
  <c r="K9" i="39"/>
  <c r="K8" i="39"/>
  <c r="L9" i="39"/>
  <c r="L8" i="39"/>
  <c r="M9" i="39"/>
  <c r="M8" i="39"/>
  <c r="N9" i="39"/>
  <c r="N8" i="39"/>
  <c r="O9" i="39"/>
  <c r="O8" i="39"/>
  <c r="P9" i="39"/>
  <c r="P8" i="39"/>
  <c r="Q9" i="39"/>
  <c r="Q8" i="39"/>
  <c r="R9" i="39"/>
  <c r="R8" i="39"/>
  <c r="S9" i="39"/>
  <c r="S8" i="39"/>
  <c r="T9" i="39"/>
  <c r="T8" i="39"/>
  <c r="U9" i="39"/>
  <c r="U8" i="39"/>
  <c r="V9" i="39"/>
  <c r="V8" i="39"/>
  <c r="D4" i="34"/>
  <c r="D9" i="34"/>
  <c r="D10" i="34"/>
  <c r="I19" i="34"/>
  <c r="H20" i="34"/>
  <c r="AD28" i="34"/>
  <c r="C37" i="28"/>
  <c r="H9" i="34"/>
  <c r="AE28" i="34"/>
  <c r="AF28" i="34"/>
  <c r="AG28" i="34"/>
  <c r="AH28" i="34"/>
  <c r="C22" i="28"/>
  <c r="G26" i="28"/>
  <c r="H25" i="28"/>
  <c r="I25" i="28"/>
  <c r="F12" i="74"/>
  <c r="C42" i="28"/>
  <c r="F13" i="74"/>
  <c r="F31" i="28"/>
  <c r="H31" i="28" s="1"/>
  <c r="F21" i="74"/>
  <c r="G31" i="28"/>
  <c r="F5" i="74"/>
  <c r="F19" i="74"/>
  <c r="F22" i="74"/>
  <c r="F17" i="74"/>
  <c r="F14" i="74"/>
  <c r="F20" i="74"/>
  <c r="F8" i="74"/>
  <c r="F3" i="74"/>
  <c r="B12" i="39"/>
  <c r="B11" i="39"/>
  <c r="F7" i="74"/>
  <c r="F6" i="74"/>
  <c r="F16" i="74"/>
  <c r="L18" i="39"/>
  <c r="G33" i="28"/>
  <c r="H33" i="28"/>
  <c r="B2" i="74"/>
  <c r="C4" i="74"/>
  <c r="F11" i="74"/>
  <c r="F9" i="74"/>
  <c r="F10" i="74"/>
  <c r="F18" i="74"/>
  <c r="F15" i="74"/>
  <c r="O19" i="39"/>
  <c r="P19" i="39"/>
  <c r="Q19" i="39"/>
  <c r="R19" i="39"/>
  <c r="S19" i="39"/>
  <c r="T19" i="39"/>
  <c r="U19" i="39"/>
  <c r="V19" i="39"/>
  <c r="J25" i="28"/>
  <c r="C53" i="73"/>
  <c r="E40" i="73"/>
  <c r="E53" i="73"/>
  <c r="E55" i="73"/>
  <c r="G26" i="56"/>
  <c r="D40" i="56"/>
  <c r="G40" i="56"/>
  <c r="C6" i="74"/>
  <c r="C12" i="74"/>
  <c r="B10" i="39"/>
  <c r="C19" i="39"/>
  <c r="D19" i="39"/>
  <c r="E19" i="39" s="1"/>
  <c r="F19" i="39" s="1"/>
  <c r="G19" i="39" s="1"/>
  <c r="H19" i="39" s="1"/>
  <c r="I19" i="39" s="1"/>
  <c r="J19" i="39" s="1"/>
  <c r="K19" i="39" s="1"/>
  <c r="L19" i="39" s="1"/>
  <c r="D2" i="74"/>
  <c r="D3" i="74" s="1"/>
  <c r="E3" i="74"/>
  <c r="C20" i="39" s="1"/>
  <c r="I6" i="56"/>
  <c r="I11" i="56"/>
  <c r="J33" i="28"/>
  <c r="J34" i="28"/>
  <c r="J35" i="28" s="1"/>
  <c r="I8" i="56"/>
  <c r="D19" i="73"/>
  <c r="E19" i="73"/>
  <c r="C10" i="74"/>
  <c r="C9" i="74"/>
  <c r="C11" i="74"/>
  <c r="C5" i="74"/>
  <c r="C7" i="74"/>
  <c r="C8" i="74"/>
  <c r="I10" i="56"/>
  <c r="I9" i="56"/>
  <c r="D20" i="73"/>
  <c r="E20" i="73"/>
  <c r="I31" i="28"/>
  <c r="J31" i="28" s="1"/>
  <c r="D18" i="73"/>
  <c r="E18" i="73"/>
  <c r="G7" i="56"/>
  <c r="H7" i="56"/>
  <c r="F32" i="28"/>
  <c r="G32" i="28"/>
  <c r="C16" i="39"/>
  <c r="D16" i="39"/>
  <c r="E16" i="39"/>
  <c r="F16" i="39"/>
  <c r="G16" i="39"/>
  <c r="H16" i="39"/>
  <c r="I16" i="39"/>
  <c r="J16" i="39"/>
  <c r="K16" i="39"/>
  <c r="L16" i="39"/>
  <c r="M16" i="39"/>
  <c r="N16" i="39"/>
  <c r="O16" i="39"/>
  <c r="P16" i="39"/>
  <c r="Q16" i="39"/>
  <c r="R16" i="39"/>
  <c r="S16" i="39"/>
  <c r="T16" i="39"/>
  <c r="U16" i="39"/>
  <c r="V16" i="39"/>
  <c r="D15" i="39"/>
  <c r="D13" i="39" s="1"/>
  <c r="G3" i="74" a="1"/>
  <c r="F4" i="74"/>
  <c r="C3" i="74"/>
  <c r="G8" i="56"/>
  <c r="H8" i="56"/>
  <c r="C6" i="73"/>
  <c r="E6" i="73"/>
  <c r="B8" i="39"/>
  <c r="B22" i="39"/>
  <c r="G9" i="56"/>
  <c r="H9" i="56"/>
  <c r="C7" i="73"/>
  <c r="E7" i="73"/>
  <c r="G39" i="56"/>
  <c r="I12" i="56"/>
  <c r="I13" i="56"/>
  <c r="D17" i="73"/>
  <c r="E17" i="73"/>
  <c r="G6" i="56"/>
  <c r="H6" i="56"/>
  <c r="C4" i="73"/>
  <c r="E4" i="73"/>
  <c r="G10" i="56"/>
  <c r="H10" i="56"/>
  <c r="C8" i="73"/>
  <c r="E8" i="73"/>
  <c r="D21" i="73"/>
  <c r="E21" i="73"/>
  <c r="G11" i="56"/>
  <c r="H11" i="56"/>
  <c r="C9" i="73"/>
  <c r="E9" i="73"/>
  <c r="D22" i="73"/>
  <c r="E22" i="73"/>
  <c r="G4" i="74"/>
  <c r="G14" i="74"/>
  <c r="G13" i="74"/>
  <c r="G11" i="74"/>
  <c r="G15" i="74"/>
  <c r="G3" i="74"/>
  <c r="G16" i="74"/>
  <c r="G8" i="74"/>
  <c r="G5" i="74"/>
  <c r="G9" i="74"/>
  <c r="G18" i="74"/>
  <c r="G12" i="74"/>
  <c r="G22" i="74"/>
  <c r="G17" i="74"/>
  <c r="G19" i="74"/>
  <c r="G10" i="74"/>
  <c r="G21" i="74"/>
  <c r="G7" i="74"/>
  <c r="G6" i="74"/>
  <c r="G20" i="74"/>
  <c r="I32" i="28"/>
  <c r="H32" i="28"/>
  <c r="C13" i="39"/>
  <c r="G12" i="56"/>
  <c r="G13" i="56"/>
  <c r="D23" i="73"/>
  <c r="E23" i="73"/>
  <c r="E25" i="73"/>
  <c r="C10" i="73"/>
  <c r="E10" i="73"/>
  <c r="E12" i="73"/>
  <c r="H12" i="56"/>
  <c r="H13" i="56"/>
  <c r="J32" i="28"/>
  <c r="C12" i="73"/>
  <c r="D25" i="73"/>
  <c r="D4" i="74" l="1"/>
  <c r="E4" i="74"/>
  <c r="D20" i="39" s="1"/>
  <c r="I35" i="28"/>
  <c r="H35" i="28" s="1"/>
  <c r="H34" i="28"/>
  <c r="E15" i="39"/>
  <c r="E5" i="74" l="1"/>
  <c r="E20" i="39" s="1"/>
  <c r="D5" i="74"/>
  <c r="F15" i="39"/>
  <c r="E13" i="39"/>
  <c r="D6" i="74" l="1"/>
  <c r="E6" i="74"/>
  <c r="F20" i="39" s="1"/>
  <c r="G15" i="39"/>
  <c r="F13" i="39"/>
  <c r="G13" i="39" l="1"/>
  <c r="H15" i="39"/>
  <c r="E7" i="74"/>
  <c r="G20" i="39" s="1"/>
  <c r="D7" i="74"/>
  <c r="E8" i="74" l="1"/>
  <c r="H20" i="39" s="1"/>
  <c r="D8" i="74"/>
  <c r="H13" i="39"/>
  <c r="I15" i="39"/>
  <c r="J15" i="39" l="1"/>
  <c r="I13" i="39"/>
  <c r="E9" i="74"/>
  <c r="I20" i="39" s="1"/>
  <c r="D9" i="74"/>
  <c r="D10" i="74" l="1"/>
  <c r="E10" i="74"/>
  <c r="J20" i="39" s="1"/>
  <c r="K15" i="39"/>
  <c r="J13" i="39"/>
  <c r="L15" i="39" l="1"/>
  <c r="K13" i="39"/>
  <c r="D11" i="74"/>
  <c r="E11" i="74"/>
  <c r="K20" i="39" s="1"/>
  <c r="E12" i="74" l="1"/>
  <c r="L20" i="39" s="1"/>
  <c r="D12" i="74"/>
  <c r="M15" i="39"/>
  <c r="L13" i="39"/>
  <c r="M13" i="39" l="1"/>
  <c r="N15" i="39"/>
  <c r="N13" i="39" l="1"/>
  <c r="O15" i="39"/>
  <c r="O13" i="39" l="1"/>
  <c r="P15" i="39"/>
  <c r="Q15" i="39" l="1"/>
  <c r="P13" i="39"/>
  <c r="R15" i="39" l="1"/>
  <c r="Q13" i="39"/>
  <c r="R13" i="39" l="1"/>
  <c r="S15" i="39"/>
  <c r="S13" i="39" l="1"/>
  <c r="T15" i="39"/>
  <c r="U15" i="39" l="1"/>
  <c r="T13" i="39"/>
  <c r="U13" i="39" l="1"/>
  <c r="V15" i="39"/>
  <c r="V13" i="39" s="1"/>
  <c r="H3" i="74" l="1" a="1"/>
  <c r="H6" i="74" l="1"/>
  <c r="J6" i="74" s="1"/>
  <c r="K6" i="74" s="1"/>
  <c r="F21" i="39" s="1"/>
  <c r="F11" i="39" s="1"/>
  <c r="F22" i="39" s="1"/>
  <c r="H10" i="74"/>
  <c r="J10" i="74" s="1"/>
  <c r="K10" i="74" s="1"/>
  <c r="J21" i="39" s="1"/>
  <c r="J11" i="39" s="1"/>
  <c r="J22" i="39" s="1"/>
  <c r="H13" i="74"/>
  <c r="J13" i="74" s="1"/>
  <c r="K13" i="74" s="1"/>
  <c r="M21" i="39" s="1"/>
  <c r="M11" i="39" s="1"/>
  <c r="M22" i="39" s="1"/>
  <c r="H12" i="74"/>
  <c r="J12" i="74" s="1"/>
  <c r="K12" i="74" s="1"/>
  <c r="L21" i="39" s="1"/>
  <c r="L11" i="39" s="1"/>
  <c r="L22" i="39" s="1"/>
  <c r="H19" i="74"/>
  <c r="J19" i="74" s="1"/>
  <c r="K19" i="74" s="1"/>
  <c r="S21" i="39" s="1"/>
  <c r="S11" i="39" s="1"/>
  <c r="S22" i="39" s="1"/>
  <c r="H20" i="74"/>
  <c r="J20" i="74" s="1"/>
  <c r="K20" i="74" s="1"/>
  <c r="T21" i="39" s="1"/>
  <c r="T11" i="39" s="1"/>
  <c r="T22" i="39" s="1"/>
  <c r="H17" i="74"/>
  <c r="J17" i="74" s="1"/>
  <c r="K17" i="74" s="1"/>
  <c r="Q21" i="39" s="1"/>
  <c r="Q11" i="39" s="1"/>
  <c r="Q22" i="39" s="1"/>
  <c r="H9" i="74"/>
  <c r="J9" i="74" s="1"/>
  <c r="K9" i="74" s="1"/>
  <c r="I21" i="39" s="1"/>
  <c r="I11" i="39" s="1"/>
  <c r="I22" i="39" s="1"/>
  <c r="H21" i="74"/>
  <c r="J21" i="74" s="1"/>
  <c r="K21" i="74" s="1"/>
  <c r="U21" i="39" s="1"/>
  <c r="U11" i="39" s="1"/>
  <c r="U22" i="39" s="1"/>
  <c r="H18" i="74"/>
  <c r="J18" i="74" s="1"/>
  <c r="K18" i="74" s="1"/>
  <c r="R21" i="39" s="1"/>
  <c r="R11" i="39" s="1"/>
  <c r="R22" i="39" s="1"/>
  <c r="H16" i="74"/>
  <c r="J16" i="74" s="1"/>
  <c r="K16" i="74" s="1"/>
  <c r="P21" i="39" s="1"/>
  <c r="P11" i="39" s="1"/>
  <c r="P22" i="39" s="1"/>
  <c r="H7" i="74"/>
  <c r="J7" i="74" s="1"/>
  <c r="K7" i="74" s="1"/>
  <c r="G21" i="39" s="1"/>
  <c r="G11" i="39" s="1"/>
  <c r="G22" i="39" s="1"/>
  <c r="H5" i="74"/>
  <c r="J5" i="74" s="1"/>
  <c r="K5" i="74" s="1"/>
  <c r="E21" i="39" s="1"/>
  <c r="E11" i="39" s="1"/>
  <c r="E22" i="39" s="1"/>
  <c r="H11" i="74"/>
  <c r="J11" i="74" s="1"/>
  <c r="K11" i="74" s="1"/>
  <c r="K21" i="39" s="1"/>
  <c r="K11" i="39" s="1"/>
  <c r="K22" i="39" s="1"/>
  <c r="H22" i="74"/>
  <c r="J22" i="74" s="1"/>
  <c r="K22" i="74" s="1"/>
  <c r="V21" i="39" s="1"/>
  <c r="V11" i="39" s="1"/>
  <c r="V22" i="39" s="1"/>
  <c r="H14" i="74"/>
  <c r="J14" i="74" s="1"/>
  <c r="K14" i="74" s="1"/>
  <c r="N21" i="39" s="1"/>
  <c r="N11" i="39" s="1"/>
  <c r="N22" i="39" s="1"/>
  <c r="H3" i="74"/>
  <c r="J3" i="74" s="1"/>
  <c r="K3" i="74" s="1"/>
  <c r="C21" i="39" s="1"/>
  <c r="C11" i="39" s="1"/>
  <c r="C22" i="39" s="1"/>
  <c r="H8" i="74"/>
  <c r="J8" i="74" s="1"/>
  <c r="K8" i="74" s="1"/>
  <c r="H21" i="39" s="1"/>
  <c r="H11" i="39" s="1"/>
  <c r="H22" i="39" s="1"/>
  <c r="H4" i="74"/>
  <c r="J4" i="74" s="1"/>
  <c r="K4" i="74" s="1"/>
  <c r="D21" i="39" s="1"/>
  <c r="D11" i="39" s="1"/>
  <c r="D22" i="39" s="1"/>
  <c r="H15" i="74"/>
  <c r="J15" i="74" s="1"/>
  <c r="K15" i="74" s="1"/>
  <c r="O21" i="39" s="1"/>
  <c r="O11" i="39" s="1"/>
  <c r="O22" i="39" s="1"/>
  <c r="A25" i="39" l="1"/>
  <c r="K17" i="28" l="1"/>
  <c r="J10" i="28"/>
</calcChain>
</file>

<file path=xl/comments1.xml><?xml version="1.0" encoding="utf-8"?>
<comments xmlns="http://schemas.openxmlformats.org/spreadsheetml/2006/main">
  <authors>
    <author>Microsoft Office User</author>
  </authors>
  <commentList>
    <comment ref="G24" authorId="0" shapeId="0">
      <text>
        <r>
          <rPr>
            <b/>
            <sz val="10"/>
            <color indexed="8"/>
            <rFont val="Tahoma"/>
            <family val="2"/>
          </rPr>
          <t>Microsoft Office User:</t>
        </r>
        <r>
          <rPr>
            <sz val="10"/>
            <color indexed="8"/>
            <rFont val="Tahoma"/>
            <family val="2"/>
          </rPr>
          <t xml:space="preserve">
</t>
        </r>
        <r>
          <rPr>
            <sz val="10"/>
            <color indexed="8"/>
            <rFont val="Arial"/>
            <family val="2"/>
          </rPr>
          <t>In line with Industry Standard REF 10</t>
        </r>
      </text>
    </comment>
    <comment ref="I25" authorId="0" shapeId="0">
      <text>
        <r>
          <rPr>
            <b/>
            <sz val="10"/>
            <color indexed="8"/>
            <rFont val="Tahoma"/>
            <family val="2"/>
          </rPr>
          <t>Microsoft Office User:</t>
        </r>
        <r>
          <rPr>
            <sz val="10"/>
            <color indexed="8"/>
            <rFont val="Tahoma"/>
            <family val="2"/>
          </rPr>
          <t xml:space="preserve">
</t>
        </r>
        <r>
          <rPr>
            <sz val="10"/>
            <color indexed="8"/>
            <rFont val="Tahoma"/>
            <family val="2"/>
          </rPr>
          <t>In line with Industry Standard REF 9</t>
        </r>
      </text>
    </comment>
    <comment ref="H34" authorId="0" shapeId="0">
      <text>
        <r>
          <rPr>
            <b/>
            <sz val="10"/>
            <color indexed="8"/>
            <rFont val="Tahoma"/>
            <family val="2"/>
          </rPr>
          <t>Microsoft Office User:</t>
        </r>
        <r>
          <rPr>
            <sz val="10"/>
            <color indexed="8"/>
            <rFont val="Tahoma"/>
            <family val="2"/>
          </rPr>
          <t xml:space="preserve">
</t>
        </r>
        <r>
          <rPr>
            <sz val="10"/>
            <color indexed="8"/>
            <rFont val="Tahoma"/>
            <family val="2"/>
          </rPr>
          <t>In line with Industry Standard REF 10</t>
        </r>
      </text>
    </comment>
    <comment ref="J34" authorId="0" shapeId="0">
      <text>
        <r>
          <rPr>
            <b/>
            <sz val="10"/>
            <color indexed="8"/>
            <rFont val="Tahoma"/>
            <family val="2"/>
          </rPr>
          <t>Microsoft Office User:</t>
        </r>
        <r>
          <rPr>
            <sz val="10"/>
            <color indexed="8"/>
            <rFont val="Tahoma"/>
            <family val="2"/>
          </rPr>
          <t xml:space="preserve">
</t>
        </r>
        <r>
          <rPr>
            <sz val="10"/>
            <color indexed="8"/>
            <rFont val="Arial"/>
            <family val="2"/>
          </rPr>
          <t>In line with Industry Standard REF 9</t>
        </r>
      </text>
    </comment>
    <comment ref="J35" authorId="0" shapeId="0">
      <text>
        <r>
          <rPr>
            <b/>
            <sz val="10"/>
            <color indexed="8"/>
            <rFont val="Tahoma"/>
            <family val="2"/>
          </rPr>
          <t>Microsoft Office User:</t>
        </r>
        <r>
          <rPr>
            <sz val="10"/>
            <color indexed="8"/>
            <rFont val="Tahoma"/>
            <family val="2"/>
          </rPr>
          <t xml:space="preserve">
</t>
        </r>
        <r>
          <rPr>
            <sz val="10"/>
            <color indexed="8"/>
            <rFont val="Arial"/>
            <family val="2"/>
          </rPr>
          <t xml:space="preserve">In line with Industry Standard REF 9
</t>
        </r>
      </text>
    </comment>
  </commentList>
</comments>
</file>

<file path=xl/sharedStrings.xml><?xml version="1.0" encoding="utf-8"?>
<sst xmlns="http://schemas.openxmlformats.org/spreadsheetml/2006/main" count="357" uniqueCount="267">
  <si>
    <t>%</t>
  </si>
  <si>
    <t>MW</t>
  </si>
  <si>
    <t>year</t>
  </si>
  <si>
    <t>Operation time</t>
  </si>
  <si>
    <t>Year</t>
  </si>
  <si>
    <t>Load factor</t>
  </si>
  <si>
    <t xml:space="preserve">Parasitic and loss load </t>
  </si>
  <si>
    <t>Gross electricity capacity</t>
  </si>
  <si>
    <t>Total investment cost</t>
  </si>
  <si>
    <t>Electricity price</t>
  </si>
  <si>
    <t>Construction period</t>
  </si>
  <si>
    <t>Operation period</t>
  </si>
  <si>
    <t>Operating &amp; maintenance cost per year</t>
  </si>
  <si>
    <t>Annual electricity outputs</t>
  </si>
  <si>
    <t>GWh</t>
  </si>
  <si>
    <t>Cash flow analysis</t>
  </si>
  <si>
    <t>Currency :</t>
  </si>
  <si>
    <t>Sensitivity analysis</t>
  </si>
  <si>
    <t>No</t>
  </si>
  <si>
    <t>Month</t>
  </si>
  <si>
    <t>Parameter</t>
  </si>
  <si>
    <t>Variation</t>
  </si>
  <si>
    <t>Total</t>
  </si>
  <si>
    <t>Construction month</t>
  </si>
  <si>
    <t>Weighed Average Cost of Capital - WACC</t>
  </si>
  <si>
    <t>Equity ratio</t>
  </si>
  <si>
    <t>Debt ratio</t>
  </si>
  <si>
    <t>Calculated from Equity ratio: D = 1 - E</t>
  </si>
  <si>
    <t>FSR</t>
  </si>
  <si>
    <t>Emission reduction</t>
  </si>
  <si>
    <t>tCO2</t>
  </si>
  <si>
    <t>Average</t>
  </si>
  <si>
    <t>2 Equipment cost</t>
  </si>
  <si>
    <t>3. Compensation costs</t>
  </si>
  <si>
    <t>4. Management cost</t>
  </si>
  <si>
    <t>5. Consulting cost</t>
  </si>
  <si>
    <t>8. Contingency cost</t>
  </si>
  <si>
    <t>CO2 emission factor</t>
  </si>
  <si>
    <t>Investment Schedule</t>
  </si>
  <si>
    <t>Value</t>
  </si>
  <si>
    <t>Unit</t>
  </si>
  <si>
    <t>Items</t>
  </si>
  <si>
    <t>Note</t>
  </si>
  <si>
    <t>Starting date of crediting period:</t>
  </si>
  <si>
    <t>gCO2/kWh or tCO2/GWh</t>
  </si>
  <si>
    <t>Calculated</t>
  </si>
  <si>
    <t>III.Net cash flow</t>
  </si>
  <si>
    <t>According to the Decision No 30/2006/QD-BCN</t>
  </si>
  <si>
    <t>State bank of Vietnam</t>
  </si>
  <si>
    <t>Values</t>
  </si>
  <si>
    <t>ERy</t>
  </si>
  <si>
    <t>BEy</t>
  </si>
  <si>
    <t>LEy</t>
  </si>
  <si>
    <t>PEy</t>
  </si>
  <si>
    <t>Operating lifetime</t>
  </si>
  <si>
    <t>7. Other cost</t>
  </si>
  <si>
    <t>Total operating cost per year</t>
  </si>
  <si>
    <t>Tax rate</t>
  </si>
  <si>
    <t>Annual amount of electricity exported to the national grid</t>
  </si>
  <si>
    <t>Mil VND</t>
  </si>
  <si>
    <t>IRR</t>
  </si>
  <si>
    <t>1 Construction cost</t>
  </si>
  <si>
    <t>Unit cost</t>
  </si>
  <si>
    <t>Exchange rate</t>
  </si>
  <si>
    <t>VND/USD</t>
  </si>
  <si>
    <t>USD/kW</t>
  </si>
  <si>
    <t>hours/year</t>
  </si>
  <si>
    <t>Description</t>
  </si>
  <si>
    <t>Source</t>
  </si>
  <si>
    <t>BM</t>
  </si>
  <si>
    <r>
      <t>tCO</t>
    </r>
    <r>
      <rPr>
        <vertAlign val="subscript"/>
        <sz val="12"/>
        <rFont val="Verdana"/>
        <family val="2"/>
      </rPr>
      <t>2</t>
    </r>
    <r>
      <rPr>
        <sz val="12"/>
        <rFont val="Verdana"/>
        <family val="2"/>
      </rPr>
      <t>/MWh</t>
    </r>
  </si>
  <si>
    <t>OM</t>
  </si>
  <si>
    <t>Weighting of build margin emissions factor (per cent)</t>
  </si>
  <si>
    <t>w_BM</t>
  </si>
  <si>
    <t>ACM0002</t>
  </si>
  <si>
    <t>Weighting of operating margin emissions factor (per cent)</t>
  </si>
  <si>
    <t>w_OM</t>
  </si>
  <si>
    <t>CM</t>
  </si>
  <si>
    <r>
      <t>tCO</t>
    </r>
    <r>
      <rPr>
        <b/>
        <vertAlign val="subscript"/>
        <sz val="12"/>
        <color indexed="9"/>
        <rFont val="Verdana"/>
        <family val="2"/>
      </rPr>
      <t>2</t>
    </r>
    <r>
      <rPr>
        <b/>
        <sz val="12"/>
        <color indexed="9"/>
        <rFont val="Verdana"/>
        <family val="2"/>
      </rPr>
      <t>/MWh</t>
    </r>
  </si>
  <si>
    <t>Decision 39/2018/QD-TTg dated 10/09/2018</t>
  </si>
  <si>
    <t>Management fee</t>
  </si>
  <si>
    <t>Output guarantee insurance</t>
  </si>
  <si>
    <t>Major replacement/repairation cost</t>
  </si>
  <si>
    <t>Inflation rate</t>
  </si>
  <si>
    <t>-</t>
  </si>
  <si>
    <t>First 4 years</t>
  </si>
  <si>
    <t>Next 9 years</t>
  </si>
  <si>
    <t>Next 2 years</t>
  </si>
  <si>
    <t>Remaining years</t>
  </si>
  <si>
    <t>Country Name</t>
  </si>
  <si>
    <t>Country Code</t>
  </si>
  <si>
    <t>Indicator Name</t>
  </si>
  <si>
    <t>Indicator Code</t>
  </si>
  <si>
    <t>Vietnam</t>
  </si>
  <si>
    <t>VNM</t>
  </si>
  <si>
    <t>Inflation, consumer prices (annual %)</t>
  </si>
  <si>
    <t>FP.CPI.TOTL.ZG</t>
  </si>
  <si>
    <t>Average of 5 years forecast from WB data</t>
  </si>
  <si>
    <t>Net annual electricity outputs</t>
  </si>
  <si>
    <t>Baseline estimate</t>
  </si>
  <si>
    <t>Project estimate</t>
  </si>
  <si>
    <t>Net benefit</t>
  </si>
  <si>
    <t>Annual average over the crediting period</t>
  </si>
  <si>
    <t xml:space="preserve">Total number of crediting years: </t>
  </si>
  <si>
    <t>5 years</t>
  </si>
  <si>
    <t>SDG13</t>
  </si>
  <si>
    <t>SDG7</t>
  </si>
  <si>
    <t>SDG8</t>
  </si>
  <si>
    <t>Construction and preparation period is 1 year (year 0)</t>
  </si>
  <si>
    <t>Year 1-5</t>
  </si>
  <si>
    <t>Year 6-10</t>
  </si>
  <si>
    <t>Year 11-15</t>
  </si>
  <si>
    <t>Year 16-20</t>
  </si>
  <si>
    <t>USD/unit</t>
  </si>
  <si>
    <t>Number of unit</t>
  </si>
  <si>
    <t>EXR</t>
  </si>
  <si>
    <t>USD</t>
  </si>
  <si>
    <t>US/kWh</t>
  </si>
  <si>
    <t>Asset insurance fee</t>
  </si>
  <si>
    <t xml:space="preserve">Principal Repayment </t>
  </si>
  <si>
    <t>Loan Outstanding</t>
  </si>
  <si>
    <t>Interest payment</t>
  </si>
  <si>
    <t xml:space="preserve">Loan disbursement </t>
  </si>
  <si>
    <t>I. Inflow cash</t>
  </si>
  <si>
    <t>Electricty revenues</t>
  </si>
  <si>
    <t>Loan</t>
  </si>
  <si>
    <t>II. Outflow</t>
  </si>
  <si>
    <t>II.1. Investment Costs</t>
  </si>
  <si>
    <t>II.2. Costs of operation</t>
  </si>
  <si>
    <t>II.3. Principal repayment</t>
  </si>
  <si>
    <t>II.4. Interest payment</t>
  </si>
  <si>
    <t>II.5. Tax payment</t>
  </si>
  <si>
    <t>Depreciation</t>
  </si>
  <si>
    <t>Electricity Revenue</t>
  </si>
  <si>
    <t>Operation cost</t>
  </si>
  <si>
    <t>Net taxable income</t>
  </si>
  <si>
    <t>Tax payment</t>
  </si>
  <si>
    <t>Equity Internal Rate of Return (Equity IRR):</t>
  </si>
  <si>
    <t>Cost of equity (Real term)</t>
  </si>
  <si>
    <t>Benchmark</t>
  </si>
  <si>
    <t>Calculated following Principles of Corporate Finance,Brealey Myers, Edition 10, Please refer to page No.61</t>
  </si>
  <si>
    <t>Analysis period including construction period</t>
  </si>
  <si>
    <t>Nhon Hoa 2 Wind Power Project</t>
  </si>
  <si>
    <t>Nhon Hoa 2 Emission Factor Calculation</t>
  </si>
  <si>
    <t>https://portal.vietcombank.com.vn/en-us</t>
  </si>
  <si>
    <t>2022 (12 months)</t>
  </si>
  <si>
    <t>2023 (12 months)</t>
  </si>
  <si>
    <t>2024 (12 months)</t>
  </si>
  <si>
    <t>2025 (12 months)</t>
  </si>
  <si>
    <t>SDG4</t>
  </si>
  <si>
    <t>EGfacility
(Net export)</t>
  </si>
  <si>
    <t>Mobilized amount of generated electricity by EVN</t>
  </si>
  <si>
    <t>Assumption</t>
  </si>
  <si>
    <t>MWh</t>
  </si>
  <si>
    <t>Number of employees</t>
  </si>
  <si>
    <t>OM cost per Equipment cost (%)</t>
  </si>
  <si>
    <t>OM cost per kWhr (USD)</t>
  </si>
  <si>
    <t>Base O&amp;M plus Major Replacement Costs</t>
  </si>
  <si>
    <t>Total O&amp;M plus additional insurances</t>
  </si>
  <si>
    <t>FSR, Volume 1.1, Page 18 
The Plant load factor (PLF) for this proposed project was determined by the annual electricity output and the capacity which were provided by the third party contracted by the project owner. So it is in line with the EB 48 annex 11 “The plant load factor determined by a third party contracted by the project participants (e.g. an engineering company)”</t>
  </si>
  <si>
    <t>Tax Rate:</t>
  </si>
  <si>
    <r>
      <t xml:space="preserve">An energy production project, including renewable energy from wind power, qualifies for tax incentives. The current standard tax rate is 20%. 10% tax rate for 15 years; </t>
    </r>
    <r>
      <rPr>
        <sz val="10"/>
        <color indexed="60"/>
        <rFont val="Arial"/>
        <family val="2"/>
      </rPr>
      <t>tax-exempt for four years and the subsequent nine years a 50% reduction will be applied for the new investment projects located in difficult or extremely difficult socio-economic condition areas.</t>
    </r>
  </si>
  <si>
    <t>https://news.bloombergtax.com/daily-tax-report-international/tax-incentives-for-renewable-energy-in-vietnam</t>
  </si>
  <si>
    <t>2021 Vietnam EF</t>
  </si>
  <si>
    <t>http://dcc.gov.vn/van-ban-phap-luat/1102/Nghien-cuu,-xay-dung-he-so-phat-thai-(EF)-cua-luoi-dien-Viet-Nam-nam-2021-(k%C3%A8m-CV-1278/BDKH-TTBVTOD).html</t>
  </si>
  <si>
    <r>
      <t>Build Margin CO</t>
    </r>
    <r>
      <rPr>
        <vertAlign val="subscript"/>
        <sz val="12"/>
        <rFont val="Verdana"/>
        <family val="2"/>
      </rPr>
      <t>2</t>
    </r>
    <r>
      <rPr>
        <sz val="12"/>
        <rFont val="Verdana"/>
        <family val="2"/>
      </rPr>
      <t xml:space="preserve"> Emission Factor in year 2021</t>
    </r>
  </si>
  <si>
    <r>
      <t>Operating Margin CO</t>
    </r>
    <r>
      <rPr>
        <vertAlign val="subscript"/>
        <sz val="12"/>
        <rFont val="Verdana"/>
        <family val="2"/>
      </rPr>
      <t>2</t>
    </r>
    <r>
      <rPr>
        <sz val="12"/>
        <rFont val="Verdana"/>
        <family val="2"/>
      </rPr>
      <t xml:space="preserve"> Emission Factor (2019-2021)</t>
    </r>
  </si>
  <si>
    <r>
      <t>Combined Margin CO</t>
    </r>
    <r>
      <rPr>
        <b/>
        <vertAlign val="subscript"/>
        <sz val="12"/>
        <color indexed="9"/>
        <rFont val="Verdana"/>
        <family val="2"/>
      </rPr>
      <t>2</t>
    </r>
    <r>
      <rPr>
        <b/>
        <sz val="12"/>
        <color indexed="9"/>
        <rFont val="Verdana"/>
        <family val="2"/>
      </rPr>
      <t xml:space="preserve"> Emission Factor in year 2021</t>
    </r>
  </si>
  <si>
    <t>Cost of equity in real term = 11.73% (default value for Vietnam)</t>
  </si>
  <si>
    <t>This is the breakdown calculation based on the Project's Financial Analysis Detailed Inputs to support the analysis in FSR Volume 1.2, page 43. 
The estimation is aligned with the Industry Standard for Wind Power Plant at the time of investment. See References Tab for more.</t>
  </si>
  <si>
    <t>REFERENCES</t>
  </si>
  <si>
    <t>NOTE</t>
  </si>
  <si>
    <t>Electricity Price - Decision 39/2018/QD-TTg dated 10/09/2018</t>
  </si>
  <si>
    <t>https://thuvienphapluat.vn/van-ban/Dau-tu/Decision-39-2018-QD-TTg-amending-Decision-37-2011-QD-TTg-development-of-wind-power-projects-394945.aspx</t>
  </si>
  <si>
    <t>0,085 Uscents/ kWh</t>
  </si>
  <si>
    <t>Emission Factor 2021 - Department of Climate Change of Viet Nam</t>
  </si>
  <si>
    <t>Inflation Rate - World Bank</t>
  </si>
  <si>
    <t>https://data.worldbank.org/indicator/FP.CPI.TOTL.ZG?locations=VN</t>
  </si>
  <si>
    <t>Exchange Rate - Joint Stock Commercial Bank for Foreign Trade of Vietnam (Vietcombank)</t>
  </si>
  <si>
    <t>Default values for the Cost of Equity - CDM Methodological tool for Investment Analysis, Version 12.0</t>
  </si>
  <si>
    <t>https://cdm.unfccc.int/methodologies/PAmethodologies/tools/am-tool-27-v12.pdf</t>
  </si>
  <si>
    <t>Tax Rate - Decision 39/2011/QD-TTg</t>
  </si>
  <si>
    <t>https://thuvienphapluat.vn/van-ban/Dau-tu/Quyet-dinh-39-2018-QD-TTg-sua-doi-Quyet-dinh-37-2011-QD-TTg-co-che-ho-tro-cac-du-an-dien-gio-393826.aspx</t>
  </si>
  <si>
    <t xml:space="preserve">Tax Rate
Decision 37/2011/QD-TTg; Article 16 Clause No.1
Decree No. 218/2013/NĐ-CP; Article 16 Clause No. 1
</t>
  </si>
  <si>
    <t>https://thuvienphapluat.vn/van-ban/Dau-tu/Quyet-dinh-37-2011-QD-TTg-co-che-ho-tro-phat-trien-cac-du-an-dien-gio-125998.aspx
https://thuvienphapluat.vn/van-ban/Doanh-nghiep/Nghi-dinh-218-2013-ND-CP-huong-dan-thi-hanh-Luat-thue-thu-nhap-doanh-nghiep-217811.aspx?anchor=dieu_15
https://news.bloombergtax.com/daily-tax-report-international/tax-incentives-for-renewable-energy-in-vietnam</t>
  </si>
  <si>
    <t>Tax exemption for 4 years, reduction of 50% of tax payable for the next 9 years for Income of enterprise from performing new investment projects in the field of socialization shall comply in difficult or extremely difficult socio-economic conditions specified in the Annex issued with this Decree.</t>
  </si>
  <si>
    <t>Interest - State Bank of Vietnam</t>
  </si>
  <si>
    <t>https://www.sbv.gov.vn/</t>
  </si>
  <si>
    <t>The average long-term lending rates are 9% for medium term and 11% for long term loan contracts according to the weekly reports published by the State Bank of Viet Nam on its official website. As the project lifetime is 20 years, then the applied cost of debt for the proposed project is 11%.</t>
  </si>
  <si>
    <t>O&amp;M Cost per Turbine, page 3-4</t>
  </si>
  <si>
    <t>https://www.irena.org/-/media/Files/IRENA/Agency/Publication/2016/IRENA-ETSAP_Tech_Brief_Wind_Power_E07.pdf?rev=7ff8e1d6d6b84661bfa49869fc83c4e0</t>
  </si>
  <si>
    <t xml:space="preserve">0.005 USD/KWh to 0.025 USD/KWh </t>
  </si>
  <si>
    <t xml:space="preserve">Theoretical O&amp;M cost determined by Wind Turbine Technology brief published by IEA-ETSAP and IRENA. In detail, the average cost ranging from 0.005 USD/KWh to 0.025 USD/KWh </t>
  </si>
  <si>
    <t>Power Technology, 2016</t>
  </si>
  <si>
    <t>http://pvj.com.vn/index.php/TCDK/article/view/527</t>
  </si>
  <si>
    <t>annual O&amp;M costs are about 2% of Equipment Costs</t>
  </si>
  <si>
    <t>Insurance Fee, Windustry, Chapter 8: Costs,  page 7</t>
  </si>
  <si>
    <t>https://www.windustry.org/community_wind_toolbox_8_costs#:~:text=Insurance.,per%20year%20for%20each%20turbine</t>
  </si>
  <si>
    <t xml:space="preserve">8,000-15,000 USD/ turbine per annum </t>
  </si>
  <si>
    <t xml:space="preserve">The standard annual insurance cost range from the guidelines for Wind Farm Costs which is from 8,000-15,000 USD/ turbine per annum </t>
  </si>
  <si>
    <r>
      <t xml:space="preserve">Vietnam Emission Grid Factor issued by Department of climate change, Ministry of Natural Resources and Environment
</t>
    </r>
    <r>
      <rPr>
        <sz val="12"/>
        <color indexed="10"/>
        <rFont val="Verdana"/>
        <family val="2"/>
      </rPr>
      <t>Reference 2</t>
    </r>
  </si>
  <si>
    <r>
      <t xml:space="preserve">Vietnam Emission Grid Factor issued by Department of climate change, Ministry of Natural Resources and Environment 
</t>
    </r>
    <r>
      <rPr>
        <sz val="12"/>
        <color indexed="10"/>
        <rFont val="Verdana"/>
        <family val="2"/>
      </rPr>
      <t>Reference 2</t>
    </r>
  </si>
  <si>
    <t>Reference 7</t>
  </si>
  <si>
    <t>"2021": 14 Oct 2021 to 13 Oct 2022</t>
  </si>
  <si>
    <r>
      <t xml:space="preserve">Preferential corporate tax applied as per Decision 37/2011/QD-TTg, Article 12/ and its amended Decision 39/2011/QD-TTg </t>
    </r>
    <r>
      <rPr>
        <sz val="10"/>
        <color indexed="60"/>
        <rFont val="Arial"/>
        <family val="2"/>
      </rPr>
      <t>(</t>
    </r>
    <r>
      <rPr>
        <sz val="10"/>
        <color indexed="10"/>
        <rFont val="Arial"/>
        <family val="2"/>
      </rPr>
      <t>See Reference 7</t>
    </r>
    <r>
      <rPr>
        <sz val="10"/>
        <color indexed="60"/>
        <rFont val="Arial"/>
        <family val="2"/>
      </rPr>
      <t>)</t>
    </r>
  </si>
  <si>
    <t>Cost of debt (Interest Rate)</t>
  </si>
  <si>
    <t>~2%</t>
  </si>
  <si>
    <t>Output guarantee insurance (% of revenue)</t>
  </si>
  <si>
    <t>Major replacement/repairation cost (after 10 years) (% of investment cost)</t>
  </si>
  <si>
    <t>Asset insurance fee (% of investment cost)</t>
  </si>
  <si>
    <t>Management fee (% of revenue)</t>
  </si>
  <si>
    <t>(USD)</t>
  </si>
  <si>
    <t>OM for 12 WTGs (USD)</t>
  </si>
  <si>
    <t>Average Annual OM cost for 12 turbines (USD)</t>
  </si>
  <si>
    <t>FSR, Volume 1.1, page 18</t>
  </si>
  <si>
    <t>FSR, Volume 1.2, page 9</t>
  </si>
  <si>
    <t>FSR, Volume 1.2, page 13</t>
  </si>
  <si>
    <r>
      <t>Aligns with Industry Standard about the average maintanace cost per annum for onshore Wind power plants (</t>
    </r>
    <r>
      <rPr>
        <b/>
        <sz val="10"/>
        <color indexed="10"/>
        <rFont val="Calibri"/>
        <family val="2"/>
      </rPr>
      <t xml:space="preserve">see References Tab/ No 9 &amp; 10 for O&amp;M cost).
</t>
    </r>
    <r>
      <rPr>
        <sz val="10"/>
        <color indexed="10"/>
        <rFont val="Calibri"/>
        <family val="2"/>
        <charset val="163"/>
      </rPr>
      <t xml:space="preserve">
REFs: 
VESTAS O&amp;M Agreement AOM5000 (Service and Energy Based Availability Agreement), Clause 4 Price and Payment, page 119 (Interim Fee and Annual Base Fee for each Turbine)
VESTAS O&amp;M Agreement AOM5000 - Service and Energy Based Availability Side Agreement, Annex I (Interim Fee and Annual Base Fee breakdown)</t>
    </r>
  </si>
  <si>
    <t xml:space="preserve">Calculated </t>
  </si>
  <si>
    <t>FSR, Volume 1.2, page 9 (P50)</t>
  </si>
  <si>
    <t>per WTG</t>
  </si>
  <si>
    <t>annual cost per MW</t>
  </si>
  <si>
    <t>average cost for 12 WTGs</t>
  </si>
  <si>
    <t>cost per Equipment cost</t>
  </si>
  <si>
    <t>Cost per kWhr</t>
  </si>
  <si>
    <t>COD</t>
  </si>
  <si>
    <t>14/10/2021</t>
  </si>
  <si>
    <t>30/</t>
  </si>
  <si>
    <t>11/</t>
  </si>
  <si>
    <t>days in 2021</t>
  </si>
  <si>
    <t>(30/11/2021</t>
  </si>
  <si>
    <t>to</t>
  </si>
  <si>
    <t>31/12/2021)</t>
  </si>
  <si>
    <t>(01/01/2022</t>
  </si>
  <si>
    <t>31/12/2022)</t>
  </si>
  <si>
    <t>(01/01/2023</t>
  </si>
  <si>
    <t>31/12/2023)</t>
  </si>
  <si>
    <t>(01/01/2024</t>
  </si>
  <si>
    <t>31/12/2024)</t>
  </si>
  <si>
    <t>(01/01/2025</t>
  </si>
  <si>
    <t>31/12/2025)</t>
  </si>
  <si>
    <t>(01/01/2026</t>
  </si>
  <si>
    <t>29/11/2026)</t>
  </si>
  <si>
    <t>Reference</t>
  </si>
  <si>
    <r>
      <rPr>
        <b/>
        <sz val="12"/>
        <color indexed="10"/>
        <rFont val="Calibri"/>
        <family val="2"/>
      </rPr>
      <t>NH2</t>
    </r>
    <r>
      <rPr>
        <b/>
        <sz val="12"/>
        <color indexed="8"/>
        <rFont val="Calibri"/>
        <family val="2"/>
      </rPr>
      <t xml:space="preserve"> NET QUANTITY OF ECLECTRICITY EXPORTED TO THE GRID 2021-2022</t>
    </r>
    <r>
      <rPr>
        <b/>
        <sz val="12"/>
        <color indexed="8"/>
        <rFont val="Calibri"/>
        <family val="2"/>
      </rPr>
      <t xml:space="preserve"> (ACTUAL VALUE)</t>
    </r>
  </si>
  <si>
    <t>Period</t>
  </si>
  <si>
    <t>Export</t>
  </si>
  <si>
    <t>Imported</t>
  </si>
  <si>
    <t>Egfacility
(Net export)</t>
  </si>
  <si>
    <t>ERy tCO2</t>
  </si>
  <si>
    <t>kWhrs</t>
  </si>
  <si>
    <t>MWhrs</t>
  </si>
  <si>
    <t>not included in the ER calc</t>
  </si>
  <si>
    <t>Start the crediting period</t>
  </si>
  <si>
    <t>2021</t>
  </si>
  <si>
    <t>2022</t>
  </si>
  <si>
    <t>2021 (1 month)</t>
  </si>
  <si>
    <t>(30/11/2021 to 31/12/2021)</t>
  </si>
  <si>
    <t>(01/01/2022 to 31/12/2022)</t>
  </si>
  <si>
    <t>(01/01/2023 to 31/12/2023)</t>
  </si>
  <si>
    <t>(01/01/2024 to 31/12/2024)</t>
  </si>
  <si>
    <t>(01/01/2025 to 31/12/2025)</t>
  </si>
  <si>
    <t>2026 (11 months)</t>
  </si>
  <si>
    <t>(01/01/2026 to 29/11/2026)</t>
  </si>
  <si>
    <t>Trainings</t>
  </si>
  <si>
    <t>tCO2e</t>
  </si>
  <si>
    <t>AOM5000, Availability Term of WTGs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</si>
</sst>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41" formatCode="_(* #,##0_);_(* \(#,##0\);_(* &quot;-&quot;_);_(@_)"/>
    <numFmt numFmtId="43" formatCode="_(* #,##0.00_);_(* \(#,##0.00\);_(* &quot;-&quot;??_);_(@_)"/>
    <numFmt numFmtId="171" formatCode="_-* #,##0.00_-;\-* #,##0.00_-;_-* &quot;-&quot;??_-;_-@_-"/>
    <numFmt numFmtId="177" formatCode="_(&quot;$&quot;* #,##0.00_);_(&quot;$&quot;* \(#,##0.00\);_(&quot;$&quot;* &quot;-&quot;??_);_(@_)"/>
    <numFmt numFmtId="178" formatCode="#,##0.0"/>
    <numFmt numFmtId="179" formatCode="0.0"/>
    <numFmt numFmtId="180" formatCode="0.0%"/>
    <numFmt numFmtId="181" formatCode="0.00_);[Red]\(0.00\)"/>
    <numFmt numFmtId="182" formatCode="#,##0.000"/>
    <numFmt numFmtId="183" formatCode="_(* #,##0_);_(* \(#,##0\);_(* &quot;-&quot;??_);_(@_)"/>
    <numFmt numFmtId="184" formatCode="_ * #,##0.00_)\ _V_N_D_ ;_ * \(#,##0.00\)\ _V_N_D_ ;_ * &quot;-&quot;??_)\ _V_N_D_ ;_ @_ "/>
    <numFmt numFmtId="185" formatCode="#,##0.0000"/>
    <numFmt numFmtId="186" formatCode="0.0000"/>
    <numFmt numFmtId="187" formatCode="_([$€-2]* #,##0.00_);_([$€-2]* \(#,##0.00\);_([$€-2]* &quot;-&quot;??_)"/>
    <numFmt numFmtId="192" formatCode="_(* #,##0.00000_);_(* \(#,##0.00000\);_(* &quot;-&quot;_);_(@_)"/>
    <numFmt numFmtId="197" formatCode="_(* #,##0.000_);_(* \(#,##0.000\);_(* &quot;-&quot;_);_(@_)"/>
    <numFmt numFmtId="199" formatCode="_(* #,##0.000000_);_(* \(#,##0.000000\);_(* &quot;-&quot;_);_(@_)"/>
    <numFmt numFmtId="201" formatCode="0.000"/>
  </numFmts>
  <fonts count="89">
    <font>
      <sz val="10"/>
      <name val="Arial"/>
    </font>
    <font>
      <sz val="12"/>
      <color indexed="8"/>
      <name val=".VnTime"/>
      <family val="2"/>
    </font>
    <font>
      <sz val="10"/>
      <name val="Arial"/>
      <family val="2"/>
    </font>
    <font>
      <u/>
      <sz val="10"/>
      <color indexed="12"/>
      <name val="Arial"/>
      <family val="2"/>
    </font>
    <font>
      <sz val="8"/>
      <name val="Arial"/>
      <family val="2"/>
    </font>
    <font>
      <sz val="10"/>
      <name val="Arial"/>
      <family val="1"/>
    </font>
    <font>
      <b/>
      <sz val="24"/>
      <color indexed="12"/>
      <name val="Arial"/>
      <family val="1"/>
    </font>
    <font>
      <b/>
      <sz val="10"/>
      <name val="Arial"/>
      <family val="1"/>
    </font>
    <font>
      <b/>
      <sz val="10"/>
      <color indexed="18"/>
      <name val="Arial"/>
      <family val="1"/>
    </font>
    <font>
      <b/>
      <sz val="10"/>
      <name val="Arial"/>
      <family val="2"/>
    </font>
    <font>
      <b/>
      <sz val="20"/>
      <color indexed="10"/>
      <name val="Arial"/>
      <family val="2"/>
    </font>
    <font>
      <b/>
      <i/>
      <sz val="10"/>
      <color indexed="10"/>
      <name val="Arial"/>
      <family val="2"/>
    </font>
    <font>
      <b/>
      <i/>
      <sz val="10"/>
      <color indexed="12"/>
      <name val="Arial"/>
      <family val="2"/>
    </font>
    <font>
      <sz val="11"/>
      <name val="Arial"/>
      <family val="2"/>
    </font>
    <font>
      <sz val="11"/>
      <color indexed="8"/>
      <name val="Arial"/>
      <family val="2"/>
    </font>
    <font>
      <b/>
      <i/>
      <sz val="11"/>
      <color indexed="10"/>
      <name val="Arial"/>
      <family val="2"/>
    </font>
    <font>
      <sz val="10"/>
      <name val="Arial"/>
      <family val="2"/>
    </font>
    <font>
      <sz val="10"/>
      <name val="Arial"/>
      <family val="2"/>
    </font>
    <font>
      <sz val="10"/>
      <name val="Arial"/>
      <family val="2"/>
      <charset val="163"/>
    </font>
    <font>
      <b/>
      <sz val="10"/>
      <name val="Arial"/>
      <family val="2"/>
      <charset val="163"/>
    </font>
    <font>
      <b/>
      <sz val="24"/>
      <name val="Arial"/>
      <family val="1"/>
    </font>
    <font>
      <b/>
      <sz val="18"/>
      <name val="Arial"/>
      <family val="1"/>
    </font>
    <font>
      <b/>
      <sz val="11"/>
      <name val="Arial"/>
      <family val="2"/>
    </font>
    <font>
      <sz val="12"/>
      <name val="Verdana"/>
      <family val="2"/>
    </font>
    <font>
      <vertAlign val="subscript"/>
      <sz val="12"/>
      <name val="Verdana"/>
      <family val="2"/>
    </font>
    <font>
      <b/>
      <vertAlign val="subscript"/>
      <sz val="12"/>
      <color indexed="9"/>
      <name val="Verdana"/>
      <family val="2"/>
    </font>
    <font>
      <b/>
      <sz val="12"/>
      <color indexed="9"/>
      <name val="Verdana"/>
      <family val="2"/>
    </font>
    <font>
      <b/>
      <sz val="12"/>
      <name val="Verdana"/>
      <family val="2"/>
    </font>
    <font>
      <b/>
      <u/>
      <sz val="10"/>
      <name val="Arial"/>
      <family val="2"/>
    </font>
    <font>
      <u/>
      <sz val="10"/>
      <name val="Arial"/>
      <family val="2"/>
    </font>
    <font>
      <sz val="10"/>
      <name val="Verdana"/>
      <family val="2"/>
    </font>
    <font>
      <b/>
      <sz val="10"/>
      <color indexed="10"/>
      <name val="Calibri"/>
      <family val="2"/>
    </font>
    <font>
      <sz val="10"/>
      <color indexed="10"/>
      <name val="Calibri"/>
      <family val="2"/>
      <charset val="163"/>
    </font>
    <font>
      <sz val="10"/>
      <color indexed="60"/>
      <name val="Arial"/>
      <family val="2"/>
    </font>
    <font>
      <sz val="10"/>
      <color indexed="8"/>
      <name val="Tahoma"/>
      <family val="2"/>
    </font>
    <font>
      <b/>
      <sz val="10.5"/>
      <name val="Arial"/>
      <family val="2"/>
    </font>
    <font>
      <sz val="12"/>
      <color indexed="10"/>
      <name val="Verdana"/>
      <family val="2"/>
    </font>
    <font>
      <sz val="10"/>
      <color indexed="10"/>
      <name val="Arial"/>
      <family val="2"/>
    </font>
    <font>
      <b/>
      <sz val="10"/>
      <color indexed="8"/>
      <name val="Tahoma"/>
      <family val="2"/>
    </font>
    <font>
      <sz val="10"/>
      <color indexed="8"/>
      <name val="Arial"/>
      <family val="2"/>
    </font>
    <font>
      <b/>
      <sz val="10"/>
      <color indexed="8"/>
      <name val="Tahoma"/>
      <family val="2"/>
    </font>
    <font>
      <sz val="10"/>
      <color indexed="8"/>
      <name val="Tahoma"/>
      <family val="2"/>
    </font>
    <font>
      <sz val="10"/>
      <color indexed="8"/>
      <name val="Arial"/>
      <family val="2"/>
    </font>
    <font>
      <b/>
      <sz val="12"/>
      <color indexed="8"/>
      <name val="Calibri"/>
      <family val="2"/>
    </font>
    <font>
      <b/>
      <sz val="12"/>
      <color indexed="10"/>
      <name val="Calibri"/>
      <family val="2"/>
    </font>
    <font>
      <b/>
      <sz val="12"/>
      <color indexed="8"/>
      <name val="Calibri"/>
      <family val="2"/>
    </font>
    <font>
      <sz val="12"/>
      <color theme="1"/>
      <name val=".VnTime"/>
      <family val="2"/>
    </font>
    <font>
      <sz val="11"/>
      <color theme="1"/>
      <name val="Calibri"/>
      <family val="2"/>
      <scheme val="minor"/>
    </font>
    <font>
      <sz val="10"/>
      <color theme="1"/>
      <name val="Calibri"/>
      <family val="2"/>
      <charset val="163"/>
      <scheme val="minor"/>
    </font>
    <font>
      <b/>
      <sz val="10"/>
      <color theme="1"/>
      <name val="Calibri"/>
      <family val="2"/>
      <charset val="163"/>
      <scheme val="minor"/>
    </font>
    <font>
      <b/>
      <sz val="18"/>
      <color theme="1"/>
      <name val="Calibri"/>
      <family val="2"/>
      <charset val="163"/>
      <scheme val="minor"/>
    </font>
    <font>
      <sz val="10"/>
      <color theme="0"/>
      <name val="Arial"/>
      <family val="2"/>
    </font>
    <font>
      <b/>
      <sz val="12"/>
      <color theme="0"/>
      <name val="Verdana"/>
      <family val="2"/>
    </font>
    <font>
      <b/>
      <sz val="12"/>
      <color rgb="FFFFFFFF"/>
      <name val="Verdana"/>
      <family val="2"/>
    </font>
    <font>
      <sz val="12"/>
      <color rgb="FF4D4D4C"/>
      <name val="Verdana"/>
      <family val="2"/>
    </font>
    <font>
      <b/>
      <sz val="11"/>
      <color rgb="FF4D4D4C"/>
      <name val="Verdana"/>
      <family val="2"/>
    </font>
    <font>
      <sz val="10"/>
      <name val="Calibri"/>
      <family val="2"/>
      <charset val="163"/>
      <scheme val="minor"/>
    </font>
    <font>
      <b/>
      <i/>
      <sz val="10"/>
      <color rgb="FF2229FF"/>
      <name val="Arial"/>
      <family val="2"/>
    </font>
    <font>
      <sz val="10"/>
      <color rgb="FF2229FF"/>
      <name val="Arial"/>
      <family val="2"/>
    </font>
    <font>
      <i/>
      <sz val="10"/>
      <color rgb="FF2229FF"/>
      <name val="Arial"/>
      <family val="2"/>
    </font>
    <font>
      <sz val="10"/>
      <color rgb="FF0000FF"/>
      <name val="Arial"/>
      <family val="1"/>
    </font>
    <font>
      <b/>
      <sz val="10"/>
      <color rgb="FF0000FF"/>
      <name val="Arial"/>
      <family val="2"/>
    </font>
    <font>
      <sz val="10"/>
      <color theme="1"/>
      <name val="Calibri"/>
      <family val="2"/>
      <scheme val="minor"/>
    </font>
    <font>
      <b/>
      <sz val="10"/>
      <color theme="1"/>
      <name val="Arial"/>
      <family val="2"/>
    </font>
    <font>
      <sz val="11"/>
      <color rgb="FF000000"/>
      <name val="Arial"/>
      <family val="2"/>
    </font>
    <font>
      <b/>
      <sz val="10"/>
      <color rgb="FFFF0000"/>
      <name val="Arial"/>
      <family val="2"/>
    </font>
    <font>
      <b/>
      <sz val="28"/>
      <name val="Calibri"/>
      <family val="2"/>
      <charset val="163"/>
      <scheme val="minor"/>
    </font>
    <font>
      <sz val="24"/>
      <name val="Calibri"/>
      <family val="2"/>
      <charset val="163"/>
      <scheme val="minor"/>
    </font>
    <font>
      <i/>
      <sz val="10"/>
      <name val="Calibri"/>
      <family val="2"/>
      <charset val="163"/>
      <scheme val="minor"/>
    </font>
    <font>
      <b/>
      <sz val="10"/>
      <name val="Calibri"/>
      <family val="2"/>
      <charset val="163"/>
      <scheme val="minor"/>
    </font>
    <font>
      <b/>
      <sz val="10"/>
      <name val="Calibri"/>
      <family val="2"/>
      <scheme val="minor"/>
    </font>
    <font>
      <sz val="10"/>
      <name val="Calibri"/>
      <family val="2"/>
      <scheme val="minor"/>
    </font>
    <font>
      <sz val="12"/>
      <name val="Calibri"/>
      <family val="2"/>
      <charset val="163"/>
      <scheme val="minor"/>
    </font>
    <font>
      <b/>
      <sz val="12"/>
      <color rgb="FFFF0000"/>
      <name val="Calibri"/>
      <family val="2"/>
      <charset val="163"/>
      <scheme val="minor"/>
    </font>
    <font>
      <sz val="10"/>
      <color theme="1"/>
      <name val="Arial"/>
      <family val="2"/>
    </font>
    <font>
      <u/>
      <sz val="10"/>
      <color theme="1"/>
      <name val="Arial"/>
      <family val="2"/>
    </font>
    <font>
      <sz val="10"/>
      <color rgb="FF0000FF"/>
      <name val="Arial"/>
      <family val="2"/>
    </font>
    <font>
      <b/>
      <sz val="12"/>
      <color rgb="FF4D4D4C"/>
      <name val="Verdana"/>
      <family val="2"/>
    </font>
    <font>
      <b/>
      <sz val="24"/>
      <color theme="8" tint="0.59999389629810485"/>
      <name val="Arial"/>
      <family val="1"/>
    </font>
    <font>
      <sz val="10"/>
      <color rgb="FFFF0000"/>
      <name val="Calibri"/>
      <family val="2"/>
      <charset val="163"/>
      <scheme val="minor"/>
    </font>
    <font>
      <b/>
      <sz val="24"/>
      <color theme="0"/>
      <name val="Verdana"/>
      <family val="2"/>
    </font>
    <font>
      <b/>
      <sz val="16"/>
      <color theme="7" tint="0.79998168889431442"/>
      <name val="Arial"/>
      <family val="2"/>
    </font>
    <font>
      <b/>
      <sz val="12"/>
      <color theme="1"/>
      <name val="Calibri"/>
      <family val="2"/>
    </font>
    <font>
      <b/>
      <sz val="12"/>
      <color theme="1"/>
      <name val="Calibri"/>
      <family val="2"/>
      <scheme val="minor"/>
    </font>
    <font>
      <sz val="10"/>
      <color theme="0" tint="-0.499984740745262"/>
      <name val="Arial"/>
      <family val="2"/>
    </font>
    <font>
      <sz val="12"/>
      <color theme="0" tint="-0.499984740745262"/>
      <name val="Calibri"/>
      <family val="2"/>
      <scheme val="minor"/>
    </font>
    <font>
      <sz val="10"/>
      <color rgb="FFFF0000"/>
      <name val="Arial"/>
      <family val="2"/>
    </font>
    <font>
      <sz val="12"/>
      <name val="Calibri"/>
      <family val="2"/>
      <scheme val="minor"/>
    </font>
    <font>
      <sz val="12"/>
      <color theme="1"/>
      <name val="Calibri"/>
      <family val="2"/>
      <scheme val="minor"/>
    </font>
  </fonts>
  <fills count="18">
    <fill>
      <patternFill patternType="none"/>
    </fill>
    <fill>
      <patternFill patternType="gray125"/>
    </fill>
    <fill>
      <patternFill patternType="solid">
        <fgColor indexed="9"/>
        <bgColor indexed="64"/>
      </patternFill>
    </fill>
    <fill>
      <patternFill patternType="solid">
        <fgColor indexed="42"/>
        <bgColor indexed="64"/>
      </patternFill>
    </fill>
    <fill>
      <patternFill patternType="solid">
        <fgColor rgb="FFFFFF00"/>
        <bgColor indexed="64"/>
      </patternFill>
    </fill>
    <fill>
      <patternFill patternType="solid">
        <fgColor rgb="FF92D050"/>
        <bgColor indexed="64"/>
      </patternFill>
    </fill>
    <fill>
      <patternFill patternType="solid">
        <fgColor rgb="FFFFC000"/>
        <bgColor indexed="64"/>
      </patternFill>
    </fill>
    <fill>
      <patternFill patternType="solid">
        <fgColor theme="8" tint="0.59999389629810485"/>
        <bgColor indexed="64"/>
      </patternFill>
    </fill>
    <fill>
      <patternFill patternType="solid">
        <fgColor theme="8" tint="0.39997558519241921"/>
        <bgColor indexed="64"/>
      </patternFill>
    </fill>
    <fill>
      <patternFill patternType="solid">
        <fgColor theme="0"/>
        <bgColor indexed="64"/>
      </patternFill>
    </fill>
    <fill>
      <patternFill patternType="solid">
        <fgColor rgb="FF00B0F0"/>
        <bgColor indexed="64"/>
      </patternFill>
    </fill>
    <fill>
      <patternFill patternType="solid">
        <fgColor rgb="FF00B9BD"/>
        <bgColor indexed="64"/>
      </patternFill>
    </fill>
    <fill>
      <patternFill patternType="solid">
        <fgColor theme="6" tint="0.79998168889431442"/>
        <bgColor indexed="64"/>
      </patternFill>
    </fill>
    <fill>
      <patternFill patternType="solid">
        <fgColor rgb="FFA5D7D5"/>
        <bgColor indexed="64"/>
      </patternFill>
    </fill>
    <fill>
      <patternFill patternType="solid">
        <fgColor rgb="FFC9E7E6"/>
        <bgColor indexed="64"/>
      </patternFill>
    </fill>
    <fill>
      <patternFill patternType="solid">
        <fgColor theme="9" tint="0.79998168889431442"/>
        <bgColor indexed="64"/>
      </patternFill>
    </fill>
    <fill>
      <patternFill patternType="solid">
        <fgColor rgb="FF7030A0"/>
        <bgColor indexed="64"/>
      </patternFill>
    </fill>
    <fill>
      <patternFill patternType="solid">
        <fgColor theme="9"/>
        <bgColor indexed="64"/>
      </patternFill>
    </fill>
  </fills>
  <borders count="41">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medium">
        <color rgb="FF00B9BD"/>
      </left>
      <right/>
      <top style="medium">
        <color rgb="FF00B9BD"/>
      </top>
      <bottom style="medium">
        <color rgb="FFDCDCDC"/>
      </bottom>
      <diagonal/>
    </border>
    <border>
      <left/>
      <right/>
      <top style="medium">
        <color rgb="FF00B9BD"/>
      </top>
      <bottom style="medium">
        <color rgb="FFDCDCDC"/>
      </bottom>
      <diagonal/>
    </border>
    <border>
      <left/>
      <right style="medium">
        <color rgb="FF00B9BD"/>
      </right>
      <top style="medium">
        <color rgb="FF00B9BD"/>
      </top>
      <bottom style="medium">
        <color rgb="FFDCDCDC"/>
      </bottom>
      <diagonal/>
    </border>
    <border>
      <left style="medium">
        <color rgb="FFDCDCDC"/>
      </left>
      <right style="medium">
        <color rgb="FFDCDCDC"/>
      </right>
      <top/>
      <bottom style="medium">
        <color rgb="FFDCDCDC"/>
      </bottom>
      <diagonal/>
    </border>
    <border>
      <left/>
      <right style="medium">
        <color rgb="FFDCDCDC"/>
      </right>
      <top/>
      <bottom style="medium">
        <color rgb="FFDCDCDC"/>
      </bottom>
      <diagonal/>
    </border>
    <border>
      <left style="medium">
        <color rgb="FFDCDCDC"/>
      </left>
      <right/>
      <top style="medium">
        <color rgb="FFDCDCDC"/>
      </top>
      <bottom style="medium">
        <color rgb="FFDCDCDC"/>
      </bottom>
      <diagonal/>
    </border>
    <border>
      <left/>
      <right/>
      <top style="medium">
        <color rgb="FFDCDCDC"/>
      </top>
      <bottom style="medium">
        <color rgb="FFDCDCDC"/>
      </bottom>
      <diagonal/>
    </border>
    <border>
      <left/>
      <right/>
      <top style="medium">
        <color rgb="FFDCDCDC"/>
      </top>
      <bottom/>
      <diagonal/>
    </border>
    <border>
      <left/>
      <right style="medium">
        <color rgb="FFDCDCDC"/>
      </right>
      <top style="medium">
        <color rgb="FFDCDCDC"/>
      </top>
      <bottom style="medium">
        <color rgb="FFDCDCDC"/>
      </bottom>
      <diagonal/>
    </border>
  </borders>
  <cellStyleXfs count="22">
    <xf numFmtId="0" fontId="0" fillId="0" borderId="0"/>
    <xf numFmtId="43" fontId="16" fillId="0" borderId="0" applyFont="0" applyFill="0" applyBorder="0" applyAlignment="0" applyProtection="0"/>
    <xf numFmtId="41" fontId="17" fillId="0" borderId="0" applyFont="0" applyFill="0" applyBorder="0" applyAlignment="0" applyProtection="0"/>
    <xf numFmtId="43" fontId="2" fillId="0" borderId="0" applyFont="0" applyFill="0" applyBorder="0" applyAlignment="0" applyProtection="0"/>
    <xf numFmtId="184" fontId="1" fillId="0" borderId="0" applyFont="0" applyFill="0" applyBorder="0" applyAlignment="0" applyProtection="0"/>
    <xf numFmtId="171" fontId="2" fillId="0" borderId="0" applyFont="0" applyFill="0" applyBorder="0" applyAlignment="0" applyProtection="0"/>
    <xf numFmtId="43" fontId="47" fillId="0" borderId="0" applyFont="0" applyFill="0" applyBorder="0" applyAlignment="0" applyProtection="0"/>
    <xf numFmtId="171" fontId="2" fillId="0" borderId="0" applyFont="0" applyFill="0" applyBorder="0" applyAlignment="0" applyProtection="0"/>
    <xf numFmtId="171" fontId="47" fillId="0" borderId="0" applyFont="0" applyFill="0" applyBorder="0" applyAlignment="0" applyProtection="0"/>
    <xf numFmtId="171" fontId="2" fillId="0" borderId="0" applyFont="0" applyFill="0" applyBorder="0" applyAlignment="0" applyProtection="0"/>
    <xf numFmtId="177" fontId="2" fillId="0" borderId="0" applyFont="0" applyFill="0" applyBorder="0" applyAlignment="0" applyProtection="0"/>
    <xf numFmtId="187" fontId="2" fillId="0" borderId="0" applyFont="0" applyFill="0" applyBorder="0" applyAlignment="0" applyProtection="0"/>
    <xf numFmtId="0" fontId="3" fillId="0" borderId="0" applyNumberFormat="0" applyFill="0" applyBorder="0" applyAlignment="0" applyProtection="0">
      <alignment vertical="top"/>
      <protection locked="0"/>
    </xf>
    <xf numFmtId="0" fontId="2" fillId="0" borderId="0"/>
    <xf numFmtId="0" fontId="46" fillId="0" borderId="0"/>
    <xf numFmtId="0" fontId="18" fillId="0" borderId="0"/>
    <xf numFmtId="0" fontId="47" fillId="0" borderId="0"/>
    <xf numFmtId="0" fontId="2" fillId="0" borderId="0"/>
    <xf numFmtId="9" fontId="2" fillId="0" borderId="0" applyFont="0" applyFill="0" applyBorder="0" applyAlignment="0" applyProtection="0"/>
    <xf numFmtId="9" fontId="4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cellStyleXfs>
  <cellXfs count="381">
    <xf numFmtId="0" fontId="0" fillId="0" borderId="0" xfId="0"/>
    <xf numFmtId="0" fontId="0" fillId="2" borderId="0" xfId="0" applyFill="1"/>
    <xf numFmtId="0" fontId="0" fillId="2" borderId="0" xfId="0" applyFill="1" applyAlignment="1">
      <alignment horizontal="center"/>
    </xf>
    <xf numFmtId="0" fontId="5" fillId="0" borderId="0" xfId="0" applyFont="1" applyFill="1" applyBorder="1" applyAlignment="1">
      <alignment vertical="center" wrapText="1"/>
    </xf>
    <xf numFmtId="0" fontId="6" fillId="0" borderId="0" xfId="0" applyFont="1" applyFill="1" applyBorder="1" applyAlignment="1">
      <alignment horizontal="left" vertical="center" wrapText="1"/>
    </xf>
    <xf numFmtId="0" fontId="5" fillId="0" borderId="0" xfId="0" applyFont="1" applyFill="1" applyBorder="1" applyAlignment="1">
      <alignment horizontal="center" vertical="center" wrapText="1"/>
    </xf>
    <xf numFmtId="179" fontId="5" fillId="0" borderId="0" xfId="0" applyNumberFormat="1" applyFont="1" applyFill="1" applyBorder="1" applyAlignment="1">
      <alignment vertical="center" wrapText="1"/>
    </xf>
    <xf numFmtId="0" fontId="9" fillId="0" borderId="0" xfId="0" applyFont="1" applyFill="1" applyBorder="1" applyAlignment="1">
      <alignment vertical="center" wrapText="1"/>
    </xf>
    <xf numFmtId="0" fontId="5" fillId="0" borderId="0" xfId="0" applyFont="1" applyFill="1" applyBorder="1" applyAlignment="1" applyProtection="1">
      <alignment horizontal="center" vertical="center" wrapText="1"/>
    </xf>
    <xf numFmtId="0" fontId="5" fillId="0" borderId="0" xfId="0" applyFont="1" applyFill="1" applyBorder="1" applyAlignment="1" applyProtection="1">
      <alignment vertical="center" wrapText="1"/>
    </xf>
    <xf numFmtId="3" fontId="12" fillId="0" borderId="0" xfId="0" applyNumberFormat="1" applyFont="1" applyFill="1" applyBorder="1" applyAlignment="1" applyProtection="1">
      <alignment vertical="center" wrapText="1"/>
      <protection locked="0"/>
    </xf>
    <xf numFmtId="0" fontId="11" fillId="0" borderId="0" xfId="0" quotePrefix="1" applyFont="1" applyFill="1" applyBorder="1" applyAlignment="1">
      <alignment horizontal="right" vertical="center" wrapText="1"/>
    </xf>
    <xf numFmtId="3" fontId="12" fillId="0" borderId="0" xfId="0" applyNumberFormat="1" applyFont="1" applyFill="1" applyBorder="1" applyAlignment="1">
      <alignment vertical="center" wrapText="1"/>
    </xf>
    <xf numFmtId="0" fontId="7" fillId="0" borderId="0" xfId="0" applyFont="1" applyFill="1" applyBorder="1" applyAlignment="1">
      <alignment horizontal="right" vertical="center" wrapText="1"/>
    </xf>
    <xf numFmtId="0" fontId="5" fillId="0" borderId="0" xfId="0" applyFont="1" applyFill="1" applyBorder="1" applyAlignment="1">
      <alignment horizontal="left" vertical="center" wrapText="1"/>
    </xf>
    <xf numFmtId="0" fontId="7" fillId="0" borderId="0" xfId="0" quotePrefix="1" applyFont="1" applyFill="1" applyBorder="1" applyAlignment="1">
      <alignment horizontal="right" vertical="center" wrapText="1"/>
    </xf>
    <xf numFmtId="0" fontId="10" fillId="0" borderId="0" xfId="0" applyFont="1" applyFill="1" applyBorder="1" applyAlignment="1">
      <alignment horizontal="left" vertical="center" wrapText="1"/>
    </xf>
    <xf numFmtId="9" fontId="5" fillId="0" borderId="0" xfId="0" applyNumberFormat="1" applyFont="1" applyFill="1" applyBorder="1" applyAlignment="1">
      <alignment horizontal="center" vertical="center" wrapText="1"/>
    </xf>
    <xf numFmtId="2" fontId="5" fillId="0" borderId="0" xfId="0" applyNumberFormat="1" applyFont="1" applyFill="1" applyBorder="1" applyAlignment="1">
      <alignment horizontal="center" vertical="center" wrapText="1"/>
    </xf>
    <xf numFmtId="0" fontId="8" fillId="0" borderId="0" xfId="0" quotePrefix="1" applyFont="1" applyFill="1" applyBorder="1" applyAlignment="1">
      <alignment horizontal="right" vertical="center" wrapText="1"/>
    </xf>
    <xf numFmtId="0" fontId="0" fillId="0" borderId="0" xfId="0" applyFill="1" applyBorder="1" applyAlignment="1" applyProtection="1">
      <alignment vertical="center" wrapText="1"/>
    </xf>
    <xf numFmtId="0" fontId="0" fillId="0" borderId="0" xfId="0" quotePrefix="1" applyFill="1" applyBorder="1" applyAlignment="1" applyProtection="1">
      <alignment vertical="center" wrapText="1"/>
    </xf>
    <xf numFmtId="0" fontId="0" fillId="0" borderId="0" xfId="0" applyFill="1" applyBorder="1" applyAlignment="1" applyProtection="1">
      <alignment horizontal="left" vertical="center" wrapText="1"/>
    </xf>
    <xf numFmtId="9" fontId="5" fillId="0" borderId="0" xfId="0" applyNumberFormat="1" applyFont="1" applyFill="1" applyBorder="1" applyAlignment="1">
      <alignment vertical="center" wrapText="1"/>
    </xf>
    <xf numFmtId="179" fontId="5" fillId="0" borderId="1" xfId="0" applyNumberFormat="1" applyFont="1" applyFill="1" applyBorder="1" applyAlignment="1">
      <alignment vertical="center" wrapText="1"/>
    </xf>
    <xf numFmtId="0" fontId="48" fillId="0" borderId="1" xfId="0" applyFont="1" applyFill="1" applyBorder="1" applyAlignment="1">
      <alignment vertical="center" wrapText="1"/>
    </xf>
    <xf numFmtId="0" fontId="48" fillId="0" borderId="1" xfId="0" applyFont="1" applyFill="1" applyBorder="1" applyAlignment="1">
      <alignment horizontal="left" vertical="center" wrapText="1"/>
    </xf>
    <xf numFmtId="0" fontId="48" fillId="0" borderId="1" xfId="0" applyFont="1" applyFill="1" applyBorder="1" applyAlignment="1" applyProtection="1">
      <alignment vertical="center" wrapText="1"/>
    </xf>
    <xf numFmtId="0" fontId="48" fillId="0" borderId="0" xfId="0" applyFont="1" applyFill="1" applyBorder="1" applyAlignment="1" applyProtection="1">
      <alignment vertical="center" wrapText="1"/>
    </xf>
    <xf numFmtId="9" fontId="48" fillId="0" borderId="0" xfId="18" applyFont="1" applyFill="1" applyBorder="1" applyAlignment="1" applyProtection="1">
      <alignment vertical="center" wrapText="1"/>
    </xf>
    <xf numFmtId="0" fontId="49" fillId="0" borderId="1" xfId="0" applyFont="1" applyFill="1" applyBorder="1" applyAlignment="1" applyProtection="1">
      <alignment horizontal="center" vertical="center" wrapText="1"/>
    </xf>
    <xf numFmtId="178" fontId="48" fillId="4" borderId="1" xfId="0" applyNumberFormat="1" applyFont="1" applyFill="1" applyBorder="1" applyAlignment="1">
      <alignment vertical="center" wrapText="1"/>
    </xf>
    <xf numFmtId="182" fontId="48" fillId="4" borderId="1" xfId="0" applyNumberFormat="1" applyFont="1" applyFill="1" applyBorder="1" applyAlignment="1">
      <alignment vertical="center" wrapText="1"/>
    </xf>
    <xf numFmtId="180" fontId="48" fillId="4" borderId="1" xfId="0" applyNumberFormat="1" applyFont="1" applyFill="1" applyBorder="1" applyAlignment="1" applyProtection="1">
      <alignment vertical="center" wrapText="1"/>
      <protection locked="0"/>
    </xf>
    <xf numFmtId="4" fontId="48" fillId="4" borderId="1" xfId="0" applyNumberFormat="1" applyFont="1" applyFill="1" applyBorder="1" applyAlignment="1" applyProtection="1">
      <alignment vertical="center" wrapText="1"/>
      <protection locked="0"/>
    </xf>
    <xf numFmtId="3" fontId="48" fillId="4" borderId="1" xfId="0" applyNumberFormat="1" applyFont="1" applyFill="1" applyBorder="1" applyAlignment="1">
      <alignment vertical="center" wrapText="1"/>
    </xf>
    <xf numFmtId="3" fontId="48" fillId="5" borderId="1" xfId="0" applyNumberFormat="1" applyFont="1" applyFill="1" applyBorder="1" applyAlignment="1" applyProtection="1">
      <alignment vertical="center" wrapText="1"/>
      <protection locked="0"/>
    </xf>
    <xf numFmtId="179" fontId="48" fillId="5" borderId="1" xfId="0" applyNumberFormat="1" applyFont="1" applyFill="1" applyBorder="1" applyAlignment="1">
      <alignment vertical="center" wrapText="1"/>
    </xf>
    <xf numFmtId="4" fontId="48" fillId="5" borderId="1" xfId="1" applyNumberFormat="1" applyFont="1" applyFill="1" applyBorder="1" applyAlignment="1">
      <alignment vertical="center" wrapText="1"/>
    </xf>
    <xf numFmtId="0" fontId="11" fillId="0" borderId="0" xfId="0" quotePrefix="1" applyFont="1" applyFill="1" applyBorder="1" applyAlignment="1">
      <alignment horizontal="center" vertical="center" wrapText="1"/>
    </xf>
    <xf numFmtId="0" fontId="48" fillId="0" borderId="1" xfId="0" applyFont="1" applyFill="1" applyBorder="1" applyAlignment="1">
      <alignment horizontal="center" vertical="center" wrapText="1"/>
    </xf>
    <xf numFmtId="9" fontId="48" fillId="0" borderId="0" xfId="18" applyFont="1" applyFill="1" applyBorder="1" applyAlignment="1" applyProtection="1">
      <alignment horizontal="center" vertical="center" wrapText="1"/>
    </xf>
    <xf numFmtId="0" fontId="0" fillId="0" borderId="0" xfId="0" applyFill="1" applyBorder="1" applyAlignment="1" applyProtection="1">
      <alignment horizontal="center" vertical="center" wrapText="1"/>
    </xf>
    <xf numFmtId="2" fontId="5" fillId="0" borderId="1" xfId="0" applyNumberFormat="1" applyFont="1" applyFill="1" applyBorder="1" applyAlignment="1">
      <alignment horizontal="center" vertical="center" wrapText="1"/>
    </xf>
    <xf numFmtId="10" fontId="5" fillId="0" borderId="1" xfId="0" applyNumberFormat="1" applyFont="1" applyFill="1" applyBorder="1" applyAlignment="1">
      <alignment vertical="center" wrapText="1"/>
    </xf>
    <xf numFmtId="10" fontId="19" fillId="5" borderId="1" xfId="0" applyNumberFormat="1" applyFont="1" applyFill="1" applyBorder="1" applyAlignment="1">
      <alignment vertical="center" wrapText="1"/>
    </xf>
    <xf numFmtId="9" fontId="5" fillId="4" borderId="1" xfId="0" applyNumberFormat="1" applyFont="1" applyFill="1" applyBorder="1" applyAlignment="1">
      <alignment horizontal="center" vertical="center" wrapText="1"/>
    </xf>
    <xf numFmtId="10" fontId="9" fillId="6" borderId="1" xfId="0" applyNumberFormat="1" applyFont="1" applyFill="1" applyBorder="1" applyAlignment="1">
      <alignment vertical="center" wrapText="1"/>
    </xf>
    <xf numFmtId="0" fontId="6" fillId="2" borderId="0" xfId="0" applyFont="1" applyFill="1" applyAlignment="1">
      <alignment vertical="center" wrapText="1"/>
    </xf>
    <xf numFmtId="0" fontId="0" fillId="2" borderId="0" xfId="0" applyFill="1" applyAlignment="1">
      <alignment wrapText="1"/>
    </xf>
    <xf numFmtId="0" fontId="0" fillId="2" borderId="0" xfId="0" applyFill="1" applyAlignment="1">
      <alignment vertical="center" wrapText="1"/>
    </xf>
    <xf numFmtId="0" fontId="15" fillId="2" borderId="0" xfId="0" applyFont="1" applyFill="1" applyAlignment="1">
      <alignment wrapText="1"/>
    </xf>
    <xf numFmtId="0" fontId="20" fillId="0" borderId="0" xfId="0" applyFont="1" applyFill="1" applyAlignment="1">
      <alignment vertical="center" wrapText="1"/>
    </xf>
    <xf numFmtId="0" fontId="9" fillId="7" borderId="2" xfId="0" applyFont="1" applyFill="1" applyBorder="1" applyAlignment="1">
      <alignment horizontal="center" vertical="center" wrapText="1"/>
    </xf>
    <xf numFmtId="0" fontId="9" fillId="7" borderId="3" xfId="0" applyFont="1" applyFill="1" applyBorder="1" applyAlignment="1">
      <alignment horizontal="center" vertical="center" wrapText="1"/>
    </xf>
    <xf numFmtId="0" fontId="9" fillId="7" borderId="4" xfId="0" applyFont="1" applyFill="1" applyBorder="1" applyAlignment="1">
      <alignment horizontal="center" vertical="center" wrapText="1"/>
    </xf>
    <xf numFmtId="0" fontId="9" fillId="7" borderId="5" xfId="0" applyFont="1" applyFill="1" applyBorder="1" applyAlignment="1">
      <alignment horizontal="center" vertical="center" wrapText="1"/>
    </xf>
    <xf numFmtId="10" fontId="13" fillId="5" borderId="6" xfId="0" applyNumberFormat="1" applyFont="1" applyFill="1" applyBorder="1" applyAlignment="1">
      <alignment horizontal="center" vertical="center" wrapText="1"/>
    </xf>
    <xf numFmtId="10" fontId="13" fillId="5" borderId="7" xfId="0" applyNumberFormat="1" applyFont="1" applyFill="1" applyBorder="1" applyAlignment="1">
      <alignment horizontal="center" vertical="center" wrapText="1"/>
    </xf>
    <xf numFmtId="0" fontId="13" fillId="8" borderId="8" xfId="0" applyFont="1" applyFill="1" applyBorder="1" applyAlignment="1">
      <alignment horizontal="center" vertical="center" wrapText="1"/>
    </xf>
    <xf numFmtId="0" fontId="13" fillId="8" borderId="9" xfId="0" applyFont="1" applyFill="1" applyBorder="1" applyAlignment="1">
      <alignment horizontal="center" vertical="center" wrapText="1"/>
    </xf>
    <xf numFmtId="0" fontId="13" fillId="8" borderId="8" xfId="0" applyFont="1" applyFill="1" applyBorder="1" applyAlignment="1">
      <alignment vertical="center" wrapText="1"/>
    </xf>
    <xf numFmtId="0" fontId="13" fillId="8" borderId="10" xfId="0" applyFont="1" applyFill="1" applyBorder="1" applyAlignment="1">
      <alignment vertical="center" wrapText="1"/>
    </xf>
    <xf numFmtId="0" fontId="22" fillId="8" borderId="1" xfId="0" applyFont="1" applyFill="1" applyBorder="1" applyAlignment="1">
      <alignment horizontal="left" wrapText="1"/>
    </xf>
    <xf numFmtId="0" fontId="2" fillId="9" borderId="1" xfId="0" applyFont="1" applyFill="1" applyBorder="1" applyAlignment="1">
      <alignment vertical="center" wrapText="1"/>
    </xf>
    <xf numFmtId="10" fontId="2" fillId="5" borderId="1" xfId="0" applyNumberFormat="1" applyFont="1" applyFill="1" applyBorder="1" applyAlignment="1">
      <alignment horizontal="center" wrapText="1"/>
    </xf>
    <xf numFmtId="0" fontId="18" fillId="8" borderId="11" xfId="0" applyFont="1" applyFill="1" applyBorder="1" applyAlignment="1">
      <alignment horizontal="center" vertical="center" wrapText="1"/>
    </xf>
    <xf numFmtId="0" fontId="18" fillId="8" borderId="11" xfId="0" applyFont="1" applyFill="1" applyBorder="1" applyAlignment="1">
      <alignment horizontal="center" vertical="top" wrapText="1"/>
    </xf>
    <xf numFmtId="0" fontId="0" fillId="8" borderId="12" xfId="0" applyFill="1" applyBorder="1" applyAlignment="1">
      <alignment vertical="top"/>
    </xf>
    <xf numFmtId="0" fontId="0" fillId="8" borderId="13" xfId="0" applyFill="1" applyBorder="1" applyAlignment="1">
      <alignment vertical="top"/>
    </xf>
    <xf numFmtId="0" fontId="0" fillId="8" borderId="14" xfId="0" applyFill="1" applyBorder="1" applyAlignment="1">
      <alignment horizontal="center" vertical="top"/>
    </xf>
    <xf numFmtId="3" fontId="0" fillId="4" borderId="1" xfId="0" applyNumberFormat="1" applyFill="1" applyBorder="1" applyAlignment="1">
      <alignment horizontal="center" vertical="center"/>
    </xf>
    <xf numFmtId="0" fontId="0" fillId="4" borderId="1" xfId="0" applyFill="1" applyBorder="1" applyAlignment="1">
      <alignment horizontal="center" vertical="center"/>
    </xf>
    <xf numFmtId="3" fontId="0" fillId="5" borderId="1" xfId="0" applyNumberFormat="1" applyFill="1" applyBorder="1" applyAlignment="1">
      <alignment horizontal="center" vertical="center"/>
    </xf>
    <xf numFmtId="3" fontId="9" fillId="5" borderId="1" xfId="0" applyNumberFormat="1" applyFont="1" applyFill="1" applyBorder="1" applyAlignment="1">
      <alignment horizontal="center" vertical="center"/>
    </xf>
    <xf numFmtId="1" fontId="0" fillId="7" borderId="15" xfId="0" applyNumberFormat="1" applyFill="1" applyBorder="1" applyAlignment="1">
      <alignment horizontal="right" vertical="center"/>
    </xf>
    <xf numFmtId="0" fontId="18" fillId="7" borderId="16" xfId="0" applyFont="1" applyFill="1" applyBorder="1" applyAlignment="1">
      <alignment horizontal="right" vertical="center"/>
    </xf>
    <xf numFmtId="0" fontId="18" fillId="7" borderId="17" xfId="0" applyFont="1" applyFill="1" applyBorder="1" applyAlignment="1">
      <alignment horizontal="left" vertical="center"/>
    </xf>
    <xf numFmtId="0" fontId="0" fillId="7" borderId="15" xfId="0" applyFill="1" applyBorder="1" applyAlignment="1">
      <alignment horizontal="right" vertical="center"/>
    </xf>
    <xf numFmtId="0" fontId="9" fillId="5" borderId="1" xfId="0" applyFont="1" applyFill="1" applyBorder="1" applyAlignment="1">
      <alignment horizontal="center" vertical="center"/>
    </xf>
    <xf numFmtId="0" fontId="48" fillId="8" borderId="1" xfId="0" applyFont="1" applyFill="1" applyBorder="1" applyAlignment="1">
      <alignment vertical="center" wrapText="1"/>
    </xf>
    <xf numFmtId="0" fontId="48" fillId="8" borderId="1" xfId="0" applyFont="1" applyFill="1" applyBorder="1" applyAlignment="1">
      <alignment horizontal="left" vertical="center" wrapText="1"/>
    </xf>
    <xf numFmtId="0" fontId="49" fillId="8" borderId="1" xfId="0" applyFont="1" applyFill="1" applyBorder="1" applyAlignment="1">
      <alignment vertical="center" wrapText="1"/>
    </xf>
    <xf numFmtId="0" fontId="48" fillId="8" borderId="1" xfId="0" applyFont="1" applyFill="1" applyBorder="1" applyAlignment="1" applyProtection="1">
      <alignment horizontal="left" vertical="center" wrapText="1" indent="2"/>
    </xf>
    <xf numFmtId="0" fontId="48" fillId="8" borderId="1" xfId="0" quotePrefix="1" applyFont="1" applyFill="1" applyBorder="1" applyAlignment="1">
      <alignment vertical="center" wrapText="1"/>
    </xf>
    <xf numFmtId="0" fontId="48" fillId="8" borderId="1" xfId="0" applyFont="1" applyFill="1" applyBorder="1" applyAlignment="1" applyProtection="1">
      <alignment vertical="center" wrapText="1"/>
    </xf>
    <xf numFmtId="0" fontId="5" fillId="4" borderId="1" xfId="0" applyFont="1" applyFill="1" applyBorder="1" applyAlignment="1">
      <alignment horizontal="center" vertical="center" wrapText="1"/>
    </xf>
    <xf numFmtId="0" fontId="50" fillId="8" borderId="1" xfId="0" applyFont="1" applyFill="1" applyBorder="1" applyAlignment="1">
      <alignment horizontal="center" vertical="center" wrapText="1"/>
    </xf>
    <xf numFmtId="10" fontId="2" fillId="4" borderId="1" xfId="0" applyNumberFormat="1" applyFont="1" applyFill="1" applyBorder="1" applyAlignment="1">
      <alignment horizontal="center" wrapText="1"/>
    </xf>
    <xf numFmtId="0" fontId="51" fillId="9" borderId="0" xfId="0" applyFont="1" applyFill="1" applyBorder="1" applyAlignment="1">
      <alignment vertical="center" wrapText="1"/>
    </xf>
    <xf numFmtId="10" fontId="13" fillId="5" borderId="18" xfId="0" applyNumberFormat="1" applyFont="1" applyFill="1" applyBorder="1" applyAlignment="1">
      <alignment horizontal="center" vertical="center" wrapText="1"/>
    </xf>
    <xf numFmtId="10" fontId="13" fillId="5" borderId="19" xfId="0" applyNumberFormat="1" applyFont="1" applyFill="1" applyBorder="1" applyAlignment="1">
      <alignment horizontal="center" vertical="center" wrapText="1"/>
    </xf>
    <xf numFmtId="9" fontId="49" fillId="5" borderId="1" xfId="0" applyNumberFormat="1" applyFont="1" applyFill="1" applyBorder="1" applyAlignment="1" applyProtection="1">
      <alignment horizontal="center" vertical="center" wrapText="1"/>
    </xf>
    <xf numFmtId="10" fontId="5" fillId="5" borderId="1" xfId="18" applyNumberFormat="1" applyFont="1" applyFill="1" applyBorder="1" applyAlignment="1">
      <alignment vertical="center" wrapText="1"/>
    </xf>
    <xf numFmtId="183" fontId="5" fillId="0" borderId="1" xfId="1" applyNumberFormat="1" applyFont="1" applyFill="1" applyBorder="1" applyAlignment="1">
      <alignment vertical="center" wrapText="1"/>
    </xf>
    <xf numFmtId="183" fontId="19" fillId="4" borderId="1" xfId="1" applyNumberFormat="1" applyFont="1" applyFill="1" applyBorder="1" applyAlignment="1">
      <alignment vertical="center" wrapText="1"/>
    </xf>
    <xf numFmtId="0" fontId="3" fillId="0" borderId="1" xfId="12" applyFill="1" applyBorder="1" applyAlignment="1" applyProtection="1">
      <alignment vertical="center" wrapText="1"/>
    </xf>
    <xf numFmtId="3" fontId="48" fillId="5" borderId="1" xfId="1" applyNumberFormat="1" applyFont="1" applyFill="1" applyBorder="1" applyAlignment="1">
      <alignment vertical="center" wrapText="1"/>
    </xf>
    <xf numFmtId="3" fontId="48" fillId="4" borderId="1" xfId="1" applyNumberFormat="1" applyFont="1" applyFill="1" applyBorder="1" applyAlignment="1">
      <alignment vertical="center" wrapText="1"/>
    </xf>
    <xf numFmtId="186" fontId="0" fillId="0" borderId="0" xfId="0" applyNumberFormat="1"/>
    <xf numFmtId="4" fontId="0" fillId="0" borderId="0" xfId="0" applyNumberFormat="1"/>
    <xf numFmtId="0" fontId="23" fillId="0" borderId="0" xfId="13" applyFont="1" applyAlignment="1">
      <alignment vertical="center"/>
    </xf>
    <xf numFmtId="185" fontId="23" fillId="0" borderId="0" xfId="13" applyNumberFormat="1" applyFont="1" applyAlignment="1">
      <alignment vertical="center"/>
    </xf>
    <xf numFmtId="0" fontId="52" fillId="10" borderId="1" xfId="13" applyFont="1" applyFill="1" applyBorder="1" applyAlignment="1">
      <alignment horizontal="center" vertical="center"/>
    </xf>
    <xf numFmtId="185" fontId="52" fillId="10" borderId="1" xfId="13" applyNumberFormat="1" applyFont="1" applyFill="1" applyBorder="1" applyAlignment="1">
      <alignment horizontal="center" vertical="center"/>
    </xf>
    <xf numFmtId="0" fontId="23" fillId="0" borderId="1" xfId="13" applyFont="1" applyBorder="1" applyAlignment="1">
      <alignment horizontal="left" vertical="center"/>
    </xf>
    <xf numFmtId="183" fontId="23" fillId="0" borderId="1" xfId="3" applyNumberFormat="1" applyFont="1" applyFill="1" applyBorder="1" applyAlignment="1">
      <alignment horizontal="center" vertical="center" wrapText="1"/>
    </xf>
    <xf numFmtId="0" fontId="23" fillId="0" borderId="1" xfId="13" applyFont="1" applyBorder="1" applyAlignment="1">
      <alignment horizontal="center" vertical="center"/>
    </xf>
    <xf numFmtId="185" fontId="23" fillId="0" borderId="1" xfId="3" applyNumberFormat="1" applyFont="1" applyFill="1" applyBorder="1" applyAlignment="1">
      <alignment horizontal="right" vertical="center" wrapText="1"/>
    </xf>
    <xf numFmtId="3" fontId="23" fillId="0" borderId="0" xfId="13" applyNumberFormat="1" applyFont="1" applyAlignment="1">
      <alignment vertical="center"/>
    </xf>
    <xf numFmtId="4" fontId="23" fillId="0" borderId="1" xfId="3" applyNumberFormat="1" applyFont="1" applyFill="1" applyBorder="1" applyAlignment="1">
      <alignment horizontal="right" vertical="center" wrapText="1"/>
    </xf>
    <xf numFmtId="0" fontId="52" fillId="10" borderId="1" xfId="13" applyFont="1" applyFill="1" applyBorder="1" applyAlignment="1">
      <alignment horizontal="left" vertical="center"/>
    </xf>
    <xf numFmtId="183" fontId="52" fillId="10" borderId="1" xfId="3" applyNumberFormat="1" applyFont="1" applyFill="1" applyBorder="1" applyAlignment="1">
      <alignment horizontal="center" vertical="center" wrapText="1"/>
    </xf>
    <xf numFmtId="185" fontId="52" fillId="10" borderId="1" xfId="3" applyNumberFormat="1" applyFont="1" applyFill="1" applyBorder="1" applyAlignment="1">
      <alignment horizontal="right" vertical="center" wrapText="1"/>
    </xf>
    <xf numFmtId="0" fontId="2" fillId="0" borderId="0" xfId="13" applyAlignment="1">
      <alignment vertical="center"/>
    </xf>
    <xf numFmtId="0" fontId="27" fillId="0" borderId="0" xfId="13" applyFont="1" applyAlignment="1">
      <alignment vertical="center"/>
    </xf>
    <xf numFmtId="180" fontId="23" fillId="0" borderId="0" xfId="13" applyNumberFormat="1" applyFont="1" applyAlignment="1">
      <alignment vertical="center"/>
    </xf>
    <xf numFmtId="14" fontId="23" fillId="0" borderId="0" xfId="13" applyNumberFormat="1" applyFont="1" applyAlignment="1">
      <alignment vertical="center"/>
    </xf>
    <xf numFmtId="3" fontId="48" fillId="4" borderId="1" xfId="0" applyNumberFormat="1" applyFont="1" applyFill="1" applyBorder="1" applyAlignment="1" applyProtection="1">
      <alignment vertical="center" wrapText="1"/>
      <protection locked="0"/>
    </xf>
    <xf numFmtId="4" fontId="48" fillId="5" borderId="1" xfId="0" applyNumberFormat="1" applyFont="1" applyFill="1" applyBorder="1" applyAlignment="1">
      <alignment vertical="center" wrapText="1"/>
    </xf>
    <xf numFmtId="10" fontId="48" fillId="5" borderId="1" xfId="0" applyNumberFormat="1" applyFont="1" applyFill="1" applyBorder="1" applyAlignment="1">
      <alignment horizontal="right" vertical="center" wrapText="1"/>
    </xf>
    <xf numFmtId="0" fontId="53" fillId="11" borderId="32" xfId="0" applyFont="1" applyFill="1" applyBorder="1" applyAlignment="1">
      <alignment vertical="center" wrapText="1"/>
    </xf>
    <xf numFmtId="0" fontId="53" fillId="11" borderId="33" xfId="0" applyFont="1" applyFill="1" applyBorder="1" applyAlignment="1">
      <alignment vertical="center" wrapText="1"/>
    </xf>
    <xf numFmtId="0" fontId="53" fillId="11" borderId="34" xfId="0" applyFont="1" applyFill="1" applyBorder="1" applyAlignment="1">
      <alignment vertical="center" wrapText="1"/>
    </xf>
    <xf numFmtId="0" fontId="54" fillId="0" borderId="35" xfId="0" applyFont="1" applyBorder="1" applyAlignment="1">
      <alignment vertical="center" wrapText="1"/>
    </xf>
    <xf numFmtId="3" fontId="54" fillId="0" borderId="36" xfId="0" applyNumberFormat="1" applyFont="1" applyBorder="1" applyAlignment="1">
      <alignment vertical="center" wrapText="1"/>
    </xf>
    <xf numFmtId="0" fontId="28" fillId="0" borderId="0" xfId="0" applyFont="1"/>
    <xf numFmtId="0" fontId="55" fillId="0" borderId="37" xfId="0" applyFont="1" applyBorder="1" applyAlignment="1">
      <alignment vertical="center" wrapText="1"/>
    </xf>
    <xf numFmtId="0" fontId="55" fillId="0" borderId="38" xfId="0" applyFont="1" applyBorder="1" applyAlignment="1">
      <alignment vertical="center" wrapText="1"/>
    </xf>
    <xf numFmtId="3" fontId="56" fillId="5" borderId="1" xfId="0" applyNumberFormat="1" applyFont="1" applyFill="1" applyBorder="1" applyAlignment="1" applyProtection="1">
      <alignment vertical="center" wrapText="1"/>
    </xf>
    <xf numFmtId="0" fontId="56" fillId="0" borderId="1" xfId="0" applyFont="1" applyFill="1" applyBorder="1" applyAlignment="1">
      <alignment horizontal="center" vertical="center" wrapText="1"/>
    </xf>
    <xf numFmtId="0" fontId="29" fillId="0" borderId="1" xfId="12" applyFont="1" applyFill="1" applyBorder="1" applyAlignment="1" applyProtection="1">
      <alignment vertical="center" wrapText="1"/>
    </xf>
    <xf numFmtId="0" fontId="0" fillId="2" borderId="0" xfId="0" applyFill="1" applyBorder="1" applyAlignment="1">
      <alignment wrapText="1"/>
    </xf>
    <xf numFmtId="0" fontId="2" fillId="2" borderId="1" xfId="0" applyFont="1" applyFill="1" applyBorder="1" applyAlignment="1">
      <alignment wrapText="1"/>
    </xf>
    <xf numFmtId="0" fontId="0" fillId="2" borderId="1" xfId="0" applyFill="1" applyBorder="1" applyAlignment="1">
      <alignment wrapText="1"/>
    </xf>
    <xf numFmtId="9" fontId="0" fillId="2" borderId="1" xfId="0" applyNumberFormat="1" applyFill="1" applyBorder="1" applyAlignment="1">
      <alignment wrapText="1"/>
    </xf>
    <xf numFmtId="10" fontId="0" fillId="2" borderId="1" xfId="0" applyNumberFormat="1" applyFill="1" applyBorder="1" applyAlignment="1">
      <alignment wrapText="1"/>
    </xf>
    <xf numFmtId="0" fontId="0" fillId="0" borderId="1" xfId="0" applyBorder="1"/>
    <xf numFmtId="0" fontId="0" fillId="0" borderId="1" xfId="0" applyNumberFormat="1" applyBorder="1"/>
    <xf numFmtId="4" fontId="0" fillId="0" borderId="1" xfId="0" applyNumberFormat="1" applyBorder="1"/>
    <xf numFmtId="3" fontId="0" fillId="0" borderId="0" xfId="0" applyNumberFormat="1"/>
    <xf numFmtId="182" fontId="19" fillId="4" borderId="1" xfId="0" applyNumberFormat="1" applyFont="1" applyFill="1" applyBorder="1" applyAlignment="1">
      <alignment vertical="center" wrapText="1"/>
    </xf>
    <xf numFmtId="0" fontId="4" fillId="9" borderId="0" xfId="13" applyFont="1" applyFill="1" applyBorder="1" applyAlignment="1"/>
    <xf numFmtId="0" fontId="48" fillId="0" borderId="1" xfId="0" applyFont="1" applyBorder="1" applyAlignment="1">
      <alignment vertical="center" wrapText="1"/>
    </xf>
    <xf numFmtId="0" fontId="0" fillId="8" borderId="0" xfId="0" applyFill="1" applyAlignment="1">
      <alignment vertical="top"/>
    </xf>
    <xf numFmtId="15" fontId="0" fillId="0" borderId="0" xfId="0" applyNumberFormat="1"/>
    <xf numFmtId="178" fontId="0" fillId="7" borderId="16" xfId="0" applyNumberFormat="1" applyFill="1" applyBorder="1" applyAlignment="1">
      <alignment horizontal="center" vertical="center"/>
    </xf>
    <xf numFmtId="0" fontId="48" fillId="0" borderId="1" xfId="0" applyFont="1" applyBorder="1" applyAlignment="1">
      <alignment horizontal="center" vertical="center" wrapText="1"/>
    </xf>
    <xf numFmtId="182" fontId="48" fillId="5" borderId="1" xfId="0" applyNumberFormat="1" applyFont="1" applyFill="1" applyBorder="1" applyAlignment="1">
      <alignment vertical="center" wrapText="1"/>
    </xf>
    <xf numFmtId="0" fontId="20" fillId="9" borderId="0" xfId="0" applyFont="1" applyFill="1" applyAlignment="1">
      <alignment horizontal="center" vertical="center"/>
    </xf>
    <xf numFmtId="192" fontId="57" fillId="12" borderId="1" xfId="0" applyNumberFormat="1" applyFont="1" applyFill="1" applyBorder="1" applyAlignment="1">
      <alignment horizontal="right" vertical="center" wrapText="1"/>
    </xf>
    <xf numFmtId="3" fontId="58" fillId="0" borderId="1" xfId="18" applyNumberFormat="1" applyFont="1" applyFill="1" applyBorder="1" applyAlignment="1" applyProtection="1">
      <alignment vertical="center"/>
      <protection locked="0"/>
    </xf>
    <xf numFmtId="10" fontId="59" fillId="0" borderId="1" xfId="18" applyNumberFormat="1" applyFont="1" applyFill="1" applyBorder="1" applyAlignment="1" applyProtection="1">
      <alignment vertical="center" wrapText="1"/>
      <protection locked="0"/>
    </xf>
    <xf numFmtId="41" fontId="57" fillId="12" borderId="1" xfId="2" applyFont="1" applyFill="1" applyBorder="1" applyAlignment="1">
      <alignment horizontal="right" vertical="center" wrapText="1"/>
    </xf>
    <xf numFmtId="10" fontId="59" fillId="0" borderId="0" xfId="18" applyNumberFormat="1" applyFont="1" applyFill="1" applyBorder="1" applyAlignment="1" applyProtection="1">
      <alignment vertical="center" wrapText="1"/>
      <protection locked="0"/>
    </xf>
    <xf numFmtId="0" fontId="48" fillId="0" borderId="0" xfId="0" applyFont="1" applyFill="1" applyBorder="1" applyAlignment="1">
      <alignment vertical="center" wrapText="1"/>
    </xf>
    <xf numFmtId="0" fontId="48" fillId="0" borderId="0" xfId="0" applyFont="1" applyBorder="1" applyAlignment="1">
      <alignment vertical="center" wrapText="1"/>
    </xf>
    <xf numFmtId="0" fontId="29" fillId="0" borderId="0" xfId="12" applyFont="1" applyFill="1" applyBorder="1" applyAlignment="1" applyProtection="1">
      <alignment vertical="center" wrapText="1"/>
    </xf>
    <xf numFmtId="0" fontId="48" fillId="0" borderId="0" xfId="0" applyFont="1" applyFill="1" applyBorder="1" applyAlignment="1">
      <alignment horizontal="left" vertical="center" wrapText="1"/>
    </xf>
    <xf numFmtId="0" fontId="3" fillId="0" borderId="0" xfId="12" applyFill="1" applyBorder="1" applyAlignment="1" applyProtection="1">
      <alignment vertical="center" wrapText="1"/>
    </xf>
    <xf numFmtId="0" fontId="49" fillId="0" borderId="0" xfId="0" applyFont="1" applyFill="1" applyBorder="1" applyAlignment="1" applyProtection="1">
      <alignment horizontal="center" vertical="center" wrapText="1"/>
    </xf>
    <xf numFmtId="10" fontId="5" fillId="0" borderId="0" xfId="0" applyNumberFormat="1" applyFont="1" applyFill="1" applyBorder="1" applyAlignment="1">
      <alignment vertical="center" wrapText="1"/>
    </xf>
    <xf numFmtId="10" fontId="60" fillId="0" borderId="1" xfId="18" applyNumberFormat="1" applyFont="1" applyFill="1" applyBorder="1" applyAlignment="1">
      <alignment vertical="center" wrapText="1"/>
    </xf>
    <xf numFmtId="192" fontId="57" fillId="12" borderId="1" xfId="2" applyNumberFormat="1" applyFont="1" applyFill="1" applyBorder="1" applyAlignment="1">
      <alignment horizontal="right" vertical="center" wrapText="1"/>
    </xf>
    <xf numFmtId="10" fontId="61" fillId="0" borderId="1" xfId="18" applyNumberFormat="1" applyFont="1" applyFill="1" applyBorder="1" applyAlignment="1" applyProtection="1">
      <alignment horizontal="right" vertical="center" wrapText="1"/>
    </xf>
    <xf numFmtId="0" fontId="2" fillId="0" borderId="0" xfId="0" applyFont="1" applyAlignment="1">
      <alignment vertical="center"/>
    </xf>
    <xf numFmtId="43" fontId="48" fillId="0" borderId="1" xfId="1" applyFont="1" applyFill="1" applyBorder="1" applyAlignment="1">
      <alignment horizontal="left" vertical="center" wrapText="1"/>
    </xf>
    <xf numFmtId="199" fontId="57" fillId="12" borderId="1" xfId="2" applyNumberFormat="1" applyFont="1" applyFill="1" applyBorder="1" applyAlignment="1">
      <alignment horizontal="right" vertical="center" wrapText="1"/>
    </xf>
    <xf numFmtId="0" fontId="62" fillId="0" borderId="1" xfId="0" applyFont="1" applyBorder="1" applyAlignment="1">
      <alignment vertical="center" wrapText="1"/>
    </xf>
    <xf numFmtId="185" fontId="30" fillId="0" borderId="1" xfId="3" applyNumberFormat="1" applyFont="1" applyFill="1" applyBorder="1" applyAlignment="1">
      <alignment horizontal="right" vertical="center" wrapText="1"/>
    </xf>
    <xf numFmtId="4" fontId="30" fillId="0" borderId="1" xfId="3" applyNumberFormat="1" applyFont="1" applyFill="1" applyBorder="1" applyAlignment="1">
      <alignment horizontal="right" vertical="center" wrapText="1"/>
    </xf>
    <xf numFmtId="185" fontId="52" fillId="10" borderId="1" xfId="13" applyNumberFormat="1" applyFont="1" applyFill="1" applyBorder="1" applyAlignment="1">
      <alignment vertical="center"/>
    </xf>
    <xf numFmtId="0" fontId="0" fillId="0" borderId="0" xfId="0" applyAlignment="1">
      <alignment horizontal="center" vertical="center"/>
    </xf>
    <xf numFmtId="0" fontId="0" fillId="0" borderId="0" xfId="0" applyAlignment="1">
      <alignment vertical="center"/>
    </xf>
    <xf numFmtId="0" fontId="2" fillId="0" borderId="0" xfId="0" applyFont="1" applyAlignment="1">
      <alignment horizontal="center" vertical="center"/>
    </xf>
    <xf numFmtId="3" fontId="63" fillId="0" borderId="1" xfId="0" applyNumberFormat="1" applyFont="1" applyBorder="1" applyAlignment="1">
      <alignment horizontal="center" vertical="center"/>
    </xf>
    <xf numFmtId="0" fontId="2" fillId="0" borderId="1" xfId="0" applyFont="1" applyBorder="1" applyAlignment="1">
      <alignment horizontal="center" vertical="center"/>
    </xf>
    <xf numFmtId="0" fontId="2" fillId="0" borderId="1" xfId="0" applyFont="1" applyBorder="1" applyAlignment="1">
      <alignment vertical="center"/>
    </xf>
    <xf numFmtId="0" fontId="3" fillId="0" borderId="1" xfId="12" applyBorder="1" applyAlignment="1" applyProtection="1">
      <alignment vertical="center" wrapText="1"/>
    </xf>
    <xf numFmtId="0" fontId="0" fillId="0" borderId="1" xfId="0" applyBorder="1" applyAlignment="1">
      <alignment vertical="center"/>
    </xf>
    <xf numFmtId="0" fontId="63" fillId="0" borderId="1" xfId="0" applyFont="1" applyBorder="1" applyAlignment="1">
      <alignment vertical="center"/>
    </xf>
    <xf numFmtId="0" fontId="0" fillId="0" borderId="1" xfId="0" applyBorder="1" applyAlignment="1">
      <alignment horizontal="center" vertical="center"/>
    </xf>
    <xf numFmtId="0" fontId="2" fillId="0" borderId="1" xfId="0" applyFont="1" applyBorder="1" applyAlignment="1">
      <alignment vertical="center" wrapText="1"/>
    </xf>
    <xf numFmtId="0" fontId="0" fillId="0" borderId="1" xfId="0" applyBorder="1" applyAlignment="1">
      <alignment vertical="center" wrapText="1"/>
    </xf>
    <xf numFmtId="0" fontId="3" fillId="0" borderId="1" xfId="12" applyBorder="1" applyAlignment="1" applyProtection="1">
      <alignment vertical="center"/>
    </xf>
    <xf numFmtId="10" fontId="2" fillId="0" borderId="1" xfId="0" applyNumberFormat="1" applyFont="1" applyBorder="1" applyAlignment="1">
      <alignment horizontal="center" vertical="center" wrapText="1"/>
    </xf>
    <xf numFmtId="0" fontId="64" fillId="0" borderId="1" xfId="0" applyFont="1" applyBorder="1" applyAlignment="1">
      <alignment horizontal="justify" vertical="center"/>
    </xf>
    <xf numFmtId="0" fontId="2" fillId="0" borderId="1" xfId="0" applyFont="1" applyBorder="1" applyAlignment="1">
      <alignment horizontal="center" vertical="center" wrapText="1"/>
    </xf>
    <xf numFmtId="3" fontId="65" fillId="5" borderId="1" xfId="0" applyNumberFormat="1" applyFont="1" applyFill="1" applyBorder="1" applyAlignment="1">
      <alignment horizontal="center" vertical="center"/>
    </xf>
    <xf numFmtId="10" fontId="65" fillId="5" borderId="1" xfId="0" applyNumberFormat="1" applyFont="1" applyFill="1" applyBorder="1" applyAlignment="1">
      <alignment horizontal="center" wrapText="1"/>
    </xf>
    <xf numFmtId="0" fontId="65" fillId="2" borderId="1" xfId="0" applyFont="1" applyFill="1" applyBorder="1" applyAlignment="1">
      <alignment horizontal="right" wrapText="1"/>
    </xf>
    <xf numFmtId="0" fontId="66" fillId="9" borderId="0" xfId="0" applyFont="1" applyFill="1" applyBorder="1" applyAlignment="1" applyProtection="1">
      <alignment horizontal="left" vertical="center"/>
      <protection locked="0"/>
    </xf>
    <xf numFmtId="0" fontId="67" fillId="9" borderId="0" xfId="0" applyFont="1" applyFill="1" applyBorder="1" applyAlignment="1" applyProtection="1">
      <alignment horizontal="center" vertical="center"/>
      <protection locked="0"/>
    </xf>
    <xf numFmtId="0" fontId="56" fillId="9" borderId="0" xfId="0" applyFont="1" applyFill="1" applyBorder="1" applyAlignment="1" applyProtection="1">
      <alignment vertical="center"/>
      <protection locked="0"/>
    </xf>
    <xf numFmtId="0" fontId="56" fillId="9" borderId="0" xfId="0" applyFont="1" applyFill="1" applyBorder="1" applyAlignment="1" applyProtection="1">
      <alignment horizontal="center" vertical="center"/>
      <protection locked="0"/>
    </xf>
    <xf numFmtId="4" fontId="68" fillId="5" borderId="1" xfId="0" applyNumberFormat="1" applyFont="1" applyFill="1" applyBorder="1" applyAlignment="1" applyProtection="1">
      <alignment horizontal="center" vertical="center"/>
      <protection locked="0"/>
    </xf>
    <xf numFmtId="0" fontId="56" fillId="9" borderId="0" xfId="0" applyFont="1" applyFill="1" applyAlignment="1" applyProtection="1">
      <alignment horizontal="center" vertical="top" wrapText="1"/>
      <protection locked="0"/>
    </xf>
    <xf numFmtId="0" fontId="56" fillId="8" borderId="15" xfId="0" applyFont="1" applyFill="1" applyBorder="1" applyAlignment="1" applyProtection="1">
      <alignment horizontal="center" vertical="center"/>
      <protection locked="0"/>
    </xf>
    <xf numFmtId="0" fontId="56" fillId="9" borderId="0" xfId="0" applyFont="1" applyFill="1" applyBorder="1" applyAlignment="1" applyProtection="1">
      <alignment horizontal="right" vertical="center"/>
      <protection locked="0"/>
    </xf>
    <xf numFmtId="3" fontId="56" fillId="8" borderId="1" xfId="0" applyNumberFormat="1" applyFont="1" applyFill="1" applyBorder="1" applyAlignment="1" applyProtection="1">
      <alignment horizontal="center" vertical="center"/>
      <protection locked="0"/>
    </xf>
    <xf numFmtId="0" fontId="56" fillId="8" borderId="1" xfId="0" applyFont="1" applyFill="1" applyBorder="1" applyAlignment="1" applyProtection="1">
      <alignment horizontal="center" vertical="center"/>
      <protection locked="0"/>
    </xf>
    <xf numFmtId="0" fontId="69" fillId="8" borderId="16" xfId="0" applyFont="1" applyFill="1" applyBorder="1" applyAlignment="1" applyProtection="1">
      <alignment vertical="center"/>
      <protection locked="0"/>
    </xf>
    <xf numFmtId="178" fontId="70" fillId="5" borderId="1" xfId="0" applyNumberFormat="1" applyFont="1" applyFill="1" applyBorder="1" applyAlignment="1" applyProtection="1">
      <alignment horizontal="center" vertical="center"/>
      <protection locked="0"/>
    </xf>
    <xf numFmtId="0" fontId="69" fillId="9" borderId="0" xfId="0" applyFont="1" applyFill="1" applyBorder="1" applyAlignment="1" applyProtection="1">
      <alignment vertical="center"/>
      <protection locked="0"/>
    </xf>
    <xf numFmtId="0" fontId="56" fillId="8" borderId="16" xfId="0" applyFont="1" applyFill="1" applyBorder="1" applyAlignment="1" applyProtection="1">
      <alignment horizontal="left" vertical="center" indent="2"/>
      <protection locked="0"/>
    </xf>
    <xf numFmtId="178" fontId="69" fillId="5" borderId="1" xfId="0" applyNumberFormat="1" applyFont="1" applyFill="1" applyBorder="1" applyAlignment="1" applyProtection="1">
      <alignment horizontal="center" vertical="center"/>
      <protection locked="0"/>
    </xf>
    <xf numFmtId="178" fontId="71" fillId="5" borderId="1" xfId="0" applyNumberFormat="1" applyFont="1" applyFill="1" applyBorder="1" applyAlignment="1" applyProtection="1">
      <alignment horizontal="center" vertical="center"/>
      <protection locked="0"/>
    </xf>
    <xf numFmtId="178" fontId="56" fillId="5" borderId="1" xfId="0" applyNumberFormat="1" applyFont="1" applyFill="1" applyBorder="1" applyAlignment="1" applyProtection="1">
      <alignment horizontal="center" vertical="center"/>
      <protection locked="0"/>
    </xf>
    <xf numFmtId="0" fontId="68" fillId="8" borderId="16" xfId="0" applyFont="1" applyFill="1" applyBorder="1" applyAlignment="1" applyProtection="1">
      <alignment horizontal="left" vertical="center" indent="4"/>
      <protection locked="0"/>
    </xf>
    <xf numFmtId="178" fontId="68" fillId="5" borderId="1" xfId="0" applyNumberFormat="1" applyFont="1" applyFill="1" applyBorder="1" applyAlignment="1" applyProtection="1">
      <alignment horizontal="center" vertical="center"/>
      <protection locked="0"/>
    </xf>
    <xf numFmtId="0" fontId="68" fillId="9" borderId="0" xfId="0" applyFont="1" applyFill="1" applyAlignment="1" applyProtection="1">
      <alignment vertical="center"/>
      <protection locked="0"/>
    </xf>
    <xf numFmtId="0" fontId="68" fillId="8" borderId="17" xfId="0" applyFont="1" applyFill="1" applyBorder="1" applyAlignment="1" applyProtection="1">
      <alignment horizontal="left" vertical="center" indent="4"/>
      <protection locked="0"/>
    </xf>
    <xf numFmtId="0" fontId="69" fillId="8" borderId="17" xfId="0" applyFont="1" applyFill="1" applyBorder="1" applyAlignment="1" applyProtection="1">
      <alignment vertical="center"/>
      <protection locked="0"/>
    </xf>
    <xf numFmtId="181" fontId="56" fillId="9" borderId="0" xfId="0" applyNumberFormat="1" applyFont="1" applyFill="1" applyBorder="1" applyAlignment="1" applyProtection="1">
      <alignment horizontal="center" vertical="center"/>
      <protection locked="0"/>
    </xf>
    <xf numFmtId="0" fontId="72" fillId="8" borderId="17" xfId="0" applyFont="1" applyFill="1" applyBorder="1" applyAlignment="1" applyProtection="1">
      <alignment vertical="center"/>
      <protection locked="0"/>
    </xf>
    <xf numFmtId="10" fontId="73" fillId="5" borderId="1" xfId="0" applyNumberFormat="1" applyFont="1" applyFill="1" applyBorder="1" applyAlignment="1" applyProtection="1">
      <alignment horizontal="center" vertical="center"/>
      <protection locked="0"/>
    </xf>
    <xf numFmtId="0" fontId="9" fillId="3" borderId="1" xfId="0" applyFont="1" applyFill="1" applyBorder="1" applyAlignment="1" applyProtection="1">
      <alignment horizontal="center" vertical="center" wrapText="1"/>
      <protection locked="0"/>
    </xf>
    <xf numFmtId="0" fontId="0" fillId="0" borderId="0" xfId="0" applyProtection="1">
      <protection locked="0"/>
    </xf>
    <xf numFmtId="0" fontId="0" fillId="13" borderId="1" xfId="0" applyFill="1" applyBorder="1" applyAlignment="1" applyProtection="1">
      <alignment horizontal="center"/>
      <protection locked="0"/>
    </xf>
    <xf numFmtId="3" fontId="0" fillId="13" borderId="1" xfId="0" applyNumberFormat="1" applyFill="1" applyBorder="1" applyAlignment="1" applyProtection="1">
      <alignment horizontal="center"/>
      <protection locked="0"/>
    </xf>
    <xf numFmtId="9" fontId="0" fillId="13" borderId="1" xfId="0" applyNumberFormat="1" applyFill="1" applyBorder="1" applyAlignment="1" applyProtection="1">
      <alignment horizontal="center"/>
      <protection locked="0"/>
    </xf>
    <xf numFmtId="3" fontId="0" fillId="0" borderId="0" xfId="0" applyNumberFormat="1" applyProtection="1">
      <protection locked="0"/>
    </xf>
    <xf numFmtId="3" fontId="0" fillId="14" borderId="1" xfId="0" applyNumberFormat="1" applyFill="1" applyBorder="1" applyAlignment="1" applyProtection="1">
      <alignment horizontal="center"/>
      <protection locked="0"/>
    </xf>
    <xf numFmtId="0" fontId="0" fillId="14" borderId="1" xfId="0" applyFill="1" applyBorder="1" applyAlignment="1" applyProtection="1">
      <alignment horizontal="center"/>
      <protection locked="0"/>
    </xf>
    <xf numFmtId="9" fontId="0" fillId="14" borderId="1" xfId="0" applyNumberFormat="1" applyFill="1" applyBorder="1" applyAlignment="1" applyProtection="1">
      <alignment horizontal="center"/>
      <protection locked="0"/>
    </xf>
    <xf numFmtId="0" fontId="0" fillId="0" borderId="0" xfId="0" applyAlignment="1" applyProtection="1">
      <alignment horizontal="center"/>
      <protection locked="0"/>
    </xf>
    <xf numFmtId="41" fontId="0" fillId="0" borderId="0" xfId="2" applyFont="1" applyAlignment="1" applyProtection="1">
      <alignment horizontal="center"/>
      <protection locked="0"/>
    </xf>
    <xf numFmtId="0" fontId="74" fillId="0" borderId="0" xfId="0" applyFont="1" applyAlignment="1" applyProtection="1">
      <alignment horizontal="center"/>
      <protection locked="0"/>
    </xf>
    <xf numFmtId="0" fontId="74" fillId="0" borderId="0" xfId="0" applyFont="1" applyAlignment="1" applyProtection="1">
      <alignment horizontal="left"/>
      <protection locked="0"/>
    </xf>
    <xf numFmtId="0" fontId="74" fillId="0" borderId="0" xfId="0" applyFont="1" applyAlignment="1" applyProtection="1">
      <alignment horizontal="center" vertical="center"/>
      <protection locked="0"/>
    </xf>
    <xf numFmtId="0" fontId="74" fillId="0" borderId="0" xfId="0" applyFont="1" applyAlignment="1" applyProtection="1">
      <alignment horizontal="left" vertical="center" wrapText="1"/>
      <protection locked="0"/>
    </xf>
    <xf numFmtId="0" fontId="75" fillId="0" borderId="0" xfId="12" applyFont="1" applyAlignment="1" applyProtection="1">
      <alignment horizontal="left"/>
      <protection locked="0"/>
    </xf>
    <xf numFmtId="0" fontId="74" fillId="0" borderId="0" xfId="0" applyFont="1" applyProtection="1">
      <protection locked="0"/>
    </xf>
    <xf numFmtId="0" fontId="2" fillId="0" borderId="1" xfId="0" quotePrefix="1" applyFont="1" applyBorder="1" applyAlignment="1">
      <alignment horizontal="center" vertical="center" wrapText="1"/>
    </xf>
    <xf numFmtId="41" fontId="57" fillId="12" borderId="17" xfId="2" applyFont="1" applyFill="1" applyBorder="1" applyAlignment="1">
      <alignment horizontal="right" vertical="center" wrapText="1"/>
    </xf>
    <xf numFmtId="0" fontId="48" fillId="8" borderId="11" xfId="0" applyFont="1" applyFill="1" applyBorder="1" applyAlignment="1" applyProtection="1">
      <alignment horizontal="left" vertical="center" wrapText="1" indent="2"/>
    </xf>
    <xf numFmtId="0" fontId="48" fillId="8" borderId="2" xfId="0" applyFont="1" applyFill="1" applyBorder="1" applyAlignment="1" applyProtection="1">
      <alignment horizontal="left" vertical="center" wrapText="1" indent="2"/>
    </xf>
    <xf numFmtId="0" fontId="48" fillId="8" borderId="20" xfId="0" applyFont="1" applyFill="1" applyBorder="1" applyAlignment="1" applyProtection="1">
      <alignment horizontal="left" vertical="center" wrapText="1" indent="2"/>
    </xf>
    <xf numFmtId="0" fontId="48" fillId="8" borderId="21" xfId="0" applyFont="1" applyFill="1" applyBorder="1" applyAlignment="1" applyProtection="1">
      <alignment horizontal="left" vertical="center" wrapText="1" indent="2"/>
    </xf>
    <xf numFmtId="3" fontId="58" fillId="0" borderId="22" xfId="18" applyNumberFormat="1" applyFont="1" applyFill="1" applyBorder="1" applyAlignment="1" applyProtection="1">
      <alignment vertical="center"/>
      <protection locked="0"/>
    </xf>
    <xf numFmtId="3" fontId="57" fillId="0" borderId="11" xfId="18" applyNumberFormat="1" applyFont="1" applyFill="1" applyBorder="1" applyAlignment="1" applyProtection="1">
      <alignment horizontal="center" vertical="center" wrapText="1"/>
      <protection locked="0"/>
    </xf>
    <xf numFmtId="3" fontId="48" fillId="4" borderId="3" xfId="0" applyNumberFormat="1" applyFont="1" applyFill="1" applyBorder="1" applyAlignment="1" applyProtection="1">
      <alignment vertical="center" wrapText="1"/>
      <protection locked="0"/>
    </xf>
    <xf numFmtId="0" fontId="48" fillId="0" borderId="3" xfId="0" applyFont="1" applyFill="1" applyBorder="1" applyAlignment="1">
      <alignment horizontal="center" vertical="center" wrapText="1"/>
    </xf>
    <xf numFmtId="3" fontId="58" fillId="0" borderId="3" xfId="18" applyNumberFormat="1" applyFont="1" applyFill="1" applyBorder="1" applyAlignment="1" applyProtection="1">
      <alignment vertical="center"/>
      <protection locked="0"/>
    </xf>
    <xf numFmtId="10" fontId="59" fillId="0" borderId="5" xfId="18" applyNumberFormat="1" applyFont="1" applyFill="1" applyBorder="1" applyAlignment="1" applyProtection="1">
      <alignment vertical="center" wrapText="1"/>
      <protection locked="0"/>
    </xf>
    <xf numFmtId="10" fontId="59" fillId="0" borderId="23" xfId="18" applyNumberFormat="1" applyFont="1" applyFill="1" applyBorder="1" applyAlignment="1" applyProtection="1">
      <alignment vertical="center" wrapText="1"/>
      <protection locked="0"/>
    </xf>
    <xf numFmtId="3" fontId="48" fillId="4" borderId="22" xfId="0" applyNumberFormat="1" applyFont="1" applyFill="1" applyBorder="1" applyAlignment="1" applyProtection="1">
      <alignment vertical="center" wrapText="1"/>
      <protection locked="0"/>
    </xf>
    <xf numFmtId="0" fontId="48" fillId="0" borderId="22" xfId="0" applyFont="1" applyFill="1" applyBorder="1" applyAlignment="1">
      <alignment horizontal="center" vertical="center" wrapText="1"/>
    </xf>
    <xf numFmtId="10" fontId="59" fillId="0" borderId="7" xfId="18" applyNumberFormat="1" applyFont="1" applyFill="1" applyBorder="1" applyAlignment="1" applyProtection="1">
      <alignment vertical="center" wrapText="1"/>
      <protection locked="0"/>
    </xf>
    <xf numFmtId="41" fontId="57" fillId="9" borderId="1" xfId="2" applyFont="1" applyFill="1" applyBorder="1" applyAlignment="1">
      <alignment horizontal="right" vertical="center" wrapText="1"/>
    </xf>
    <xf numFmtId="41" fontId="76" fillId="0" borderId="18" xfId="2" applyFont="1" applyBorder="1"/>
    <xf numFmtId="0" fontId="0" fillId="0" borderId="24" xfId="0" applyBorder="1"/>
    <xf numFmtId="0" fontId="5" fillId="0" borderId="24" xfId="0" applyFont="1" applyFill="1" applyBorder="1" applyAlignment="1">
      <alignment horizontal="left" vertical="center" wrapText="1"/>
    </xf>
    <xf numFmtId="10" fontId="57" fillId="0" borderId="0" xfId="18" applyNumberFormat="1" applyFont="1" applyFill="1" applyBorder="1" applyAlignment="1" applyProtection="1">
      <alignment horizontal="center" vertical="center" wrapText="1"/>
      <protection locked="0"/>
    </xf>
    <xf numFmtId="10" fontId="57" fillId="0" borderId="0" xfId="18" applyNumberFormat="1" applyFont="1" applyFill="1" applyBorder="1" applyAlignment="1" applyProtection="1">
      <alignment vertical="center" wrapText="1"/>
      <protection locked="0"/>
    </xf>
    <xf numFmtId="199" fontId="57" fillId="15" borderId="1" xfId="2" applyNumberFormat="1" applyFont="1" applyFill="1" applyBorder="1" applyAlignment="1">
      <alignment horizontal="right" vertical="center" wrapText="1"/>
    </xf>
    <xf numFmtId="192" fontId="57" fillId="15" borderId="1" xfId="2" applyNumberFormat="1" applyFont="1" applyFill="1" applyBorder="1" applyAlignment="1">
      <alignment horizontal="right" vertical="center" wrapText="1"/>
    </xf>
    <xf numFmtId="41" fontId="76" fillId="15" borderId="25" xfId="2" applyFont="1" applyFill="1" applyBorder="1"/>
    <xf numFmtId="10" fontId="61" fillId="15" borderId="1" xfId="18" applyNumberFormat="1" applyFont="1" applyFill="1" applyBorder="1" applyAlignment="1" applyProtection="1">
      <alignment horizontal="right" vertical="center" wrapText="1"/>
    </xf>
    <xf numFmtId="41" fontId="57" fillId="15" borderId="1" xfId="2" applyFont="1" applyFill="1" applyBorder="1" applyAlignment="1">
      <alignment horizontal="right" vertical="center" wrapText="1"/>
    </xf>
    <xf numFmtId="3" fontId="58" fillId="15" borderId="1" xfId="18" applyNumberFormat="1" applyFont="1" applyFill="1" applyBorder="1" applyAlignment="1" applyProtection="1">
      <alignment vertical="center"/>
      <protection locked="0"/>
    </xf>
    <xf numFmtId="10" fontId="60" fillId="15" borderId="1" xfId="18" applyNumberFormat="1" applyFont="1" applyFill="1" applyBorder="1" applyAlignment="1">
      <alignment vertical="center" wrapText="1"/>
    </xf>
    <xf numFmtId="0" fontId="0" fillId="15" borderId="26" xfId="0" applyFill="1" applyBorder="1"/>
    <xf numFmtId="0" fontId="5" fillId="15" borderId="26" xfId="0" applyFont="1" applyFill="1" applyBorder="1" applyAlignment="1">
      <alignment horizontal="left" vertical="center" wrapText="1"/>
    </xf>
    <xf numFmtId="3" fontId="77" fillId="0" borderId="36" xfId="0" applyNumberFormat="1" applyFont="1" applyBorder="1" applyAlignment="1">
      <alignment vertical="center" wrapText="1"/>
    </xf>
    <xf numFmtId="1" fontId="77" fillId="0" borderId="36" xfId="0" applyNumberFormat="1" applyFont="1" applyBorder="1" applyAlignment="1">
      <alignment vertical="center" wrapText="1"/>
    </xf>
    <xf numFmtId="41" fontId="5" fillId="0" borderId="0" xfId="0" applyNumberFormat="1" applyFont="1" applyFill="1" applyBorder="1" applyAlignment="1">
      <alignment vertical="center" wrapText="1"/>
    </xf>
    <xf numFmtId="197" fontId="5" fillId="0" borderId="0" xfId="2" applyNumberFormat="1" applyFont="1" applyFill="1" applyBorder="1" applyAlignment="1">
      <alignment vertical="center" wrapText="1"/>
    </xf>
    <xf numFmtId="10" fontId="19" fillId="5" borderId="1" xfId="0" applyNumberFormat="1" applyFont="1" applyFill="1" applyBorder="1" applyAlignment="1">
      <alignment horizontal="center" vertical="center" wrapText="1"/>
    </xf>
    <xf numFmtId="201" fontId="9" fillId="4" borderId="1" xfId="0" applyNumberFormat="1" applyFont="1" applyFill="1" applyBorder="1" applyAlignment="1">
      <alignment horizontal="center" vertical="center" wrapText="1"/>
    </xf>
    <xf numFmtId="0" fontId="20" fillId="9" borderId="0" xfId="0" applyFont="1" applyFill="1" applyAlignment="1">
      <alignment horizontal="center" vertical="center"/>
    </xf>
    <xf numFmtId="180" fontId="5" fillId="4" borderId="1" xfId="0" applyNumberFormat="1" applyFont="1" applyFill="1" applyBorder="1" applyAlignment="1">
      <alignment horizontal="center" vertical="center" wrapText="1"/>
    </xf>
    <xf numFmtId="41" fontId="48" fillId="0" borderId="0" xfId="2" applyFont="1" applyFill="1" applyBorder="1" applyAlignment="1">
      <alignment vertical="center" wrapText="1"/>
    </xf>
    <xf numFmtId="41" fontId="5" fillId="0" borderId="0" xfId="2" applyFont="1" applyFill="1" applyBorder="1" applyAlignment="1">
      <alignment vertical="center" wrapText="1"/>
    </xf>
    <xf numFmtId="41" fontId="0" fillId="0" borderId="0" xfId="2" applyFont="1" applyFill="1" applyBorder="1" applyAlignment="1" applyProtection="1">
      <alignment horizontal="left" vertical="center" wrapText="1"/>
    </xf>
    <xf numFmtId="41" fontId="5" fillId="0" borderId="0" xfId="0" applyNumberFormat="1" applyFont="1" applyFill="1" applyBorder="1" applyAlignment="1">
      <alignment horizontal="left" vertical="center" wrapText="1"/>
    </xf>
    <xf numFmtId="41" fontId="56" fillId="9" borderId="0" xfId="2" applyFont="1" applyFill="1" applyBorder="1" applyAlignment="1" applyProtection="1">
      <alignment horizontal="center" vertical="center"/>
      <protection locked="0"/>
    </xf>
    <xf numFmtId="41" fontId="56" fillId="9" borderId="0" xfId="0" applyNumberFormat="1" applyFont="1" applyFill="1" applyBorder="1" applyAlignment="1" applyProtection="1">
      <alignment horizontal="center" vertical="center"/>
      <protection locked="0"/>
    </xf>
    <xf numFmtId="0" fontId="0" fillId="0" borderId="0" xfId="0" quotePrefix="1"/>
    <xf numFmtId="0" fontId="0" fillId="0" borderId="0" xfId="0" applyAlignment="1">
      <alignment horizontal="left"/>
    </xf>
    <xf numFmtId="3" fontId="12" fillId="4" borderId="0" xfId="0" quotePrefix="1" applyNumberFormat="1" applyFont="1" applyFill="1" applyAlignment="1" applyProtection="1">
      <alignment wrapText="1"/>
      <protection locked="0"/>
    </xf>
    <xf numFmtId="3" fontId="12" fillId="4" borderId="0" xfId="0" applyNumberFormat="1" applyFont="1" applyFill="1" applyAlignment="1">
      <alignment wrapText="1"/>
    </xf>
    <xf numFmtId="1" fontId="12" fillId="4" borderId="0" xfId="0" applyNumberFormat="1" applyFont="1" applyFill="1" applyAlignment="1">
      <alignment horizontal="left" wrapText="1"/>
    </xf>
    <xf numFmtId="0" fontId="2" fillId="0" borderId="15" xfId="0" applyFont="1" applyBorder="1"/>
    <xf numFmtId="0" fontId="0" fillId="0" borderId="16" xfId="0" applyBorder="1"/>
    <xf numFmtId="1" fontId="0" fillId="0" borderId="16" xfId="0" applyNumberFormat="1" applyBorder="1" applyAlignment="1">
      <alignment horizontal="left"/>
    </xf>
    <xf numFmtId="0" fontId="0" fillId="0" borderId="17" xfId="0" applyBorder="1"/>
    <xf numFmtId="15" fontId="0" fillId="0" borderId="15" xfId="0" applyNumberFormat="1" applyBorder="1"/>
    <xf numFmtId="15" fontId="0" fillId="0" borderId="17" xfId="0" applyNumberFormat="1" applyBorder="1"/>
    <xf numFmtId="0" fontId="0" fillId="0" borderId="0" xfId="0" applyAlignment="1">
      <alignment horizontal="right"/>
    </xf>
    <xf numFmtId="0" fontId="22" fillId="0" borderId="1" xfId="0" applyFont="1" applyBorder="1" applyAlignment="1">
      <alignment horizontal="center" vertical="center"/>
    </xf>
    <xf numFmtId="17" fontId="84" fillId="0" borderId="29" xfId="0" applyNumberFormat="1" applyFont="1" applyBorder="1" applyAlignment="1">
      <alignment horizontal="right"/>
    </xf>
    <xf numFmtId="3" fontId="85" fillId="0" borderId="29" xfId="0" applyNumberFormat="1" applyFont="1" applyBorder="1" applyAlignment="1">
      <alignment horizontal="center" vertical="center"/>
    </xf>
    <xf numFmtId="3" fontId="84" fillId="0" borderId="29" xfId="0" applyNumberFormat="1" applyFont="1" applyBorder="1" applyAlignment="1">
      <alignment horizontal="center"/>
    </xf>
    <xf numFmtId="182" fontId="84" fillId="0" borderId="29" xfId="0" applyNumberFormat="1" applyFont="1" applyBorder="1" applyAlignment="1">
      <alignment horizontal="center"/>
    </xf>
    <xf numFmtId="3" fontId="84" fillId="0" borderId="1" xfId="0" applyNumberFormat="1" applyFont="1" applyBorder="1"/>
    <xf numFmtId="183" fontId="84" fillId="0" borderId="1" xfId="3" applyNumberFormat="1" applyFont="1" applyBorder="1"/>
    <xf numFmtId="17" fontId="84" fillId="0" borderId="1" xfId="0" applyNumberFormat="1" applyFont="1" applyBorder="1" applyAlignment="1">
      <alignment horizontal="right"/>
    </xf>
    <xf numFmtId="3" fontId="85" fillId="0" borderId="1" xfId="0" applyNumberFormat="1" applyFont="1" applyBorder="1" applyAlignment="1">
      <alignment horizontal="center" vertical="center"/>
    </xf>
    <xf numFmtId="3" fontId="84" fillId="0" borderId="1" xfId="0" applyNumberFormat="1" applyFont="1" applyBorder="1" applyAlignment="1">
      <alignment horizontal="center"/>
    </xf>
    <xf numFmtId="17" fontId="86" fillId="0" borderId="22" xfId="0" applyNumberFormat="1" applyFont="1" applyBorder="1" applyAlignment="1">
      <alignment horizontal="right"/>
    </xf>
    <xf numFmtId="3" fontId="87" fillId="0" borderId="22" xfId="0" applyNumberFormat="1" applyFont="1" applyBorder="1" applyAlignment="1">
      <alignment horizontal="center" vertical="center"/>
    </xf>
    <xf numFmtId="3" fontId="0" fillId="0" borderId="22" xfId="0" applyNumberFormat="1" applyBorder="1" applyAlignment="1">
      <alignment horizontal="center"/>
    </xf>
    <xf numFmtId="182" fontId="0" fillId="0" borderId="22" xfId="0" applyNumberFormat="1" applyBorder="1" applyAlignment="1">
      <alignment horizontal="center"/>
    </xf>
    <xf numFmtId="3" fontId="0" fillId="0" borderId="22" xfId="0" applyNumberFormat="1" applyBorder="1"/>
    <xf numFmtId="183" fontId="0" fillId="0" borderId="22" xfId="3" applyNumberFormat="1" applyFont="1" applyBorder="1"/>
    <xf numFmtId="0" fontId="83" fillId="0" borderId="0" xfId="0" applyFont="1"/>
    <xf numFmtId="17" fontId="86" fillId="0" borderId="29" xfId="0" applyNumberFormat="1" applyFont="1" applyBorder="1" applyAlignment="1">
      <alignment horizontal="right"/>
    </xf>
    <xf numFmtId="3" fontId="87" fillId="0" borderId="29" xfId="0" applyNumberFormat="1" applyFont="1" applyBorder="1" applyAlignment="1">
      <alignment horizontal="center" vertical="center"/>
    </xf>
    <xf numFmtId="3" fontId="0" fillId="0" borderId="29" xfId="0" applyNumberFormat="1" applyBorder="1" applyAlignment="1">
      <alignment horizontal="center"/>
    </xf>
    <xf numFmtId="182" fontId="0" fillId="0" borderId="29" xfId="0" applyNumberFormat="1" applyBorder="1" applyAlignment="1">
      <alignment horizontal="center"/>
    </xf>
    <xf numFmtId="3" fontId="0" fillId="0" borderId="29" xfId="0" applyNumberFormat="1" applyBorder="1"/>
    <xf numFmtId="183" fontId="0" fillId="0" borderId="29" xfId="3" applyNumberFormat="1" applyFont="1" applyBorder="1"/>
    <xf numFmtId="17" fontId="86" fillId="0" borderId="1" xfId="0" applyNumberFormat="1" applyFont="1" applyBorder="1" applyAlignment="1">
      <alignment horizontal="right"/>
    </xf>
    <xf numFmtId="3" fontId="87" fillId="0" borderId="1" xfId="0" applyNumberFormat="1" applyFont="1" applyBorder="1" applyAlignment="1">
      <alignment horizontal="center" vertical="center"/>
    </xf>
    <xf numFmtId="3" fontId="0" fillId="0" borderId="1" xfId="0" applyNumberFormat="1" applyBorder="1" applyAlignment="1">
      <alignment horizontal="center"/>
    </xf>
    <xf numFmtId="3" fontId="0" fillId="0" borderId="1" xfId="0" applyNumberFormat="1" applyBorder="1"/>
    <xf numFmtId="183" fontId="0" fillId="0" borderId="1" xfId="3" applyNumberFormat="1" applyFont="1" applyBorder="1"/>
    <xf numFmtId="3" fontId="88" fillId="0" borderId="1" xfId="0" applyNumberFormat="1" applyFont="1" applyBorder="1" applyAlignment="1">
      <alignment horizontal="center" vertical="center"/>
    </xf>
    <xf numFmtId="3" fontId="0" fillId="0" borderId="1" xfId="0" applyNumberFormat="1" applyBorder="1" applyAlignment="1">
      <alignment horizontal="center" vertical="center"/>
    </xf>
    <xf numFmtId="3" fontId="0" fillId="0" borderId="29" xfId="0" applyNumberFormat="1" applyBorder="1" applyAlignment="1">
      <alignment horizontal="center" vertical="center"/>
    </xf>
    <xf numFmtId="182" fontId="0" fillId="0" borderId="29" xfId="0" applyNumberFormat="1" applyBorder="1" applyAlignment="1">
      <alignment horizontal="center" vertical="center"/>
    </xf>
    <xf numFmtId="3" fontId="0" fillId="0" borderId="1" xfId="0" applyNumberFormat="1" applyBorder="1" applyAlignment="1">
      <alignment vertical="center"/>
    </xf>
    <xf numFmtId="17" fontId="83" fillId="4" borderId="1" xfId="0" applyNumberFormat="1" applyFont="1" applyFill="1" applyBorder="1" applyAlignment="1">
      <alignment horizontal="center"/>
    </xf>
    <xf numFmtId="3" fontId="83" fillId="4" borderId="1" xfId="0" applyNumberFormat="1" applyFont="1" applyFill="1" applyBorder="1" applyAlignment="1">
      <alignment horizontal="center"/>
    </xf>
    <xf numFmtId="182" fontId="83" fillId="4" borderId="1" xfId="0" applyNumberFormat="1" applyFont="1" applyFill="1" applyBorder="1" applyAlignment="1">
      <alignment horizontal="center"/>
    </xf>
    <xf numFmtId="3" fontId="83" fillId="4" borderId="1" xfId="0" applyNumberFormat="1" applyFont="1" applyFill="1" applyBorder="1"/>
    <xf numFmtId="17" fontId="0" fillId="17" borderId="1" xfId="0" quotePrefix="1" applyNumberFormat="1" applyFill="1" applyBorder="1" applyAlignment="1">
      <alignment horizontal="center"/>
    </xf>
    <xf numFmtId="182" fontId="0" fillId="0" borderId="1" xfId="0" applyNumberFormat="1" applyBorder="1" applyAlignment="1">
      <alignment horizontal="center"/>
    </xf>
    <xf numFmtId="0" fontId="0" fillId="17" borderId="1" xfId="0" quotePrefix="1" applyFill="1" applyBorder="1" applyAlignment="1">
      <alignment horizontal="center"/>
    </xf>
    <xf numFmtId="3" fontId="86" fillId="4" borderId="1" xfId="0" applyNumberFormat="1" applyFont="1" applyFill="1" applyBorder="1"/>
    <xf numFmtId="0" fontId="2" fillId="0" borderId="0" xfId="0" applyFont="1"/>
    <xf numFmtId="0" fontId="77" fillId="0" borderId="37" xfId="0" applyFont="1" applyBorder="1" applyAlignment="1">
      <alignment horizontal="center" vertical="center" wrapText="1"/>
    </xf>
    <xf numFmtId="0" fontId="77" fillId="0" borderId="40" xfId="0" applyFont="1" applyBorder="1" applyAlignment="1">
      <alignment horizontal="center" vertical="center" wrapText="1"/>
    </xf>
    <xf numFmtId="0" fontId="2" fillId="0" borderId="39" xfId="0" applyFont="1" applyBorder="1" applyAlignment="1">
      <alignment horizontal="left" wrapText="1"/>
    </xf>
    <xf numFmtId="0" fontId="78" fillId="16" borderId="0" xfId="0" applyFont="1" applyFill="1" applyBorder="1" applyAlignment="1">
      <alignment horizontal="center" vertical="center" wrapText="1"/>
    </xf>
    <xf numFmtId="0" fontId="5" fillId="8" borderId="1" xfId="0" applyFont="1" applyFill="1" applyBorder="1" applyAlignment="1">
      <alignment horizontal="center" vertical="center" wrapText="1"/>
    </xf>
    <xf numFmtId="0" fontId="79" fillId="0" borderId="27" xfId="0" applyFont="1" applyBorder="1" applyAlignment="1">
      <alignment horizontal="left" vertical="center" wrapText="1"/>
    </xf>
    <xf numFmtId="0" fontId="79" fillId="0" borderId="14" xfId="0" applyFont="1" applyBorder="1" applyAlignment="1">
      <alignment horizontal="left" vertical="center" wrapText="1"/>
    </xf>
    <xf numFmtId="0" fontId="79" fillId="0" borderId="28" xfId="0" applyFont="1" applyBorder="1" applyAlignment="1">
      <alignment horizontal="left" vertical="center" wrapText="1"/>
    </xf>
    <xf numFmtId="0" fontId="79" fillId="0" borderId="11" xfId="0" applyFont="1" applyBorder="1" applyAlignment="1">
      <alignment horizontal="left" vertical="center" wrapText="1"/>
    </xf>
    <xf numFmtId="0" fontId="79" fillId="0" borderId="29" xfId="0" applyFont="1" applyBorder="1" applyAlignment="1">
      <alignment horizontal="left" vertical="center" wrapText="1"/>
    </xf>
    <xf numFmtId="0" fontId="5" fillId="8" borderId="18" xfId="0" applyFont="1" applyFill="1" applyBorder="1" applyAlignment="1">
      <alignment horizontal="center" vertical="center" wrapText="1"/>
    </xf>
    <xf numFmtId="0" fontId="5" fillId="8" borderId="24" xfId="0" applyFont="1" applyFill="1" applyBorder="1" applyAlignment="1">
      <alignment horizontal="center" vertical="center" wrapText="1"/>
    </xf>
    <xf numFmtId="0" fontId="5" fillId="8" borderId="30" xfId="0" applyFont="1" applyFill="1" applyBorder="1" applyAlignment="1">
      <alignment horizontal="center" vertical="center" wrapText="1"/>
    </xf>
    <xf numFmtId="0" fontId="5" fillId="8" borderId="25" xfId="0" applyFont="1" applyFill="1" applyBorder="1" applyAlignment="1">
      <alignment horizontal="center" vertical="center" wrapText="1"/>
    </xf>
    <xf numFmtId="0" fontId="5" fillId="8" borderId="26" xfId="0" applyFont="1" applyFill="1" applyBorder="1" applyAlignment="1">
      <alignment horizontal="center" vertical="center" wrapText="1"/>
    </xf>
    <xf numFmtId="0" fontId="5" fillId="8" borderId="31" xfId="0" applyFont="1" applyFill="1" applyBorder="1" applyAlignment="1">
      <alignment horizontal="center" vertical="center" wrapText="1"/>
    </xf>
    <xf numFmtId="0" fontId="56" fillId="8" borderId="25" xfId="0" applyFont="1" applyFill="1" applyBorder="1" applyAlignment="1" applyProtection="1">
      <alignment horizontal="center" vertical="center"/>
      <protection locked="0"/>
    </xf>
    <xf numFmtId="0" fontId="56" fillId="8" borderId="26" xfId="0" applyFont="1" applyFill="1" applyBorder="1" applyAlignment="1" applyProtection="1">
      <alignment horizontal="center" vertical="center"/>
      <protection locked="0"/>
    </xf>
    <xf numFmtId="0" fontId="74" fillId="0" borderId="0" xfId="0" applyFont="1" applyAlignment="1" applyProtection="1">
      <alignment horizontal="center" vertical="center" wrapText="1"/>
      <protection locked="0"/>
    </xf>
    <xf numFmtId="0" fontId="4" fillId="9" borderId="0" xfId="13" applyFont="1" applyFill="1" applyBorder="1" applyAlignment="1">
      <alignment horizontal="center" wrapText="1"/>
    </xf>
    <xf numFmtId="0" fontId="20" fillId="0" borderId="0" xfId="0" applyFont="1" applyFill="1" applyAlignment="1">
      <alignment horizontal="center" vertical="center" wrapText="1"/>
    </xf>
    <xf numFmtId="0" fontId="21" fillId="0" borderId="0" xfId="0" applyFont="1" applyFill="1" applyAlignment="1">
      <alignment horizontal="center" vertical="center" wrapText="1"/>
    </xf>
    <xf numFmtId="0" fontId="14" fillId="8" borderId="11" xfId="0" applyFont="1" applyFill="1" applyBorder="1" applyAlignment="1">
      <alignment horizontal="left" vertical="center" wrapText="1" indent="1"/>
    </xf>
    <xf numFmtId="0" fontId="14" fillId="8" borderId="14" xfId="0" applyFont="1" applyFill="1" applyBorder="1" applyAlignment="1">
      <alignment horizontal="left" vertical="center" wrapText="1" indent="1"/>
    </xf>
    <xf numFmtId="0" fontId="14" fillId="8" borderId="29" xfId="0" applyFont="1" applyFill="1" applyBorder="1" applyAlignment="1">
      <alignment horizontal="left" vertical="center" wrapText="1" indent="1"/>
    </xf>
    <xf numFmtId="0" fontId="14" fillId="8" borderId="28" xfId="0" applyFont="1" applyFill="1" applyBorder="1" applyAlignment="1">
      <alignment horizontal="left" vertical="center" wrapText="1" indent="1"/>
    </xf>
    <xf numFmtId="0" fontId="82" fillId="4" borderId="26" xfId="0" applyFont="1" applyFill="1" applyBorder="1" applyAlignment="1">
      <alignment horizontal="center"/>
    </xf>
    <xf numFmtId="0" fontId="83" fillId="4" borderId="26" xfId="0" applyFont="1" applyFill="1" applyBorder="1" applyAlignment="1">
      <alignment horizontal="center"/>
    </xf>
    <xf numFmtId="0" fontId="22" fillId="0" borderId="1" xfId="0" applyFont="1" applyBorder="1" applyAlignment="1">
      <alignment horizontal="center" vertical="center"/>
    </xf>
    <xf numFmtId="0" fontId="22" fillId="0" borderId="1" xfId="0" applyFont="1" applyBorder="1" applyAlignment="1">
      <alignment horizontal="center" vertical="center" wrapText="1"/>
    </xf>
    <xf numFmtId="0" fontId="9" fillId="7" borderId="15" xfId="0" applyFont="1" applyFill="1" applyBorder="1" applyAlignment="1">
      <alignment horizontal="center" vertical="center"/>
    </xf>
    <xf numFmtId="0" fontId="9" fillId="7" borderId="16" xfId="0" applyFont="1" applyFill="1" applyBorder="1" applyAlignment="1">
      <alignment horizontal="center" vertical="center"/>
    </xf>
    <xf numFmtId="0" fontId="9" fillId="7" borderId="17" xfId="0" applyFont="1" applyFill="1" applyBorder="1" applyAlignment="1">
      <alignment horizontal="center" vertical="center"/>
    </xf>
    <xf numFmtId="0" fontId="0" fillId="8" borderId="18" xfId="0" applyFill="1" applyBorder="1" applyAlignment="1">
      <alignment horizontal="center" vertical="center" wrapText="1"/>
    </xf>
    <xf numFmtId="0" fontId="0" fillId="8" borderId="24" xfId="0" applyFill="1" applyBorder="1" applyAlignment="1">
      <alignment horizontal="center" vertical="center" wrapText="1"/>
    </xf>
    <xf numFmtId="0" fontId="0" fillId="8" borderId="30" xfId="0" applyFill="1" applyBorder="1" applyAlignment="1">
      <alignment horizontal="center" vertical="center" wrapText="1"/>
    </xf>
    <xf numFmtId="0" fontId="20" fillId="9" borderId="0" xfId="0" applyFont="1" applyFill="1" applyAlignment="1">
      <alignment horizontal="center" vertical="center"/>
    </xf>
    <xf numFmtId="0" fontId="18" fillId="8" borderId="11" xfId="0" applyFont="1" applyFill="1" applyBorder="1" applyAlignment="1">
      <alignment horizontal="center" vertical="top" wrapText="1"/>
    </xf>
    <xf numFmtId="0" fontId="18" fillId="8" borderId="14" xfId="0" applyFont="1" applyFill="1" applyBorder="1" applyAlignment="1">
      <alignment horizontal="center" vertical="top" wrapText="1"/>
    </xf>
    <xf numFmtId="0" fontId="9" fillId="0" borderId="0" xfId="0" applyFont="1" applyAlignment="1">
      <alignment horizontal="right" wrapText="1"/>
    </xf>
    <xf numFmtId="0" fontId="80" fillId="10" borderId="12" xfId="13" applyFont="1" applyFill="1" applyBorder="1" applyAlignment="1">
      <alignment horizontal="center" vertical="center" wrapText="1"/>
    </xf>
    <xf numFmtId="0" fontId="80" fillId="10" borderId="0" xfId="13" applyFont="1" applyFill="1" applyAlignment="1">
      <alignment horizontal="center" vertical="center" wrapText="1"/>
    </xf>
    <xf numFmtId="0" fontId="52" fillId="10" borderId="12" xfId="13" applyFont="1" applyFill="1" applyBorder="1" applyAlignment="1">
      <alignment horizontal="center" vertical="center"/>
    </xf>
    <xf numFmtId="0" fontId="52" fillId="10" borderId="0" xfId="13" applyFont="1" applyFill="1" applyAlignment="1">
      <alignment horizontal="center" vertical="center"/>
    </xf>
    <xf numFmtId="0" fontId="3" fillId="0" borderId="0" xfId="12" applyBorder="1" applyAlignment="1" applyProtection="1">
      <alignment horizontal="left" vertical="center" wrapText="1"/>
    </xf>
    <xf numFmtId="0" fontId="81" fillId="16" borderId="0" xfId="0" applyFont="1" applyFill="1" applyAlignment="1">
      <alignment horizontal="center" vertical="center"/>
    </xf>
    <xf numFmtId="0" fontId="35" fillId="0" borderId="15" xfId="0" applyFont="1" applyBorder="1" applyAlignment="1">
      <alignment horizontal="right" vertical="center"/>
    </xf>
    <xf numFmtId="0" fontId="35" fillId="0" borderId="16" xfId="0" applyFont="1" applyBorder="1" applyAlignment="1">
      <alignment horizontal="right" vertical="center"/>
    </xf>
    <xf numFmtId="0" fontId="35" fillId="0" borderId="17" xfId="0" applyFont="1" applyBorder="1" applyAlignment="1">
      <alignment horizontal="right" vertical="center"/>
    </xf>
  </cellXfs>
  <cellStyles count="22">
    <cellStyle name="Comma" xfId="1" builtinId="3"/>
    <cellStyle name="Comma [0]" xfId="2" builtinId="6"/>
    <cellStyle name="Comma 2" xfId="3"/>
    <cellStyle name="Comma 2 2" xfId="4"/>
    <cellStyle name="Comma 2 3" xfId="5"/>
    <cellStyle name="Comma 3" xfId="6"/>
    <cellStyle name="Comma 3 2" xfId="7"/>
    <cellStyle name="Comma 4" xfId="8"/>
    <cellStyle name="Comma 5" xfId="9"/>
    <cellStyle name="Currency 2" xfId="10"/>
    <cellStyle name="Euro" xfId="11"/>
    <cellStyle name="Hyperlink" xfId="12" builtinId="8"/>
    <cellStyle name="Normal" xfId="0" builtinId="0"/>
    <cellStyle name="Normal 2" xfId="13"/>
    <cellStyle name="Normal 2 2" xfId="14"/>
    <cellStyle name="Normal 3" xfId="15"/>
    <cellStyle name="Normal 4" xfId="16"/>
    <cellStyle name="Normal 4 2" xfId="17"/>
    <cellStyle name="Percent" xfId="18" builtinId="5"/>
    <cellStyle name="Percent 2" xfId="19"/>
    <cellStyle name="Percent 2 2" xfId="20"/>
    <cellStyle name="Percent 4" xfId="21"/>
  </cellStyles>
  <dxfs count="1">
    <dxf>
      <numFmt numFmtId="188" formatCode="\+##.00%"/>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11</xdr:col>
      <xdr:colOff>393700</xdr:colOff>
      <xdr:row>15</xdr:row>
      <xdr:rowOff>139700</xdr:rowOff>
    </xdr:from>
    <xdr:to>
      <xdr:col>24</xdr:col>
      <xdr:colOff>215900</xdr:colOff>
      <xdr:row>44</xdr:row>
      <xdr:rowOff>76200</xdr:rowOff>
    </xdr:to>
    <xdr:pic>
      <xdr:nvPicPr>
        <xdr:cNvPr id="56444" name="Picture 4">
          <a:extLst>
            <a:ext uri="{FF2B5EF4-FFF2-40B4-BE49-F238E27FC236}">
              <a16:creationId xmlns:a16="http://schemas.microsoft.com/office/drawing/2014/main" id="{5EA272E9-0F6A-BA4E-1AFB-0E942C32C3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751300" y="3898900"/>
          <a:ext cx="11353800" cy="9245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shortcut-targets-by-id/16qneEHVt7vkC-vHQz8OmYorGGkeTdl58/Phu%20Dien%20Carbon/Nhon%20Hoa1_PDD/NH1_ER%20calculation%20spreadsheet_V1.0_20210925.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Shared%20drives/Monsoon%20Carbon/Live%20Projects/1.%20Nhon%20Hoa/3.%20Validation/5.%20Validation%20Responses/NH2/4.%20ER/230608%20NH2_ER_V2.0%20(actual%20data%20w%20GEF%20202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mission reductions"/>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DG summary"/>
      <sheetName val="Input data"/>
      <sheetName val="ER"/>
      <sheetName val="CMEF"/>
    </sheetNames>
    <sheetDataSet>
      <sheetData sheetId="0" refreshError="1"/>
      <sheetData sheetId="1" refreshError="1"/>
      <sheetData sheetId="2">
        <row r="6">
          <cell r="G6">
            <v>135654.57922983752</v>
          </cell>
        </row>
      </sheetData>
      <sheetData sheetId="3"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https://portal.vietcombank.com.vn/en-us" TargetMode="External"/><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1" Type="http://schemas.openxmlformats.org/officeDocument/2006/relationships/hyperlink" Target="https://news.bloombergtax.com/daily-tax-report-international/tax-incentives-for-renewable-energy-in-vietnam" TargetMode="External"/></Relationships>
</file>

<file path=xl/worksheets/_rels/sheet8.xml.rels><?xml version="1.0" encoding="UTF-8" standalone="yes"?>
<Relationships xmlns="http://schemas.openxmlformats.org/package/2006/relationships"><Relationship Id="rId3" Type="http://schemas.openxmlformats.org/officeDocument/2006/relationships/hyperlink" Target="https://www.windustry.org/community_wind_toolbox_8_costs" TargetMode="External"/><Relationship Id="rId2" Type="http://schemas.openxmlformats.org/officeDocument/2006/relationships/hyperlink" Target="https://www.irena.org/-/media/Files/IRENA/Agency/Publication/2016/IRENA-ETSAP_Tech_Brief_Wind_Power_E07.pdf?rev=7ff8e1d6d6b84661bfa49869fc83c4e0" TargetMode="External"/><Relationship Id="rId1" Type="http://schemas.openxmlformats.org/officeDocument/2006/relationships/hyperlink" Target="https://www.sbv.gov.vn/"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2:N56"/>
  <sheetViews>
    <sheetView showGridLines="0" zoomScale="85" zoomScaleNormal="85" workbookViewId="0">
      <selection activeCell="J22" sqref="J22"/>
    </sheetView>
  </sheetViews>
  <sheetFormatPr baseColWidth="10" defaultColWidth="8.83203125" defaultRowHeight="13"/>
  <cols>
    <col min="1" max="1" width="23.5" customWidth="1"/>
    <col min="2" max="2" width="33.33203125" customWidth="1"/>
    <col min="3" max="5" width="19.5" customWidth="1"/>
  </cols>
  <sheetData>
    <row r="2" spans="1:14" ht="14" thickBot="1">
      <c r="A2" s="126" t="s">
        <v>105</v>
      </c>
      <c r="B2" s="126"/>
      <c r="D2" s="331" t="s">
        <v>265</v>
      </c>
    </row>
    <row r="3" spans="1:14" ht="35" thickBot="1">
      <c r="A3" s="121" t="s">
        <v>4</v>
      </c>
      <c r="B3" s="122"/>
      <c r="C3" s="122" t="s">
        <v>99</v>
      </c>
      <c r="D3" s="122" t="s">
        <v>100</v>
      </c>
      <c r="E3" s="123" t="s">
        <v>101</v>
      </c>
    </row>
    <row r="4" spans="1:14" ht="18" thickBot="1">
      <c r="A4" s="124" t="s">
        <v>256</v>
      </c>
      <c r="B4" s="124" t="s">
        <v>257</v>
      </c>
      <c r="C4" s="125">
        <f>ER!H6</f>
        <v>11304.548269153125</v>
      </c>
      <c r="D4" s="125">
        <v>0</v>
      </c>
      <c r="E4" s="125">
        <f>C4-D4</f>
        <v>11304.548269153125</v>
      </c>
    </row>
    <row r="5" spans="1:14" ht="18" thickBot="1">
      <c r="A5" s="124" t="s">
        <v>145</v>
      </c>
      <c r="B5" s="124" t="s">
        <v>258</v>
      </c>
      <c r="C5" s="125">
        <f>[2]ER!G6</f>
        <v>135654.57922983752</v>
      </c>
      <c r="D5" s="125">
        <v>0</v>
      </c>
      <c r="E5" s="125">
        <f t="shared" ref="E5:E10" si="0">C5-D5</f>
        <v>135654.57922983752</v>
      </c>
      <c r="N5" s="99"/>
    </row>
    <row r="6" spans="1:14" ht="18" thickBot="1">
      <c r="A6" s="124" t="s">
        <v>146</v>
      </c>
      <c r="B6" s="124" t="s">
        <v>259</v>
      </c>
      <c r="C6" s="125">
        <f>ER!H8</f>
        <v>135654.57922983749</v>
      </c>
      <c r="D6" s="125">
        <v>0</v>
      </c>
      <c r="E6" s="125">
        <f t="shared" si="0"/>
        <v>135654.57922983749</v>
      </c>
      <c r="N6" s="100"/>
    </row>
    <row r="7" spans="1:14" ht="18" thickBot="1">
      <c r="A7" s="124" t="s">
        <v>147</v>
      </c>
      <c r="B7" s="124" t="s">
        <v>260</v>
      </c>
      <c r="C7" s="125">
        <f>ER!H9</f>
        <v>135654.57922983749</v>
      </c>
      <c r="D7" s="125">
        <v>0</v>
      </c>
      <c r="E7" s="125">
        <f t="shared" si="0"/>
        <v>135654.57922983749</v>
      </c>
    </row>
    <row r="8" spans="1:14" ht="18" thickBot="1">
      <c r="A8" s="124" t="s">
        <v>148</v>
      </c>
      <c r="B8" s="124" t="s">
        <v>261</v>
      </c>
      <c r="C8" s="125">
        <f>ER!H10</f>
        <v>135654.57922983749</v>
      </c>
      <c r="D8" s="125">
        <v>0</v>
      </c>
      <c r="E8" s="125">
        <f t="shared" si="0"/>
        <v>135654.57922983749</v>
      </c>
    </row>
    <row r="9" spans="1:14" ht="18" thickBot="1">
      <c r="A9" s="124" t="s">
        <v>262</v>
      </c>
      <c r="B9" s="124" t="s">
        <v>263</v>
      </c>
      <c r="C9" s="125">
        <f>ER!H11</f>
        <v>124350.03096068437</v>
      </c>
      <c r="D9" s="125">
        <v>0</v>
      </c>
      <c r="E9" s="125">
        <f t="shared" si="0"/>
        <v>124350.03096068437</v>
      </c>
    </row>
    <row r="10" spans="1:14" ht="17" thickBot="1">
      <c r="A10" s="332" t="s">
        <v>22</v>
      </c>
      <c r="B10" s="333"/>
      <c r="C10" s="264">
        <f>SUM(C4:C9)</f>
        <v>678272.89614918758</v>
      </c>
      <c r="D10" s="264">
        <v>0</v>
      </c>
      <c r="E10" s="264">
        <f t="shared" si="0"/>
        <v>678272.89614918758</v>
      </c>
    </row>
    <row r="11" spans="1:14" ht="17" thickBot="1">
      <c r="A11" s="332" t="s">
        <v>103</v>
      </c>
      <c r="B11" s="333"/>
      <c r="C11" s="127" t="s">
        <v>104</v>
      </c>
      <c r="D11" s="128"/>
      <c r="E11" s="128"/>
    </row>
    <row r="12" spans="1:14" ht="17" thickBot="1">
      <c r="A12" s="332" t="s">
        <v>102</v>
      </c>
      <c r="B12" s="333"/>
      <c r="C12" s="264">
        <f>C10/5</f>
        <v>135654.57922983752</v>
      </c>
      <c r="D12" s="264">
        <f>D10/5</f>
        <v>0</v>
      </c>
      <c r="E12" s="264">
        <f>E10/5</f>
        <v>135654.57922983752</v>
      </c>
    </row>
    <row r="15" spans="1:14" ht="14" thickBot="1">
      <c r="A15" s="126" t="s">
        <v>106</v>
      </c>
      <c r="B15" s="126"/>
      <c r="D15" t="s">
        <v>153</v>
      </c>
    </row>
    <row r="16" spans="1:14" ht="35" thickBot="1">
      <c r="A16" s="121" t="s">
        <v>4</v>
      </c>
      <c r="B16" s="122"/>
      <c r="C16" s="122" t="s">
        <v>99</v>
      </c>
      <c r="D16" s="122" t="s">
        <v>100</v>
      </c>
      <c r="E16" s="123" t="s">
        <v>101</v>
      </c>
    </row>
    <row r="17" spans="1:5" ht="18" thickBot="1">
      <c r="A17" s="124" t="str">
        <f t="shared" ref="A17:B17" si="1">+A4</f>
        <v>2021 (1 month)</v>
      </c>
      <c r="B17" s="124" t="str">
        <f t="shared" si="1"/>
        <v>(30/11/2021 to 31/12/2021)</v>
      </c>
      <c r="C17" s="125">
        <v>0</v>
      </c>
      <c r="D17" s="125">
        <f>ER!I6</f>
        <v>13736.198875</v>
      </c>
      <c r="E17" s="125">
        <f t="shared" ref="E17:E23" si="2">+D17-C17</f>
        <v>13736.198875</v>
      </c>
    </row>
    <row r="18" spans="1:5" ht="18" thickBot="1">
      <c r="A18" s="124" t="str">
        <f t="shared" ref="A18:B22" si="3">+A5</f>
        <v>2022 (12 months)</v>
      </c>
      <c r="B18" s="124" t="str">
        <f t="shared" si="3"/>
        <v>(01/01/2022 to 31/12/2022)</v>
      </c>
      <c r="C18" s="125">
        <v>0</v>
      </c>
      <c r="D18" s="125">
        <f>ER!I7</f>
        <v>164834.38649999999</v>
      </c>
      <c r="E18" s="125">
        <f t="shared" si="2"/>
        <v>164834.38649999999</v>
      </c>
    </row>
    <row r="19" spans="1:5" ht="18" thickBot="1">
      <c r="A19" s="124" t="str">
        <f t="shared" si="3"/>
        <v>2023 (12 months)</v>
      </c>
      <c r="B19" s="124" t="str">
        <f t="shared" si="3"/>
        <v>(01/01/2023 to 31/12/2023)</v>
      </c>
      <c r="C19" s="125">
        <v>0</v>
      </c>
      <c r="D19" s="125">
        <f>ER!I8</f>
        <v>164834.38649999999</v>
      </c>
      <c r="E19" s="125">
        <f t="shared" si="2"/>
        <v>164834.38649999999</v>
      </c>
    </row>
    <row r="20" spans="1:5" ht="18" thickBot="1">
      <c r="A20" s="124" t="str">
        <f t="shared" si="3"/>
        <v>2024 (12 months)</v>
      </c>
      <c r="B20" s="124" t="str">
        <f t="shared" si="3"/>
        <v>(01/01/2024 to 31/12/2024)</v>
      </c>
      <c r="C20" s="125">
        <v>0</v>
      </c>
      <c r="D20" s="125">
        <f>ER!I9</f>
        <v>164834.38649999999</v>
      </c>
      <c r="E20" s="125">
        <f t="shared" si="2"/>
        <v>164834.38649999999</v>
      </c>
    </row>
    <row r="21" spans="1:5" ht="18" thickBot="1">
      <c r="A21" s="124" t="str">
        <f t="shared" si="3"/>
        <v>2025 (12 months)</v>
      </c>
      <c r="B21" s="124" t="str">
        <f t="shared" si="3"/>
        <v>(01/01/2025 to 31/12/2025)</v>
      </c>
      <c r="C21" s="125">
        <v>0</v>
      </c>
      <c r="D21" s="125">
        <f>ER!I10</f>
        <v>164834.38649999999</v>
      </c>
      <c r="E21" s="125">
        <f t="shared" si="2"/>
        <v>164834.38649999999</v>
      </c>
    </row>
    <row r="22" spans="1:5" ht="18" thickBot="1">
      <c r="A22" s="124" t="str">
        <f t="shared" si="3"/>
        <v>2026 (11 months)</v>
      </c>
      <c r="B22" s="124" t="str">
        <f t="shared" si="3"/>
        <v>(01/01/2026 to 29/11/2026)</v>
      </c>
      <c r="C22" s="125">
        <v>0</v>
      </c>
      <c r="D22" s="125">
        <f>ER!I11</f>
        <v>151098.18762499999</v>
      </c>
      <c r="E22" s="125">
        <f t="shared" si="2"/>
        <v>151098.18762499999</v>
      </c>
    </row>
    <row r="23" spans="1:5" ht="17" thickBot="1">
      <c r="A23" s="332" t="s">
        <v>22</v>
      </c>
      <c r="B23" s="333"/>
      <c r="C23" s="264">
        <v>0</v>
      </c>
      <c r="D23" s="264">
        <f>SUM(D17:D22)</f>
        <v>824171.9325</v>
      </c>
      <c r="E23" s="264">
        <f t="shared" si="2"/>
        <v>824171.9325</v>
      </c>
    </row>
    <row r="24" spans="1:5" ht="17" thickBot="1">
      <c r="A24" s="332" t="s">
        <v>103</v>
      </c>
      <c r="B24" s="333"/>
      <c r="C24" s="127" t="s">
        <v>104</v>
      </c>
      <c r="D24" s="128"/>
      <c r="E24" s="128"/>
    </row>
    <row r="25" spans="1:5" ht="17" thickBot="1">
      <c r="A25" s="332" t="s">
        <v>102</v>
      </c>
      <c r="B25" s="333"/>
      <c r="C25" s="264">
        <f>C23/5</f>
        <v>0</v>
      </c>
      <c r="D25" s="264">
        <f>D23/5</f>
        <v>164834.38649999999</v>
      </c>
      <c r="E25" s="264">
        <f>E23/5</f>
        <v>164834.38649999999</v>
      </c>
    </row>
    <row r="30" spans="1:5" ht="14" thickBot="1">
      <c r="A30" s="126" t="s">
        <v>107</v>
      </c>
      <c r="B30" s="126"/>
      <c r="D30" t="s">
        <v>154</v>
      </c>
    </row>
    <row r="31" spans="1:5" ht="35" thickBot="1">
      <c r="A31" s="121" t="s">
        <v>4</v>
      </c>
      <c r="B31" s="122"/>
      <c r="C31" s="122" t="s">
        <v>99</v>
      </c>
      <c r="D31" s="122" t="s">
        <v>100</v>
      </c>
      <c r="E31" s="123" t="s">
        <v>101</v>
      </c>
    </row>
    <row r="32" spans="1:5" ht="18" thickBot="1">
      <c r="A32" s="124" t="str">
        <f t="shared" ref="A32:B37" si="4">+A17</f>
        <v>2021 (1 month)</v>
      </c>
      <c r="B32" s="124" t="str">
        <f t="shared" si="4"/>
        <v>(30/11/2021 to 31/12/2021)</v>
      </c>
      <c r="C32" s="125">
        <f t="shared" ref="C32:C38" si="5">+H19</f>
        <v>0</v>
      </c>
      <c r="D32" s="125">
        <v>27</v>
      </c>
      <c r="E32" s="125">
        <f t="shared" ref="E32:E37" si="6">D32-C32</f>
        <v>27</v>
      </c>
    </row>
    <row r="33" spans="1:5" ht="18" thickBot="1">
      <c r="A33" s="124" t="str">
        <f t="shared" si="4"/>
        <v>2022 (12 months)</v>
      </c>
      <c r="B33" s="124" t="str">
        <f t="shared" si="4"/>
        <v>(01/01/2022 to 31/12/2022)</v>
      </c>
      <c r="C33" s="125">
        <f t="shared" si="5"/>
        <v>0</v>
      </c>
      <c r="D33" s="125">
        <v>27</v>
      </c>
      <c r="E33" s="125">
        <f t="shared" si="6"/>
        <v>27</v>
      </c>
    </row>
    <row r="34" spans="1:5" ht="18" thickBot="1">
      <c r="A34" s="124" t="str">
        <f t="shared" si="4"/>
        <v>2023 (12 months)</v>
      </c>
      <c r="B34" s="124" t="str">
        <f t="shared" si="4"/>
        <v>(01/01/2023 to 31/12/2023)</v>
      </c>
      <c r="C34" s="125">
        <f t="shared" si="5"/>
        <v>0</v>
      </c>
      <c r="D34" s="125">
        <v>27</v>
      </c>
      <c r="E34" s="125">
        <f t="shared" si="6"/>
        <v>27</v>
      </c>
    </row>
    <row r="35" spans="1:5" ht="18" thickBot="1">
      <c r="A35" s="124" t="str">
        <f t="shared" si="4"/>
        <v>2024 (12 months)</v>
      </c>
      <c r="B35" s="124" t="str">
        <f t="shared" si="4"/>
        <v>(01/01/2024 to 31/12/2024)</v>
      </c>
      <c r="C35" s="125">
        <f t="shared" si="5"/>
        <v>0</v>
      </c>
      <c r="D35" s="125">
        <v>27</v>
      </c>
      <c r="E35" s="125">
        <f t="shared" si="6"/>
        <v>27</v>
      </c>
    </row>
    <row r="36" spans="1:5" ht="18" thickBot="1">
      <c r="A36" s="124" t="str">
        <f t="shared" si="4"/>
        <v>2025 (12 months)</v>
      </c>
      <c r="B36" s="124" t="str">
        <f t="shared" si="4"/>
        <v>(01/01/2025 to 31/12/2025)</v>
      </c>
      <c r="C36" s="125">
        <f t="shared" si="5"/>
        <v>0</v>
      </c>
      <c r="D36" s="125">
        <v>27</v>
      </c>
      <c r="E36" s="125">
        <f t="shared" si="6"/>
        <v>27</v>
      </c>
    </row>
    <row r="37" spans="1:5" ht="18" thickBot="1">
      <c r="A37" s="124" t="str">
        <f t="shared" si="4"/>
        <v>2026 (11 months)</v>
      </c>
      <c r="B37" s="124" t="str">
        <f t="shared" si="4"/>
        <v>(01/01/2026 to 29/11/2026)</v>
      </c>
      <c r="C37" s="125">
        <f t="shared" si="5"/>
        <v>0</v>
      </c>
      <c r="D37" s="125">
        <v>27</v>
      </c>
      <c r="E37" s="125">
        <f t="shared" si="6"/>
        <v>27</v>
      </c>
    </row>
    <row r="38" spans="1:5" ht="17" thickBot="1">
      <c r="A38" s="332" t="s">
        <v>22</v>
      </c>
      <c r="B38" s="333"/>
      <c r="C38" s="264">
        <f t="shared" si="5"/>
        <v>0</v>
      </c>
      <c r="D38" s="264">
        <f>SUM(D33:D37)</f>
        <v>135</v>
      </c>
      <c r="E38" s="264">
        <f>SUM(E33:E37)</f>
        <v>135</v>
      </c>
    </row>
    <row r="39" spans="1:5" ht="17" thickBot="1">
      <c r="A39" s="332" t="s">
        <v>103</v>
      </c>
      <c r="B39" s="333"/>
      <c r="C39" s="127" t="s">
        <v>104</v>
      </c>
      <c r="D39" s="128"/>
      <c r="E39" s="128"/>
    </row>
    <row r="40" spans="1:5" ht="17" thickBot="1">
      <c r="A40" s="332" t="s">
        <v>102</v>
      </c>
      <c r="B40" s="333"/>
      <c r="C40" s="264">
        <f>+H26</f>
        <v>0</v>
      </c>
      <c r="D40" s="265">
        <f>D38/5</f>
        <v>27</v>
      </c>
      <c r="E40" s="264">
        <f>E38/5</f>
        <v>27</v>
      </c>
    </row>
    <row r="41" spans="1:5" ht="26" customHeight="1">
      <c r="A41" s="334"/>
      <c r="B41" s="334"/>
      <c r="C41" s="334"/>
      <c r="D41" s="334"/>
      <c r="E41" s="334"/>
    </row>
    <row r="45" spans="1:5" ht="14" thickBot="1">
      <c r="A45" s="126" t="s">
        <v>149</v>
      </c>
      <c r="B45" s="126"/>
      <c r="D45" s="331" t="s">
        <v>264</v>
      </c>
    </row>
    <row r="46" spans="1:5" ht="35" thickBot="1">
      <c r="A46" s="121" t="s">
        <v>4</v>
      </c>
      <c r="B46" s="122"/>
      <c r="C46" s="122" t="s">
        <v>99</v>
      </c>
      <c r="D46" s="122" t="s">
        <v>100</v>
      </c>
      <c r="E46" s="123" t="s">
        <v>101</v>
      </c>
    </row>
    <row r="47" spans="1:5" ht="18" thickBot="1">
      <c r="A47" s="124" t="str">
        <f t="shared" ref="A47:B52" si="7">+A32</f>
        <v>2021 (1 month)</v>
      </c>
      <c r="B47" s="124" t="str">
        <f t="shared" si="7"/>
        <v>(30/11/2021 to 31/12/2021)</v>
      </c>
      <c r="C47" s="125">
        <f t="shared" ref="C47:C52" si="8">+H34</f>
        <v>0</v>
      </c>
      <c r="D47" s="125">
        <v>14</v>
      </c>
      <c r="E47" s="125">
        <f t="shared" ref="E47:E52" si="9">D47-C47</f>
        <v>14</v>
      </c>
    </row>
    <row r="48" spans="1:5" ht="18" thickBot="1">
      <c r="A48" s="124" t="str">
        <f t="shared" si="7"/>
        <v>2022 (12 months)</v>
      </c>
      <c r="B48" s="124" t="str">
        <f t="shared" si="7"/>
        <v>(01/01/2022 to 31/12/2022)</v>
      </c>
      <c r="C48" s="125">
        <f t="shared" si="8"/>
        <v>0</v>
      </c>
      <c r="D48" s="125">
        <v>14</v>
      </c>
      <c r="E48" s="125">
        <f t="shared" si="9"/>
        <v>14</v>
      </c>
    </row>
    <row r="49" spans="1:5" ht="18" thickBot="1">
      <c r="A49" s="124" t="str">
        <f t="shared" si="7"/>
        <v>2023 (12 months)</v>
      </c>
      <c r="B49" s="124" t="str">
        <f t="shared" si="7"/>
        <v>(01/01/2023 to 31/12/2023)</v>
      </c>
      <c r="C49" s="125">
        <f t="shared" si="8"/>
        <v>0</v>
      </c>
      <c r="D49" s="125">
        <v>14</v>
      </c>
      <c r="E49" s="125">
        <f t="shared" si="9"/>
        <v>14</v>
      </c>
    </row>
    <row r="50" spans="1:5" ht="18" thickBot="1">
      <c r="A50" s="124" t="str">
        <f t="shared" si="7"/>
        <v>2024 (12 months)</v>
      </c>
      <c r="B50" s="124" t="str">
        <f t="shared" si="7"/>
        <v>(01/01/2024 to 31/12/2024)</v>
      </c>
      <c r="C50" s="125">
        <f t="shared" si="8"/>
        <v>0</v>
      </c>
      <c r="D50" s="125">
        <v>14</v>
      </c>
      <c r="E50" s="125">
        <f t="shared" si="9"/>
        <v>14</v>
      </c>
    </row>
    <row r="51" spans="1:5" ht="18" thickBot="1">
      <c r="A51" s="124" t="str">
        <f t="shared" si="7"/>
        <v>2025 (12 months)</v>
      </c>
      <c r="B51" s="124" t="str">
        <f t="shared" si="7"/>
        <v>(01/01/2025 to 31/12/2025)</v>
      </c>
      <c r="C51" s="125">
        <f t="shared" si="8"/>
        <v>0</v>
      </c>
      <c r="D51" s="125">
        <v>14</v>
      </c>
      <c r="E51" s="125">
        <f t="shared" si="9"/>
        <v>14</v>
      </c>
    </row>
    <row r="52" spans="1:5" ht="18" thickBot="1">
      <c r="A52" s="124" t="str">
        <f t="shared" si="7"/>
        <v>2026 (11 months)</v>
      </c>
      <c r="B52" s="124" t="str">
        <f t="shared" si="7"/>
        <v>(01/01/2026 to 29/11/2026)</v>
      </c>
      <c r="C52" s="125">
        <f t="shared" si="8"/>
        <v>0</v>
      </c>
      <c r="D52" s="125">
        <v>14</v>
      </c>
      <c r="E52" s="125">
        <f t="shared" si="9"/>
        <v>14</v>
      </c>
    </row>
    <row r="53" spans="1:5" ht="17" thickBot="1">
      <c r="A53" s="332" t="s">
        <v>22</v>
      </c>
      <c r="B53" s="333"/>
      <c r="C53" s="264">
        <f>SUM(C47:C52)</f>
        <v>0</v>
      </c>
      <c r="D53" s="264">
        <f>SUM(D48:D52)</f>
        <v>70</v>
      </c>
      <c r="E53" s="264">
        <f>SUM(E48:E52)</f>
        <v>70</v>
      </c>
    </row>
    <row r="54" spans="1:5" ht="17" thickBot="1">
      <c r="A54" s="332" t="s">
        <v>103</v>
      </c>
      <c r="B54" s="333"/>
      <c r="C54" s="127" t="s">
        <v>104</v>
      </c>
      <c r="D54" s="128"/>
      <c r="E54" s="128"/>
    </row>
    <row r="55" spans="1:5" ht="17" thickBot="1">
      <c r="A55" s="332" t="s">
        <v>102</v>
      </c>
      <c r="B55" s="333"/>
      <c r="C55" s="264">
        <f>+H41</f>
        <v>0</v>
      </c>
      <c r="D55" s="265">
        <f>D53/5</f>
        <v>14</v>
      </c>
      <c r="E55" s="265">
        <f>E53/5</f>
        <v>14</v>
      </c>
    </row>
    <row r="56" spans="1:5">
      <c r="A56" s="334"/>
      <c r="B56" s="334"/>
      <c r="C56" s="334"/>
      <c r="D56" s="334"/>
      <c r="E56" s="334"/>
    </row>
  </sheetData>
  <mergeCells count="14">
    <mergeCell ref="A38:B38"/>
    <mergeCell ref="A39:B39"/>
    <mergeCell ref="A10:B10"/>
    <mergeCell ref="A11:B11"/>
    <mergeCell ref="A12:B12"/>
    <mergeCell ref="A23:B23"/>
    <mergeCell ref="A24:B24"/>
    <mergeCell ref="A25:B25"/>
    <mergeCell ref="A40:B40"/>
    <mergeCell ref="A53:B53"/>
    <mergeCell ref="A54:B54"/>
    <mergeCell ref="A55:B55"/>
    <mergeCell ref="A41:E41"/>
    <mergeCell ref="A56:E56"/>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tabColor rgb="FFFFC000"/>
  </sheetPr>
  <dimension ref="A1:AL90"/>
  <sheetViews>
    <sheetView showGridLines="0" tabSelected="1" zoomScale="85" zoomScaleNormal="85" workbookViewId="0">
      <pane xSplit="2" ySplit="3" topLeftCell="C4" activePane="bottomRight" state="frozen"/>
      <selection pane="topRight" activeCell="C1" sqref="C1"/>
      <selection pane="bottomLeft" activeCell="A4" sqref="A4"/>
      <selection pane="bottomRight" activeCell="E21" sqref="E21"/>
    </sheetView>
  </sheetViews>
  <sheetFormatPr baseColWidth="10" defaultColWidth="9.1640625" defaultRowHeight="13"/>
  <cols>
    <col min="1" max="1" width="2.5" style="13" customWidth="1"/>
    <col min="2" max="2" width="37" style="3" customWidth="1"/>
    <col min="3" max="3" width="20.6640625" style="3" customWidth="1"/>
    <col min="4" max="4" width="10.83203125" style="5" customWidth="1"/>
    <col min="5" max="5" width="67.1640625" style="3" customWidth="1"/>
    <col min="6" max="6" width="12.6640625" style="3" customWidth="1"/>
    <col min="7" max="7" width="13" style="14" customWidth="1"/>
    <col min="8" max="8" width="11.6640625" style="3" customWidth="1"/>
    <col min="9" max="9" width="14" style="3" customWidth="1"/>
    <col min="10" max="10" width="14.1640625" style="3" customWidth="1"/>
    <col min="11" max="11" width="11" style="3" customWidth="1"/>
    <col min="12" max="12" width="16.5" style="3" customWidth="1"/>
    <col min="13" max="13" width="9.1640625" style="3"/>
    <col min="14" max="16" width="11.33203125" style="3" customWidth="1"/>
    <col min="17" max="17" width="9.1640625" style="3"/>
    <col min="18" max="18" width="13.6640625" style="3" customWidth="1"/>
    <col min="19" max="21" width="12.6640625" style="3" customWidth="1"/>
    <col min="22" max="22" width="12.5" style="3" customWidth="1"/>
    <col min="23" max="24" width="9.1640625" style="3"/>
    <col min="25" max="25" width="27.5" style="3" customWidth="1"/>
    <col min="26" max="26" width="16.1640625" style="3" customWidth="1"/>
    <col min="27" max="27" width="12.6640625" style="3" customWidth="1"/>
    <col min="28" max="29" width="9.1640625" style="3"/>
    <col min="30" max="30" width="19" style="3" customWidth="1"/>
    <col min="31" max="32" width="9.1640625" style="3"/>
    <col min="33" max="41" width="0" style="3" hidden="1" customWidth="1"/>
    <col min="42" max="16384" width="9.1640625" style="3"/>
  </cols>
  <sheetData>
    <row r="1" spans="1:38" ht="30">
      <c r="A1" s="3"/>
      <c r="B1" s="335" t="s">
        <v>142</v>
      </c>
      <c r="C1" s="335"/>
      <c r="D1" s="335"/>
      <c r="E1" s="335"/>
      <c r="G1" s="4"/>
      <c r="I1" s="267"/>
    </row>
    <row r="2" spans="1:38">
      <c r="A2" s="3"/>
      <c r="C2" s="10"/>
      <c r="D2" s="39"/>
      <c r="E2" s="12"/>
      <c r="G2" s="11"/>
      <c r="I2" s="266"/>
    </row>
    <row r="3" spans="1:38" ht="28">
      <c r="B3" s="87" t="s">
        <v>41</v>
      </c>
      <c r="C3" s="87" t="s">
        <v>39</v>
      </c>
      <c r="D3" s="87" t="s">
        <v>40</v>
      </c>
      <c r="E3" s="87" t="s">
        <v>42</v>
      </c>
      <c r="J3" s="5"/>
      <c r="K3" s="5"/>
      <c r="M3" s="5"/>
      <c r="AH3" s="5" t="s">
        <v>19</v>
      </c>
      <c r="AI3" s="5" t="s">
        <v>4</v>
      </c>
      <c r="AL3" s="5" t="s">
        <v>23</v>
      </c>
    </row>
    <row r="4" spans="1:38" ht="15">
      <c r="A4" s="15"/>
      <c r="B4" s="80" t="s">
        <v>7</v>
      </c>
      <c r="C4" s="31">
        <v>50</v>
      </c>
      <c r="D4" s="40" t="s">
        <v>1</v>
      </c>
      <c r="E4" s="25" t="s">
        <v>219</v>
      </c>
      <c r="F4" s="155"/>
      <c r="G4" s="3"/>
      <c r="AI4" s="3">
        <v>2005</v>
      </c>
      <c r="AL4" s="6">
        <v>1</v>
      </c>
    </row>
    <row r="5" spans="1:38" ht="15">
      <c r="A5" s="15"/>
      <c r="B5" s="80" t="s">
        <v>114</v>
      </c>
      <c r="C5" s="31">
        <v>12</v>
      </c>
      <c r="D5" s="40" t="s">
        <v>84</v>
      </c>
      <c r="E5" s="25" t="s">
        <v>215</v>
      </c>
      <c r="F5" s="272"/>
      <c r="G5" s="266"/>
      <c r="AL5" s="6"/>
    </row>
    <row r="6" spans="1:38" ht="25">
      <c r="A6" s="15"/>
      <c r="B6" s="81" t="s">
        <v>13</v>
      </c>
      <c r="C6" s="32">
        <v>165.6627</v>
      </c>
      <c r="D6" s="40" t="s">
        <v>14</v>
      </c>
      <c r="E6" s="25" t="s">
        <v>214</v>
      </c>
      <c r="F6" s="155"/>
      <c r="G6" s="273"/>
      <c r="I6" s="16"/>
      <c r="J6" s="16"/>
      <c r="K6" s="16"/>
      <c r="L6" s="16"/>
      <c r="M6" s="16"/>
      <c r="N6" s="16"/>
      <c r="O6" s="16"/>
      <c r="AH6" s="5">
        <v>6</v>
      </c>
      <c r="AI6" s="3">
        <v>2014</v>
      </c>
    </row>
    <row r="7" spans="1:38" ht="38.25" customHeight="1">
      <c r="A7" s="15"/>
      <c r="B7" s="80" t="s">
        <v>6</v>
      </c>
      <c r="C7" s="33">
        <v>5.0000000000000001E-3</v>
      </c>
      <c r="D7" s="40"/>
      <c r="E7" s="25" t="s">
        <v>28</v>
      </c>
      <c r="F7" s="155"/>
      <c r="G7" s="3"/>
      <c r="I7" s="7"/>
      <c r="J7" s="7"/>
      <c r="K7" s="342" t="s">
        <v>58</v>
      </c>
      <c r="L7" s="343"/>
      <c r="M7" s="343"/>
      <c r="N7" s="344"/>
      <c r="O7" s="5"/>
      <c r="AH7" s="5">
        <v>7</v>
      </c>
      <c r="AI7" s="3">
        <v>2015</v>
      </c>
    </row>
    <row r="8" spans="1:38" ht="17" customHeight="1">
      <c r="A8" s="15"/>
      <c r="B8" s="80" t="s">
        <v>151</v>
      </c>
      <c r="C8" s="33">
        <v>1</v>
      </c>
      <c r="D8" s="147" t="s">
        <v>84</v>
      </c>
      <c r="E8" s="143" t="s">
        <v>152</v>
      </c>
      <c r="F8" s="156"/>
      <c r="G8" s="3"/>
      <c r="I8" s="7"/>
      <c r="J8" s="7"/>
      <c r="K8" s="345"/>
      <c r="L8" s="346"/>
      <c r="M8" s="346"/>
      <c r="N8" s="347"/>
      <c r="O8" s="5"/>
      <c r="AH8" s="5"/>
    </row>
    <row r="9" spans="1:38" ht="15">
      <c r="A9" s="15"/>
      <c r="B9" s="81" t="s">
        <v>98</v>
      </c>
      <c r="C9" s="32">
        <f>+Gross_output*(1-Para_loss_load)</f>
        <v>164.83438649999999</v>
      </c>
      <c r="D9" s="40" t="s">
        <v>14</v>
      </c>
      <c r="E9" s="25" t="s">
        <v>45</v>
      </c>
      <c r="F9" s="155"/>
      <c r="I9" s="14"/>
      <c r="J9" s="14"/>
      <c r="K9" s="46">
        <v>-0.1</v>
      </c>
      <c r="L9" s="86">
        <v>0</v>
      </c>
      <c r="M9" s="271">
        <v>0.1</v>
      </c>
      <c r="N9" s="46">
        <v>0</v>
      </c>
      <c r="O9" s="17"/>
      <c r="AH9" s="5">
        <v>8</v>
      </c>
      <c r="AI9" s="3">
        <v>2016</v>
      </c>
    </row>
    <row r="10" spans="1:38" ht="15">
      <c r="A10" s="15"/>
      <c r="B10" s="80" t="s">
        <v>10</v>
      </c>
      <c r="C10" s="34">
        <v>1</v>
      </c>
      <c r="D10" s="40" t="s">
        <v>2</v>
      </c>
      <c r="E10" s="25" t="s">
        <v>28</v>
      </c>
      <c r="F10" s="155"/>
      <c r="J10" s="47">
        <f>IRR!A25</f>
        <v>0.12377763197695102</v>
      </c>
      <c r="K10" s="43">
        <f>L10*(1+K9)</f>
        <v>149.09670000000003</v>
      </c>
      <c r="L10" s="269">
        <v>165.66300000000001</v>
      </c>
      <c r="M10" s="43">
        <f>$L$10*(1+M9)</f>
        <v>182.22930000000002</v>
      </c>
      <c r="N10" s="43">
        <f>$L$10*(1+N9)</f>
        <v>165.66300000000001</v>
      </c>
      <c r="O10" s="17"/>
      <c r="AH10" s="5">
        <v>9</v>
      </c>
      <c r="AI10" s="3">
        <v>2017</v>
      </c>
    </row>
    <row r="11" spans="1:38" ht="25.5" customHeight="1">
      <c r="A11" s="15"/>
      <c r="B11" s="82" t="s">
        <v>8</v>
      </c>
      <c r="C11" s="129">
        <f>SUM(C12:C18)/C41*10^6</f>
        <v>88079120.229320049</v>
      </c>
      <c r="D11" s="130" t="s">
        <v>116</v>
      </c>
      <c r="E11" s="131" t="s">
        <v>45</v>
      </c>
      <c r="F11" s="157"/>
      <c r="H11" s="336" t="s">
        <v>9</v>
      </c>
      <c r="I11" s="46">
        <v>-0.1</v>
      </c>
      <c r="J11" s="24">
        <f>J12*(1+I11)</f>
        <v>7.6500000000000012E-2</v>
      </c>
      <c r="K11" s="44">
        <f t="dataTable" ref="K11:N14" dt2D="1" dtr="0" r1="C6" r2="C21" ca="1"/>
        <v>6.5833760414833575E-2</v>
      </c>
      <c r="L11" s="268">
        <v>9.2885173056260539E-2</v>
      </c>
      <c r="M11" s="44">
        <v>0.12063848481712314</v>
      </c>
      <c r="N11" s="44">
        <v>9.2885173056260539E-2</v>
      </c>
      <c r="O11" s="17"/>
      <c r="AH11" s="5">
        <v>10</v>
      </c>
      <c r="AI11" s="3">
        <v>2018</v>
      </c>
    </row>
    <row r="12" spans="1:38" ht="15">
      <c r="A12" s="19"/>
      <c r="B12" s="83" t="s">
        <v>61</v>
      </c>
      <c r="C12" s="35">
        <v>398635.81118299998</v>
      </c>
      <c r="D12" s="40" t="s">
        <v>59</v>
      </c>
      <c r="E12" s="25" t="s">
        <v>216</v>
      </c>
      <c r="F12" s="155"/>
      <c r="H12" s="336"/>
      <c r="I12" s="86">
        <v>0</v>
      </c>
      <c r="J12" s="141">
        <v>8.5000000000000006E-2</v>
      </c>
      <c r="K12" s="45">
        <v>9.2885173056260761E-2</v>
      </c>
      <c r="L12" s="268">
        <v>0.12377820167146658</v>
      </c>
      <c r="M12" s="45">
        <v>0.15591347082861584</v>
      </c>
      <c r="N12" s="45">
        <v>0.12377820167146658</v>
      </c>
      <c r="O12" s="17"/>
      <c r="AH12" s="5">
        <v>11</v>
      </c>
      <c r="AI12" s="3">
        <v>2019</v>
      </c>
    </row>
    <row r="13" spans="1:38" ht="15">
      <c r="A13" s="19"/>
      <c r="B13" s="83" t="s">
        <v>32</v>
      </c>
      <c r="C13" s="35">
        <v>1402122.7135300001</v>
      </c>
      <c r="D13" s="40" t="s">
        <v>59</v>
      </c>
      <c r="E13" s="25" t="s">
        <v>216</v>
      </c>
      <c r="F13" s="166">
        <f>(C13/C41)*1000000</f>
        <v>60724240.516673885</v>
      </c>
      <c r="G13" s="14" t="s">
        <v>211</v>
      </c>
      <c r="H13" s="336"/>
      <c r="I13" s="46">
        <v>0.1</v>
      </c>
      <c r="J13" s="24">
        <f>$J$12*(1+I13)</f>
        <v>9.3500000000000014E-2</v>
      </c>
      <c r="K13" s="44">
        <v>0.12063848481712314</v>
      </c>
      <c r="L13" s="268">
        <v>0.15591347082861584</v>
      </c>
      <c r="M13" s="44">
        <v>0.19303192969266414</v>
      </c>
      <c r="N13" s="44">
        <v>0.15591347082861584</v>
      </c>
      <c r="O13" s="17"/>
      <c r="AH13" s="5">
        <v>12</v>
      </c>
      <c r="AI13" s="3">
        <v>2020</v>
      </c>
    </row>
    <row r="14" spans="1:38" ht="15">
      <c r="A14" s="19"/>
      <c r="B14" s="83" t="s">
        <v>33</v>
      </c>
      <c r="C14" s="35">
        <v>57985.411499000002</v>
      </c>
      <c r="D14" s="40" t="s">
        <v>59</v>
      </c>
      <c r="E14" s="25" t="s">
        <v>216</v>
      </c>
      <c r="F14" s="155"/>
      <c r="H14" s="336"/>
      <c r="I14" s="46">
        <v>0</v>
      </c>
      <c r="J14" s="24">
        <f>$J$12*(1+I14)</f>
        <v>8.5000000000000006E-2</v>
      </c>
      <c r="K14" s="44">
        <v>9.2885173056260761E-2</v>
      </c>
      <c r="L14" s="268">
        <v>0.12377820167146658</v>
      </c>
      <c r="M14" s="44">
        <v>0.15591347082861584</v>
      </c>
      <c r="N14" s="44">
        <v>0.12377820167146658</v>
      </c>
      <c r="O14" s="17"/>
    </row>
    <row r="15" spans="1:38" ht="15">
      <c r="A15" s="19"/>
      <c r="B15" s="83" t="s">
        <v>34</v>
      </c>
      <c r="C15" s="35">
        <v>15517.701094</v>
      </c>
      <c r="D15" s="40" t="s">
        <v>59</v>
      </c>
      <c r="E15" s="25" t="s">
        <v>216</v>
      </c>
      <c r="F15" s="155"/>
      <c r="L15" s="18"/>
      <c r="O15" s="17"/>
    </row>
    <row r="16" spans="1:38" ht="15">
      <c r="A16" s="19"/>
      <c r="B16" s="83" t="s">
        <v>35</v>
      </c>
      <c r="C16" s="35">
        <v>43333.173961</v>
      </c>
      <c r="D16" s="40" t="s">
        <v>59</v>
      </c>
      <c r="E16" s="25" t="s">
        <v>216</v>
      </c>
      <c r="F16" s="155"/>
      <c r="O16" s="17"/>
    </row>
    <row r="17" spans="1:15" ht="15">
      <c r="A17" s="19"/>
      <c r="B17" s="83" t="s">
        <v>55</v>
      </c>
      <c r="C17" s="35">
        <v>57124.020663000003</v>
      </c>
      <c r="D17" s="40" t="s">
        <v>59</v>
      </c>
      <c r="E17" s="25" t="s">
        <v>216</v>
      </c>
      <c r="F17" s="155"/>
      <c r="K17" s="47">
        <f>IRR!A25</f>
        <v>0.12377763197695102</v>
      </c>
      <c r="O17" s="17"/>
    </row>
    <row r="18" spans="1:15" ht="15">
      <c r="A18" s="19"/>
      <c r="B18" s="83" t="s">
        <v>36</v>
      </c>
      <c r="C18" s="35">
        <v>59028.054165000001</v>
      </c>
      <c r="D18" s="40" t="s">
        <v>59</v>
      </c>
      <c r="E18" s="25" t="s">
        <v>216</v>
      </c>
      <c r="F18" s="155"/>
      <c r="H18" s="336" t="s">
        <v>8</v>
      </c>
      <c r="I18" s="46">
        <v>-0.1</v>
      </c>
      <c r="J18" s="94">
        <f>$J$19*(1+I18)</f>
        <v>79271208</v>
      </c>
      <c r="K18" s="93">
        <f t="dataTable" ref="K18:K21" dt2D="0" dtr="0" r1="C11"/>
        <v>0.15732129236465608</v>
      </c>
      <c r="L18" s="89"/>
      <c r="M18" s="89"/>
      <c r="N18" s="89"/>
    </row>
    <row r="19" spans="1:15" ht="27" customHeight="1">
      <c r="A19" s="19"/>
      <c r="B19" s="80" t="s">
        <v>141</v>
      </c>
      <c r="C19" s="36">
        <f>Life_time+Constr_period</f>
        <v>21</v>
      </c>
      <c r="D19" s="40" t="s">
        <v>2</v>
      </c>
      <c r="E19" s="25" t="s">
        <v>45</v>
      </c>
      <c r="F19" s="155"/>
      <c r="H19" s="336"/>
      <c r="I19" s="86">
        <v>0</v>
      </c>
      <c r="J19" s="95">
        <v>88079120</v>
      </c>
      <c r="K19" s="93">
        <v>0.1237776327446225</v>
      </c>
      <c r="L19" s="89"/>
      <c r="M19" s="89"/>
      <c r="N19" s="89"/>
    </row>
    <row r="20" spans="1:15" ht="15">
      <c r="A20" s="19"/>
      <c r="B20" s="80" t="s">
        <v>54</v>
      </c>
      <c r="C20" s="118">
        <v>20</v>
      </c>
      <c r="D20" s="40" t="s">
        <v>2</v>
      </c>
      <c r="E20" s="168" t="s">
        <v>266</v>
      </c>
      <c r="F20" s="155"/>
      <c r="H20" s="336"/>
      <c r="I20" s="46">
        <v>0.1</v>
      </c>
      <c r="J20" s="94">
        <f>$J$19*(1+I20)</f>
        <v>96887032.000000015</v>
      </c>
      <c r="K20" s="93">
        <v>9.7421128022157077E-2</v>
      </c>
    </row>
    <row r="21" spans="1:15" ht="15">
      <c r="A21" s="15"/>
      <c r="B21" s="80" t="s">
        <v>9</v>
      </c>
      <c r="C21" s="32">
        <v>8.5000000000000006E-2</v>
      </c>
      <c r="D21" s="40" t="s">
        <v>117</v>
      </c>
      <c r="E21" s="25" t="s">
        <v>79</v>
      </c>
      <c r="F21" s="155"/>
      <c r="H21" s="336"/>
      <c r="I21" s="46">
        <v>0</v>
      </c>
      <c r="J21" s="94">
        <f>$J$19*(1+I21)</f>
        <v>88079120</v>
      </c>
      <c r="K21" s="93">
        <v>0.1237776327446225</v>
      </c>
    </row>
    <row r="22" spans="1:15" ht="30">
      <c r="A22" s="15"/>
      <c r="B22" s="84" t="s">
        <v>37</v>
      </c>
      <c r="C22" s="148">
        <f>CMEF!E11</f>
        <v>0.82297500000000001</v>
      </c>
      <c r="D22" s="40" t="s">
        <v>44</v>
      </c>
      <c r="E22" s="26" t="s">
        <v>45</v>
      </c>
      <c r="F22" s="158"/>
    </row>
    <row r="23" spans="1:15" ht="15">
      <c r="A23" s="15"/>
      <c r="B23" s="82" t="s">
        <v>56</v>
      </c>
      <c r="C23"/>
      <c r="D23"/>
      <c r="E23"/>
    </row>
    <row r="24" spans="1:15" ht="71" thickBot="1">
      <c r="A24" s="15"/>
      <c r="B24" s="235" t="s">
        <v>12</v>
      </c>
      <c r="C24"/>
      <c r="D24"/>
      <c r="E24" s="140"/>
      <c r="F24" s="240" t="s">
        <v>212</v>
      </c>
      <c r="G24" s="240" t="s">
        <v>155</v>
      </c>
      <c r="H24" s="150" t="s">
        <v>213</v>
      </c>
      <c r="I24" s="150" t="s">
        <v>156</v>
      </c>
    </row>
    <row r="25" spans="1:15" ht="38.5" customHeight="1">
      <c r="A25" s="15"/>
      <c r="B25" s="236" t="s">
        <v>109</v>
      </c>
      <c r="C25" s="241">
        <v>58000</v>
      </c>
      <c r="D25" s="242" t="s">
        <v>113</v>
      </c>
      <c r="E25" s="337" t="s">
        <v>217</v>
      </c>
      <c r="F25" s="243">
        <f>C25*$C$5</f>
        <v>696000</v>
      </c>
      <c r="G25" s="244">
        <f>F25/$F$13</f>
        <v>1.1461650142975271E-2</v>
      </c>
      <c r="H25" s="234">
        <f>AVERAGE(IRR!C14:V14)</f>
        <v>912000</v>
      </c>
      <c r="I25" s="150">
        <f>H25/(Gross_output*1000000)</f>
        <v>5.5051619948244231E-3</v>
      </c>
      <c r="J25" s="161">
        <f>H25/Invest_cost</f>
        <v>1.035432685550838E-2</v>
      </c>
    </row>
    <row r="26" spans="1:15" ht="38.5" customHeight="1">
      <c r="A26" s="15"/>
      <c r="B26" s="237" t="s">
        <v>110</v>
      </c>
      <c r="C26" s="118">
        <v>78000</v>
      </c>
      <c r="D26" s="40" t="s">
        <v>113</v>
      </c>
      <c r="E26" s="338"/>
      <c r="F26" s="151">
        <f>C26*$C$5</f>
        <v>936000</v>
      </c>
      <c r="G26" s="245">
        <f>F26/$F$13</f>
        <v>1.5413943295725365E-2</v>
      </c>
      <c r="H26" s="154"/>
    </row>
    <row r="27" spans="1:15" ht="38.5" customHeight="1">
      <c r="A27" s="15"/>
      <c r="B27" s="237" t="s">
        <v>111</v>
      </c>
      <c r="C27" s="118">
        <v>83000</v>
      </c>
      <c r="D27" s="40" t="s">
        <v>113</v>
      </c>
      <c r="E27" s="338"/>
      <c r="F27" s="151">
        <f>C27*$C$5</f>
        <v>996000</v>
      </c>
      <c r="G27" s="245">
        <f>F27/$F$13</f>
        <v>1.6402016583912889E-2</v>
      </c>
      <c r="H27" s="154"/>
    </row>
    <row r="28" spans="1:15" ht="43.25" customHeight="1" thickBot="1">
      <c r="A28" s="15"/>
      <c r="B28" s="238" t="s">
        <v>112</v>
      </c>
      <c r="C28" s="246">
        <v>85000</v>
      </c>
      <c r="D28" s="247" t="s">
        <v>113</v>
      </c>
      <c r="E28" s="339"/>
      <c r="F28" s="239">
        <f>C28*$C$5</f>
        <v>1020000</v>
      </c>
      <c r="G28" s="248">
        <f>F28/$F$13</f>
        <v>1.6797245899187897E-2</v>
      </c>
      <c r="H28" s="154"/>
    </row>
    <row r="29" spans="1:15" ht="51" customHeight="1">
      <c r="A29" s="154"/>
      <c r="B29" s="154"/>
      <c r="C29" s="154"/>
      <c r="D29" s="154"/>
      <c r="E29" s="154"/>
      <c r="F29" s="253" t="s">
        <v>220</v>
      </c>
      <c r="G29" s="254" t="s">
        <v>221</v>
      </c>
      <c r="H29" s="254" t="s">
        <v>223</v>
      </c>
      <c r="I29" s="254" t="s">
        <v>222</v>
      </c>
      <c r="J29" s="254" t="s">
        <v>224</v>
      </c>
      <c r="K29"/>
    </row>
    <row r="30" spans="1:15" ht="14.5" customHeight="1">
      <c r="A30" s="154"/>
      <c r="B30" s="83" t="s">
        <v>210</v>
      </c>
      <c r="C30" s="33">
        <v>0.05</v>
      </c>
      <c r="D30" s="147" t="s">
        <v>0</v>
      </c>
      <c r="E30" s="152"/>
      <c r="F30" s="151"/>
      <c r="G30" s="151"/>
      <c r="H30" s="162"/>
      <c r="I30" s="249"/>
      <c r="J30" s="249"/>
    </row>
    <row r="31" spans="1:15" ht="21" customHeight="1">
      <c r="B31" s="83" t="s">
        <v>209</v>
      </c>
      <c r="C31" s="33">
        <f>0.3%</f>
        <v>3.0000000000000001E-3</v>
      </c>
      <c r="D31" s="147" t="s">
        <v>0</v>
      </c>
      <c r="E31" s="340" t="s">
        <v>169</v>
      </c>
      <c r="F31" s="260">
        <f>C31*Invest_cost/$C$5</f>
        <v>22019.780057330016</v>
      </c>
      <c r="G31" s="260">
        <f>C31*Invest_cost/Capacity</f>
        <v>5284.7472137592031</v>
      </c>
      <c r="H31" s="261">
        <f>(F31*12)/$F$13</f>
        <v>4.3514312972824237E-3</v>
      </c>
      <c r="I31" s="259">
        <f>F31*12</f>
        <v>264237.36068796017</v>
      </c>
      <c r="J31" s="255">
        <f>I31/(Gross_output*1000000)</f>
        <v>1.5950323198158679E-3</v>
      </c>
    </row>
    <row r="32" spans="1:15" ht="21" customHeight="1">
      <c r="B32" s="83" t="s">
        <v>207</v>
      </c>
      <c r="C32" s="33">
        <v>7.0000000000000001E-3</v>
      </c>
      <c r="D32" s="147" t="s">
        <v>0</v>
      </c>
      <c r="E32" s="338"/>
      <c r="F32" s="260">
        <f>C32*IRR!C8/$C$5</f>
        <v>8173.0383306250005</v>
      </c>
      <c r="G32" s="260">
        <f>C32*IRR!C8/Capacity</f>
        <v>1961.5291993500002</v>
      </c>
      <c r="H32" s="261">
        <f>(F32*12)/$F$13</f>
        <v>1.6151121715646621E-3</v>
      </c>
      <c r="I32" s="259">
        <f>F32*12</f>
        <v>98076.459967500006</v>
      </c>
      <c r="J32" s="255">
        <f>I32/(Gross_output*1000000)</f>
        <v>5.9202500000000004E-4</v>
      </c>
    </row>
    <row r="33" spans="1:38" ht="30">
      <c r="A33" s="21"/>
      <c r="B33" s="83" t="s">
        <v>208</v>
      </c>
      <c r="C33" s="33">
        <v>0.05</v>
      </c>
      <c r="D33" s="147" t="s">
        <v>0</v>
      </c>
      <c r="E33" s="341"/>
      <c r="F33" s="151">
        <f>(C33*Invest_cost)/$C$5</f>
        <v>366996.3342888336</v>
      </c>
      <c r="G33" s="151">
        <f>C33*Invest_cost/Capacity/20</f>
        <v>4403.9560114660035</v>
      </c>
      <c r="H33" s="162">
        <f>(G33*50)/$F$13</f>
        <v>3.6261927477353535E-3</v>
      </c>
      <c r="I33" s="153">
        <f>F33*12/20</f>
        <v>220197.80057330016</v>
      </c>
      <c r="J33" s="167">
        <f>I33/(Gross_output*1000000)</f>
        <v>1.3291935998465568E-3</v>
      </c>
    </row>
    <row r="34" spans="1:38" ht="13" customHeight="1">
      <c r="A34" s="21"/>
      <c r="B34"/>
      <c r="C34"/>
      <c r="D34"/>
      <c r="E34" s="250" t="s">
        <v>157</v>
      </c>
      <c r="F34" s="251"/>
      <c r="G34" s="252"/>
      <c r="H34" s="164">
        <f>I34/F13</f>
        <v>1.8644906728185709E-2</v>
      </c>
      <c r="I34" s="153">
        <f>I33+H25</f>
        <v>1132197.8005733001</v>
      </c>
      <c r="J34" s="163">
        <f>J33+I25</f>
        <v>6.8343555946709794E-3</v>
      </c>
      <c r="AB34" s="23"/>
      <c r="AG34" s="3">
        <v>0.5</v>
      </c>
      <c r="AH34" s="5">
        <v>2</v>
      </c>
      <c r="AI34" s="3">
        <v>2007</v>
      </c>
      <c r="AL34" s="6" t="e">
        <f>#REF!+0.5</f>
        <v>#REF!</v>
      </c>
    </row>
    <row r="35" spans="1:38">
      <c r="A35" s="20"/>
      <c r="B35"/>
      <c r="C35"/>
      <c r="D35"/>
      <c r="E35" s="257" t="s">
        <v>158</v>
      </c>
      <c r="F35" s="262"/>
      <c r="G35" s="263"/>
      <c r="H35" s="258">
        <f>I35/F13</f>
        <v>2.4611450197032796E-2</v>
      </c>
      <c r="I35" s="259">
        <f>I34+I32+I31</f>
        <v>1494511.6212287603</v>
      </c>
      <c r="J35" s="256">
        <f>J34+J32+J31</f>
        <v>9.0214129144868468E-3</v>
      </c>
      <c r="AB35" s="23"/>
      <c r="AG35" s="3">
        <v>1</v>
      </c>
      <c r="AH35" s="5">
        <v>3</v>
      </c>
      <c r="AI35" s="3">
        <v>2008</v>
      </c>
      <c r="AL35" s="6" t="e">
        <f>AL34+0.5</f>
        <v>#REF!</v>
      </c>
    </row>
    <row r="36" spans="1:38" ht="14">
      <c r="A36" s="20"/>
      <c r="B36"/>
      <c r="C36"/>
      <c r="D36"/>
      <c r="E36"/>
      <c r="F36" s="155"/>
      <c r="G36" s="22"/>
    </row>
    <row r="37" spans="1:38" ht="15">
      <c r="A37" s="15"/>
      <c r="B37" s="81" t="s">
        <v>83</v>
      </c>
      <c r="C37" s="120">
        <f>AVERAGE(Sensitivity_Benchmark!AD28:AH28)/100</f>
        <v>4.5721756648026142E-2</v>
      </c>
      <c r="D37" s="40" t="s">
        <v>84</v>
      </c>
      <c r="E37" s="25" t="s">
        <v>97</v>
      </c>
      <c r="F37" s="155"/>
      <c r="G37" s="22"/>
    </row>
    <row r="38" spans="1:38" ht="15">
      <c r="A38" s="21"/>
      <c r="B38" s="81" t="s">
        <v>3</v>
      </c>
      <c r="C38" s="119">
        <f>C6*1000/(Gross_capacity)</f>
        <v>3313.2540000000004</v>
      </c>
      <c r="D38" s="40" t="s">
        <v>66</v>
      </c>
      <c r="E38" s="168" t="s">
        <v>218</v>
      </c>
      <c r="F38" s="155"/>
    </row>
    <row r="39" spans="1:38" ht="75">
      <c r="A39" s="20"/>
      <c r="B39" s="81" t="s">
        <v>5</v>
      </c>
      <c r="C39" s="37">
        <f>C6*1000/(Capacity*8760)*100</f>
        <v>37.822534246575344</v>
      </c>
      <c r="D39" s="40" t="s">
        <v>0</v>
      </c>
      <c r="E39" s="143" t="s">
        <v>159</v>
      </c>
      <c r="F39" s="28"/>
      <c r="G39" s="274"/>
      <c r="K39" s="9"/>
      <c r="L39" s="9"/>
      <c r="M39" s="9"/>
      <c r="N39" s="9"/>
      <c r="O39" s="9"/>
      <c r="P39" s="9"/>
      <c r="Q39" s="9"/>
    </row>
    <row r="40" spans="1:38" ht="14">
      <c r="A40" s="20"/>
      <c r="B40" s="81"/>
      <c r="C40" s="38"/>
      <c r="D40" s="40"/>
      <c r="E40" s="27"/>
      <c r="F40" s="159"/>
      <c r="G40" s="275"/>
      <c r="H40" s="273"/>
      <c r="I40" s="266"/>
      <c r="K40" s="20"/>
      <c r="L40" s="20"/>
      <c r="M40" s="20"/>
      <c r="N40" s="20"/>
      <c r="O40" s="20"/>
      <c r="P40" s="20"/>
      <c r="Q40" s="20"/>
    </row>
    <row r="41" spans="1:38" ht="15">
      <c r="A41" s="20"/>
      <c r="B41" s="81" t="s">
        <v>63</v>
      </c>
      <c r="C41" s="98">
        <v>23090</v>
      </c>
      <c r="D41" s="40" t="s">
        <v>64</v>
      </c>
      <c r="E41" s="96" t="s">
        <v>144</v>
      </c>
      <c r="F41" s="28"/>
      <c r="K41" s="20"/>
      <c r="L41" s="20"/>
      <c r="M41" s="20"/>
      <c r="N41" s="20"/>
      <c r="O41" s="20"/>
      <c r="P41" s="20"/>
      <c r="Q41" s="20"/>
    </row>
    <row r="42" spans="1:38" ht="15">
      <c r="A42"/>
      <c r="B42" s="81" t="s">
        <v>62</v>
      </c>
      <c r="C42" s="97">
        <f>Invest_cost/(Capacity*10^3)</f>
        <v>1761.582404586401</v>
      </c>
      <c r="D42" s="40" t="s">
        <v>65</v>
      </c>
      <c r="E42" s="27" t="s">
        <v>45</v>
      </c>
      <c r="G42" s="22"/>
      <c r="H42" s="9"/>
      <c r="I42" s="9"/>
      <c r="J42" s="9"/>
      <c r="K42" s="20"/>
      <c r="L42" s="20"/>
      <c r="M42" s="20"/>
      <c r="N42" s="20"/>
      <c r="O42" s="20"/>
      <c r="P42" s="20"/>
      <c r="Q42" s="20"/>
    </row>
    <row r="43" spans="1:38" s="101" customFormat="1" ht="16">
      <c r="A43"/>
      <c r="B43" s="28"/>
      <c r="C43" s="29"/>
      <c r="D43" s="41"/>
      <c r="E43" s="3"/>
      <c r="F43" s="160"/>
      <c r="G43" s="22"/>
      <c r="H43" s="20"/>
      <c r="I43" s="20"/>
      <c r="J43" s="20"/>
    </row>
    <row r="44" spans="1:38" s="101" customFormat="1" ht="16">
      <c r="A44"/>
      <c r="B44" s="85" t="s">
        <v>4</v>
      </c>
      <c r="C44" s="30">
        <v>0</v>
      </c>
      <c r="D44" s="30"/>
      <c r="E44" s="30"/>
      <c r="F44" s="28"/>
      <c r="G44" s="22"/>
      <c r="H44" s="20"/>
      <c r="I44" s="20"/>
      <c r="J44" s="20"/>
    </row>
    <row r="45" spans="1:38" s="101" customFormat="1" ht="16">
      <c r="A45"/>
      <c r="B45" s="85" t="s">
        <v>38</v>
      </c>
      <c r="C45" s="92">
        <v>1</v>
      </c>
      <c r="D45" s="30"/>
      <c r="E45" s="27" t="s">
        <v>108</v>
      </c>
      <c r="F45" s="3"/>
      <c r="G45" s="22"/>
      <c r="H45" s="20"/>
      <c r="I45" s="20"/>
      <c r="J45" s="20"/>
    </row>
    <row r="46" spans="1:38" s="101" customFormat="1" ht="16">
      <c r="A46"/>
      <c r="B46" s="20"/>
      <c r="C46" s="3"/>
      <c r="D46" s="5"/>
      <c r="E46" s="3"/>
      <c r="F46" s="3"/>
      <c r="G46" s="109"/>
    </row>
    <row r="47" spans="1:38" s="101" customFormat="1" ht="16">
      <c r="A47"/>
      <c r="B47" s="20"/>
      <c r="C47" s="3"/>
      <c r="D47" s="5"/>
      <c r="E47" s="3"/>
      <c r="F47" s="20"/>
      <c r="G47" s="116"/>
    </row>
    <row r="48" spans="1:38" ht="16">
      <c r="A48"/>
      <c r="B48"/>
      <c r="C48" s="101"/>
      <c r="D48" s="42"/>
      <c r="E48" s="20"/>
      <c r="F48" s="101"/>
      <c r="G48" s="109"/>
      <c r="H48" s="101"/>
      <c r="I48" s="101"/>
      <c r="J48" s="101"/>
      <c r="K48" s="20"/>
      <c r="L48" s="20"/>
      <c r="M48" s="20"/>
      <c r="N48" s="20"/>
      <c r="O48" s="20"/>
      <c r="P48" s="20"/>
      <c r="Q48" s="20"/>
    </row>
    <row r="49" spans="1:29" ht="16">
      <c r="A49"/>
      <c r="B49" s="101"/>
      <c r="C49" s="101"/>
      <c r="D49" s="101"/>
      <c r="E49" s="101"/>
      <c r="F49" s="101"/>
      <c r="G49" s="101"/>
      <c r="H49" s="101"/>
      <c r="I49" s="101"/>
      <c r="J49" s="101"/>
      <c r="K49" s="20"/>
      <c r="L49" s="20"/>
      <c r="M49" s="20"/>
      <c r="N49" s="20"/>
      <c r="O49" s="20"/>
      <c r="P49" s="20"/>
      <c r="Q49" s="20"/>
      <c r="R49" s="9"/>
      <c r="S49" s="9"/>
      <c r="T49" s="9"/>
      <c r="U49" s="9"/>
      <c r="V49" s="9"/>
      <c r="W49" s="9"/>
      <c r="X49" s="9"/>
      <c r="Y49" s="9"/>
      <c r="Z49" s="9"/>
      <c r="AA49" s="9"/>
      <c r="AB49" s="9"/>
      <c r="AC49" s="9"/>
    </row>
    <row r="50" spans="1:29" ht="16">
      <c r="A50"/>
      <c r="B50" s="101"/>
      <c r="C50" s="101"/>
      <c r="D50" s="101"/>
      <c r="E50" s="101"/>
      <c r="F50" s="101"/>
      <c r="G50" s="101"/>
      <c r="H50" s="101"/>
      <c r="I50" s="101"/>
      <c r="J50" s="101"/>
      <c r="K50" s="20"/>
      <c r="L50" s="20"/>
      <c r="M50" s="20"/>
      <c r="N50" s="20"/>
      <c r="O50" s="20"/>
      <c r="P50" s="20"/>
      <c r="Q50" s="20"/>
      <c r="R50" s="20"/>
      <c r="S50" s="20"/>
      <c r="T50" s="20"/>
      <c r="U50" s="20"/>
      <c r="V50" s="20"/>
      <c r="W50" s="20"/>
      <c r="X50" s="20"/>
      <c r="Y50" s="20"/>
      <c r="Z50" s="20"/>
      <c r="AA50" s="20"/>
    </row>
    <row r="51" spans="1:29" ht="16">
      <c r="A51"/>
      <c r="B51" s="101"/>
      <c r="C51" s="101"/>
      <c r="D51" s="101"/>
      <c r="E51" s="101"/>
      <c r="H51" s="20"/>
      <c r="I51" s="20"/>
      <c r="J51" s="20"/>
      <c r="K51" s="20"/>
      <c r="L51" s="20"/>
      <c r="M51" s="20"/>
      <c r="N51" s="20"/>
      <c r="O51" s="20"/>
      <c r="P51" s="20"/>
      <c r="Q51" s="20"/>
      <c r="R51" s="20"/>
      <c r="S51" s="20"/>
      <c r="T51" s="20"/>
      <c r="U51" s="20"/>
      <c r="V51" s="20"/>
      <c r="W51" s="20"/>
      <c r="X51" s="20"/>
      <c r="Y51" s="20"/>
      <c r="Z51" s="20"/>
      <c r="AA51" s="20"/>
    </row>
    <row r="52" spans="1:29">
      <c r="A52"/>
      <c r="F52"/>
      <c r="H52" s="20"/>
      <c r="I52" s="20"/>
      <c r="J52" s="20"/>
      <c r="K52" s="20"/>
      <c r="L52" s="20"/>
      <c r="M52" s="20"/>
      <c r="N52" s="20"/>
      <c r="O52" s="20"/>
      <c r="P52" s="20"/>
      <c r="Q52" s="20"/>
      <c r="R52" s="20"/>
      <c r="S52" s="20"/>
      <c r="T52" s="20"/>
      <c r="U52" s="20"/>
      <c r="V52" s="20"/>
      <c r="W52" s="20"/>
      <c r="X52" s="20"/>
      <c r="Y52" s="20"/>
      <c r="Z52" s="20"/>
      <c r="AA52" s="20"/>
    </row>
    <row r="53" spans="1:29">
      <c r="B53"/>
      <c r="C53"/>
      <c r="D53"/>
      <c r="E53"/>
      <c r="F53"/>
      <c r="H53" s="20"/>
      <c r="I53" s="20"/>
      <c r="J53" s="20"/>
      <c r="K53" s="20"/>
      <c r="L53" s="20"/>
      <c r="M53" s="20"/>
      <c r="N53" s="20"/>
      <c r="O53" s="20"/>
      <c r="P53" s="20"/>
      <c r="Q53" s="20"/>
      <c r="R53" s="20"/>
      <c r="S53" s="20"/>
      <c r="T53" s="20"/>
      <c r="U53" s="20"/>
      <c r="V53" s="20"/>
      <c r="W53" s="20"/>
      <c r="X53" s="20"/>
      <c r="Y53" s="20"/>
      <c r="Z53" s="20"/>
      <c r="AA53" s="20"/>
      <c r="AB53" s="20"/>
      <c r="AC53" s="20"/>
    </row>
    <row r="54" spans="1:29">
      <c r="B54"/>
      <c r="C54"/>
      <c r="D54"/>
      <c r="E54"/>
      <c r="F54"/>
      <c r="H54" s="20"/>
      <c r="I54" s="20"/>
      <c r="J54" s="20"/>
      <c r="K54" s="20"/>
      <c r="L54" s="20"/>
      <c r="M54" s="20"/>
      <c r="N54" s="20"/>
      <c r="O54" s="20"/>
      <c r="P54" s="20"/>
      <c r="Q54" s="20"/>
      <c r="R54" s="20"/>
      <c r="S54" s="20"/>
      <c r="T54" s="20"/>
      <c r="U54" s="20"/>
      <c r="V54" s="20"/>
      <c r="W54" s="20"/>
      <c r="X54" s="20"/>
      <c r="Y54" s="20"/>
      <c r="Z54" s="20"/>
      <c r="AA54" s="20"/>
      <c r="AB54" s="20"/>
      <c r="AC54" s="20"/>
    </row>
    <row r="55" spans="1:29">
      <c r="B55"/>
      <c r="C55"/>
      <c r="D55"/>
      <c r="E55"/>
      <c r="H55" s="20"/>
      <c r="I55" s="20"/>
      <c r="J55" s="20"/>
      <c r="K55" s="20"/>
      <c r="L55" s="20"/>
      <c r="M55" s="20"/>
      <c r="N55" s="20"/>
      <c r="O55" s="20"/>
      <c r="P55" s="20"/>
      <c r="Q55" s="20"/>
      <c r="R55" s="8"/>
      <c r="S55" s="8"/>
      <c r="T55" s="20"/>
      <c r="U55" s="20"/>
      <c r="V55" s="20"/>
      <c r="W55" s="20"/>
      <c r="X55" s="20"/>
      <c r="Y55" s="20"/>
      <c r="Z55" s="20"/>
      <c r="AA55" s="20"/>
      <c r="AB55" s="20"/>
      <c r="AC55" s="20"/>
    </row>
    <row r="56" spans="1:29">
      <c r="H56" s="20"/>
      <c r="I56" s="20"/>
      <c r="J56" s="20"/>
      <c r="K56" s="20"/>
      <c r="L56" s="20"/>
      <c r="M56" s="20"/>
      <c r="N56" s="20"/>
      <c r="O56" s="20"/>
      <c r="P56" s="20"/>
      <c r="Q56" s="20"/>
      <c r="R56" s="20"/>
      <c r="S56" s="20"/>
      <c r="T56" s="20"/>
      <c r="U56" s="20"/>
      <c r="V56" s="20"/>
      <c r="W56" s="20"/>
      <c r="X56" s="20"/>
      <c r="Y56" s="20"/>
      <c r="Z56" s="20"/>
      <c r="AA56" s="20"/>
      <c r="AB56" s="20"/>
      <c r="AC56" s="20"/>
    </row>
    <row r="57" spans="1:29">
      <c r="H57" s="20"/>
      <c r="I57" s="20"/>
      <c r="J57" s="20"/>
      <c r="K57" s="20"/>
      <c r="L57" s="20"/>
      <c r="M57" s="20"/>
      <c r="N57" s="20"/>
      <c r="O57" s="20"/>
      <c r="P57" s="20"/>
      <c r="Q57" s="20"/>
      <c r="R57" s="8"/>
      <c r="S57" s="20"/>
      <c r="T57" s="20"/>
      <c r="U57" s="20"/>
      <c r="V57" s="20"/>
      <c r="W57" s="20"/>
      <c r="X57" s="20"/>
      <c r="Y57" s="20"/>
      <c r="Z57" s="20"/>
      <c r="AA57" s="20"/>
      <c r="AB57" s="20"/>
      <c r="AC57" s="20"/>
    </row>
    <row r="58" spans="1:29">
      <c r="H58" s="20"/>
      <c r="I58" s="20"/>
      <c r="J58" s="20"/>
      <c r="K58" s="20"/>
      <c r="L58" s="20"/>
      <c r="M58" s="20"/>
      <c r="N58" s="20"/>
      <c r="O58" s="20"/>
      <c r="P58" s="20"/>
      <c r="Q58" s="20"/>
      <c r="R58" s="8"/>
      <c r="S58" s="9"/>
      <c r="T58" s="20"/>
      <c r="U58" s="20"/>
      <c r="V58" s="20"/>
      <c r="W58" s="20"/>
      <c r="X58" s="20"/>
      <c r="Y58" s="20"/>
      <c r="Z58" s="20"/>
      <c r="AA58" s="20"/>
      <c r="AB58" s="20"/>
      <c r="AC58" s="20"/>
    </row>
    <row r="59" spans="1:29">
      <c r="H59" s="20"/>
      <c r="I59" s="20"/>
      <c r="J59" s="20"/>
      <c r="K59" s="20"/>
      <c r="L59" s="20"/>
      <c r="M59" s="20"/>
      <c r="N59" s="20"/>
      <c r="O59" s="20"/>
      <c r="P59" s="20"/>
      <c r="Q59" s="20"/>
      <c r="R59" s="8"/>
      <c r="S59" s="9"/>
      <c r="T59" s="20"/>
      <c r="U59" s="20"/>
      <c r="V59" s="20"/>
      <c r="W59" s="20"/>
      <c r="X59" s="20"/>
      <c r="Y59" s="20"/>
      <c r="Z59" s="20"/>
      <c r="AA59" s="20"/>
      <c r="AB59" s="20"/>
      <c r="AC59" s="20"/>
    </row>
    <row r="60" spans="1:29">
      <c r="H60" s="20"/>
      <c r="I60" s="20"/>
      <c r="J60" s="20"/>
      <c r="K60" s="20"/>
      <c r="L60" s="20"/>
      <c r="M60" s="20"/>
      <c r="N60" s="20"/>
      <c r="O60" s="20"/>
      <c r="P60" s="20"/>
      <c r="Q60" s="20"/>
      <c r="R60" s="8"/>
      <c r="S60" s="9"/>
      <c r="T60" s="20"/>
      <c r="U60" s="20"/>
      <c r="V60" s="20"/>
      <c r="W60" s="20"/>
      <c r="X60" s="20"/>
      <c r="Y60" s="20"/>
      <c r="Z60" s="20"/>
      <c r="AA60" s="20"/>
      <c r="AB60" s="20"/>
      <c r="AC60" s="20"/>
    </row>
    <row r="61" spans="1:29">
      <c r="H61" s="20"/>
      <c r="I61" s="20"/>
      <c r="J61" s="20"/>
      <c r="K61" s="20"/>
      <c r="L61" s="20"/>
      <c r="M61" s="20"/>
      <c r="N61" s="20"/>
      <c r="O61" s="20"/>
      <c r="P61" s="20"/>
      <c r="Q61" s="20"/>
      <c r="R61" s="8"/>
      <c r="S61" s="9"/>
      <c r="T61" s="20"/>
      <c r="U61" s="20"/>
      <c r="V61" s="20"/>
      <c r="W61" s="20"/>
      <c r="X61" s="20"/>
      <c r="Y61" s="20"/>
      <c r="Z61" s="20"/>
      <c r="AA61" s="20"/>
      <c r="AB61" s="20"/>
      <c r="AC61" s="20"/>
    </row>
    <row r="62" spans="1:29">
      <c r="H62" s="20"/>
      <c r="I62" s="20"/>
      <c r="J62" s="20"/>
      <c r="K62" s="20"/>
      <c r="L62" s="20"/>
      <c r="M62" s="20"/>
      <c r="N62" s="20"/>
      <c r="O62" s="20"/>
      <c r="P62" s="20"/>
      <c r="Q62" s="20"/>
      <c r="R62" s="8"/>
      <c r="S62" s="9"/>
      <c r="T62" s="20"/>
      <c r="U62" s="20"/>
      <c r="V62" s="20"/>
      <c r="W62" s="20"/>
      <c r="X62" s="20"/>
      <c r="Y62" s="20"/>
      <c r="Z62" s="20"/>
      <c r="AA62" s="20"/>
      <c r="AB62" s="20"/>
      <c r="AC62" s="20"/>
    </row>
    <row r="63" spans="1:29">
      <c r="H63" s="20"/>
      <c r="I63" s="20"/>
      <c r="J63" s="20"/>
      <c r="K63" s="20"/>
      <c r="L63" s="20"/>
      <c r="M63" s="20"/>
      <c r="N63" s="20"/>
      <c r="O63" s="20"/>
      <c r="P63" s="20"/>
      <c r="Q63" s="20"/>
      <c r="R63" s="8"/>
      <c r="S63" s="9"/>
      <c r="T63" s="20"/>
      <c r="U63" s="20"/>
      <c r="V63" s="20"/>
      <c r="W63" s="20"/>
      <c r="X63" s="20"/>
      <c r="Y63" s="20"/>
      <c r="Z63" s="20"/>
      <c r="AA63" s="20"/>
      <c r="AB63" s="20"/>
      <c r="AC63" s="20"/>
    </row>
    <row r="64" spans="1:29">
      <c r="H64" s="20"/>
      <c r="I64" s="20"/>
      <c r="J64" s="20"/>
      <c r="K64" s="20"/>
      <c r="L64" s="20"/>
      <c r="M64" s="20"/>
      <c r="N64" s="20"/>
      <c r="O64" s="20"/>
      <c r="P64" s="20"/>
      <c r="Q64" s="20"/>
      <c r="R64" s="8"/>
      <c r="S64" s="9"/>
      <c r="T64" s="20"/>
      <c r="U64" s="20"/>
      <c r="V64" s="20"/>
      <c r="W64" s="20"/>
      <c r="X64" s="20"/>
      <c r="Y64" s="20"/>
      <c r="Z64" s="20"/>
      <c r="AA64" s="20"/>
      <c r="AB64" s="20"/>
      <c r="AC64" s="20"/>
    </row>
    <row r="65" spans="8:29">
      <c r="H65" s="20"/>
      <c r="I65" s="20"/>
      <c r="J65" s="20"/>
      <c r="K65" s="20"/>
      <c r="L65" s="20"/>
      <c r="M65" s="20"/>
      <c r="N65" s="20"/>
      <c r="O65" s="20"/>
      <c r="P65" s="20"/>
      <c r="Q65" s="20"/>
      <c r="R65" s="8"/>
      <c r="S65" s="20"/>
      <c r="T65" s="20"/>
      <c r="U65" s="20"/>
      <c r="V65" s="20"/>
      <c r="W65" s="20"/>
      <c r="X65" s="20"/>
      <c r="Y65" s="20"/>
      <c r="Z65" s="20"/>
      <c r="AA65" s="20"/>
      <c r="AB65" s="20"/>
      <c r="AC65" s="20"/>
    </row>
    <row r="66" spans="8:29">
      <c r="H66" s="20"/>
      <c r="I66" s="20"/>
      <c r="J66" s="20"/>
      <c r="K66" s="20"/>
      <c r="L66" s="20"/>
      <c r="M66" s="20"/>
      <c r="N66" s="20"/>
      <c r="O66" s="20"/>
      <c r="P66" s="20"/>
      <c r="Q66" s="20"/>
      <c r="R66" s="8"/>
      <c r="S66" s="9"/>
      <c r="T66" s="20"/>
      <c r="U66" s="20"/>
      <c r="V66" s="20"/>
      <c r="W66" s="20"/>
      <c r="X66" s="20"/>
      <c r="Y66" s="20"/>
      <c r="Z66" s="20"/>
      <c r="AA66" s="20"/>
      <c r="AB66" s="20"/>
      <c r="AC66" s="20"/>
    </row>
    <row r="67" spans="8:29">
      <c r="H67" s="20"/>
      <c r="I67" s="20"/>
      <c r="J67" s="20"/>
      <c r="K67" s="20"/>
      <c r="L67" s="20"/>
      <c r="M67" s="20"/>
      <c r="N67" s="20"/>
      <c r="O67" s="20"/>
      <c r="P67" s="20"/>
      <c r="Q67" s="20"/>
      <c r="R67" s="20"/>
      <c r="S67" s="9"/>
      <c r="T67" s="20"/>
      <c r="U67" s="20"/>
      <c r="V67" s="20"/>
      <c r="W67" s="20"/>
      <c r="X67" s="20"/>
      <c r="Y67" s="20"/>
      <c r="Z67" s="20"/>
      <c r="AA67" s="20"/>
      <c r="AB67" s="20"/>
      <c r="AC67" s="20"/>
    </row>
    <row r="68" spans="8:29">
      <c r="H68" s="20"/>
      <c r="I68" s="20"/>
      <c r="J68" s="20"/>
      <c r="K68" s="20"/>
      <c r="L68" s="20"/>
      <c r="M68" s="20"/>
      <c r="N68" s="20"/>
      <c r="O68" s="20"/>
      <c r="P68" s="20"/>
      <c r="Q68" s="20"/>
      <c r="R68" s="20"/>
      <c r="S68" s="20"/>
      <c r="T68" s="20"/>
      <c r="U68" s="20"/>
      <c r="V68" s="20"/>
      <c r="W68" s="20"/>
      <c r="X68" s="20"/>
      <c r="Y68" s="20"/>
      <c r="Z68" s="20"/>
      <c r="AA68" s="20"/>
      <c r="AB68" s="20"/>
      <c r="AC68" s="20"/>
    </row>
    <row r="69" spans="8:29">
      <c r="H69" s="20"/>
      <c r="I69" s="20"/>
      <c r="J69" s="20"/>
      <c r="K69" s="20"/>
      <c r="L69" s="20"/>
      <c r="M69" s="20"/>
      <c r="N69" s="20"/>
      <c r="O69" s="20"/>
      <c r="P69" s="20"/>
      <c r="Q69" s="20"/>
      <c r="R69" s="20"/>
      <c r="S69" s="20"/>
      <c r="T69" s="20"/>
      <c r="U69" s="20"/>
      <c r="V69" s="20"/>
      <c r="W69" s="20"/>
      <c r="X69" s="20"/>
      <c r="Y69" s="20"/>
      <c r="Z69" s="20"/>
      <c r="AA69" s="20"/>
      <c r="AB69" s="20"/>
      <c r="AC69" s="20"/>
    </row>
    <row r="70" spans="8:29">
      <c r="H70" s="20"/>
      <c r="I70" s="20"/>
      <c r="J70" s="20"/>
      <c r="K70" s="20"/>
      <c r="L70" s="20"/>
      <c r="M70" s="20"/>
      <c r="N70" s="20"/>
      <c r="O70" s="20"/>
      <c r="P70" s="20"/>
      <c r="Q70" s="20"/>
      <c r="R70" s="20"/>
      <c r="S70" s="20"/>
      <c r="T70" s="20"/>
      <c r="U70" s="20"/>
      <c r="V70" s="20"/>
      <c r="W70" s="20"/>
      <c r="X70" s="20"/>
      <c r="Y70" s="20"/>
      <c r="Z70" s="20"/>
      <c r="AA70" s="20"/>
      <c r="AB70" s="20"/>
      <c r="AC70" s="20"/>
    </row>
    <row r="71" spans="8:29">
      <c r="H71" s="20"/>
      <c r="I71" s="20"/>
      <c r="J71" s="20"/>
      <c r="K71" s="20"/>
      <c r="L71" s="20"/>
      <c r="M71" s="20"/>
      <c r="N71" s="20"/>
      <c r="O71" s="20"/>
      <c r="P71" s="20"/>
      <c r="Q71" s="20"/>
      <c r="R71" s="20"/>
      <c r="S71" s="20"/>
      <c r="T71" s="20"/>
      <c r="U71" s="20"/>
      <c r="V71" s="20"/>
      <c r="W71" s="20"/>
      <c r="X71" s="20"/>
      <c r="Y71" s="20"/>
      <c r="Z71" s="20"/>
      <c r="AA71" s="20"/>
      <c r="AB71" s="20"/>
      <c r="AC71" s="20"/>
    </row>
    <row r="72" spans="8:29">
      <c r="H72" s="20"/>
      <c r="I72" s="20"/>
      <c r="J72" s="20"/>
      <c r="K72" s="20"/>
      <c r="L72" s="20"/>
      <c r="M72" s="20"/>
      <c r="N72" s="20"/>
      <c r="O72" s="20"/>
      <c r="P72" s="20"/>
      <c r="Q72" s="20"/>
      <c r="R72" s="20"/>
      <c r="S72" s="20"/>
      <c r="T72" s="20"/>
      <c r="U72" s="20"/>
      <c r="V72" s="20"/>
      <c r="W72" s="20"/>
      <c r="X72" s="20"/>
      <c r="Y72" s="20"/>
      <c r="Z72" s="20"/>
      <c r="AA72" s="20"/>
      <c r="AB72" s="20"/>
      <c r="AC72" s="20"/>
    </row>
    <row r="73" spans="8:29">
      <c r="H73" s="20"/>
      <c r="I73" s="20"/>
      <c r="J73" s="20"/>
      <c r="K73" s="20"/>
      <c r="L73" s="20"/>
      <c r="M73" s="20"/>
      <c r="N73" s="20"/>
      <c r="O73" s="20"/>
      <c r="P73" s="20"/>
      <c r="Q73" s="20"/>
      <c r="R73" s="20"/>
      <c r="S73" s="20"/>
      <c r="T73" s="20"/>
      <c r="U73" s="20"/>
      <c r="V73" s="20"/>
      <c r="W73" s="20"/>
      <c r="X73" s="20"/>
      <c r="Y73" s="20"/>
      <c r="Z73" s="20"/>
      <c r="AA73" s="20"/>
      <c r="AB73" s="20"/>
      <c r="AC73" s="20"/>
    </row>
    <row r="74" spans="8:29">
      <c r="H74" s="20"/>
      <c r="I74" s="20"/>
      <c r="J74" s="20"/>
      <c r="K74" s="20"/>
      <c r="L74" s="20"/>
      <c r="M74" s="20"/>
      <c r="N74" s="20"/>
      <c r="O74" s="20"/>
      <c r="P74" s="20"/>
      <c r="Q74" s="20"/>
      <c r="R74" s="20"/>
      <c r="S74" s="20"/>
      <c r="T74" s="20"/>
      <c r="U74" s="20"/>
      <c r="V74" s="20"/>
      <c r="W74" s="20"/>
      <c r="X74" s="20"/>
      <c r="Y74" s="20"/>
      <c r="Z74" s="20"/>
      <c r="AA74" s="20"/>
      <c r="AB74" s="20"/>
      <c r="AC74" s="20"/>
    </row>
    <row r="75" spans="8:29">
      <c r="H75" s="20"/>
      <c r="I75" s="20"/>
      <c r="J75" s="20"/>
      <c r="K75" s="20"/>
      <c r="L75" s="20"/>
      <c r="M75" s="20"/>
      <c r="N75" s="20"/>
      <c r="O75" s="20"/>
      <c r="P75" s="20"/>
      <c r="Q75" s="20"/>
      <c r="R75" s="20"/>
      <c r="S75" s="20"/>
      <c r="T75" s="20"/>
      <c r="U75" s="20"/>
      <c r="V75" s="20"/>
      <c r="W75" s="20"/>
      <c r="X75" s="20"/>
      <c r="Y75" s="20"/>
      <c r="Z75" s="20"/>
      <c r="AA75" s="20"/>
      <c r="AB75" s="20"/>
      <c r="AC75" s="20"/>
    </row>
    <row r="76" spans="8:29">
      <c r="H76" s="20"/>
      <c r="I76" s="20"/>
      <c r="J76" s="20"/>
      <c r="K76" s="20"/>
      <c r="L76" s="20"/>
      <c r="M76" s="20"/>
      <c r="N76" s="20"/>
      <c r="O76" s="20"/>
      <c r="P76" s="20"/>
      <c r="Q76" s="20"/>
      <c r="R76" s="20"/>
      <c r="S76" s="20"/>
      <c r="T76" s="20"/>
      <c r="U76" s="20"/>
      <c r="V76" s="20"/>
      <c r="W76" s="20"/>
      <c r="X76" s="20"/>
      <c r="Y76" s="20"/>
      <c r="Z76" s="20"/>
      <c r="AA76" s="20"/>
      <c r="AB76" s="20"/>
      <c r="AC76" s="20"/>
    </row>
    <row r="77" spans="8:29">
      <c r="H77" s="20"/>
      <c r="I77" s="20"/>
      <c r="J77" s="20"/>
      <c r="K77" s="20"/>
      <c r="L77" s="20"/>
      <c r="M77" s="20"/>
      <c r="N77" s="20"/>
      <c r="O77" s="20"/>
      <c r="P77" s="20"/>
      <c r="Q77" s="20"/>
      <c r="R77" s="20"/>
      <c r="S77" s="20"/>
      <c r="T77" s="20"/>
      <c r="U77" s="20"/>
      <c r="V77" s="20"/>
      <c r="W77" s="20"/>
      <c r="X77" s="20"/>
      <c r="Y77" s="20"/>
      <c r="Z77" s="20"/>
      <c r="AA77" s="20"/>
      <c r="AB77" s="20"/>
      <c r="AC77" s="20"/>
    </row>
    <row r="78" spans="8:29">
      <c r="H78" s="20"/>
      <c r="I78" s="20"/>
      <c r="J78" s="20"/>
      <c r="K78" s="20"/>
      <c r="L78" s="20"/>
      <c r="M78" s="20"/>
      <c r="N78" s="20"/>
      <c r="O78" s="20"/>
      <c r="P78" s="20"/>
      <c r="Q78" s="20"/>
      <c r="R78" s="20"/>
      <c r="S78" s="20"/>
      <c r="T78" s="20"/>
      <c r="U78" s="20"/>
      <c r="V78" s="20"/>
      <c r="W78" s="20"/>
      <c r="X78" s="20"/>
      <c r="Y78" s="20"/>
      <c r="Z78" s="20"/>
      <c r="AA78" s="20"/>
      <c r="AB78" s="20"/>
      <c r="AC78" s="20"/>
    </row>
    <row r="79" spans="8:29">
      <c r="H79" s="20"/>
      <c r="I79" s="20"/>
      <c r="J79" s="20"/>
      <c r="K79" s="20"/>
      <c r="L79" s="20"/>
      <c r="M79" s="20"/>
      <c r="N79" s="20"/>
      <c r="O79" s="20"/>
      <c r="P79" s="20"/>
      <c r="Q79" s="20"/>
      <c r="R79" s="20"/>
      <c r="S79" s="20"/>
      <c r="T79" s="20"/>
      <c r="U79" s="20"/>
      <c r="V79" s="20"/>
      <c r="W79" s="20"/>
      <c r="X79" s="20"/>
      <c r="Y79" s="20"/>
      <c r="Z79" s="20"/>
      <c r="AA79" s="20"/>
      <c r="AB79" s="20"/>
      <c r="AC79" s="20"/>
    </row>
    <row r="80" spans="8:29">
      <c r="H80" s="20"/>
      <c r="I80" s="20"/>
      <c r="J80" s="20"/>
      <c r="K80" s="20"/>
      <c r="L80" s="20"/>
      <c r="M80" s="20"/>
      <c r="N80" s="20"/>
      <c r="O80" s="20"/>
      <c r="P80" s="20"/>
      <c r="Q80" s="20"/>
      <c r="R80" s="20"/>
      <c r="S80" s="20"/>
      <c r="T80" s="20"/>
      <c r="U80" s="20"/>
      <c r="V80" s="20"/>
      <c r="W80" s="20"/>
      <c r="X80" s="20"/>
      <c r="Y80" s="20"/>
      <c r="Z80" s="20"/>
      <c r="AA80" s="20"/>
      <c r="AB80" s="20"/>
      <c r="AC80" s="20"/>
    </row>
    <row r="81" spans="8:29">
      <c r="H81" s="20"/>
      <c r="I81" s="20"/>
      <c r="J81" s="20"/>
      <c r="R81" s="20"/>
      <c r="S81" s="20"/>
      <c r="T81" s="20"/>
      <c r="U81" s="20"/>
      <c r="V81" s="20"/>
      <c r="W81" s="20"/>
      <c r="X81" s="20"/>
      <c r="Y81" s="20"/>
      <c r="Z81" s="20"/>
      <c r="AA81" s="20"/>
      <c r="AB81" s="20"/>
      <c r="AC81" s="20"/>
    </row>
    <row r="82" spans="8:29">
      <c r="H82" s="20"/>
      <c r="I82" s="20"/>
      <c r="J82" s="20"/>
      <c r="R82" s="20"/>
      <c r="S82" s="20"/>
      <c r="T82" s="20"/>
      <c r="U82" s="20"/>
      <c r="V82" s="20"/>
      <c r="W82" s="20"/>
      <c r="X82" s="20"/>
      <c r="Y82" s="20"/>
      <c r="Z82" s="20"/>
      <c r="AA82" s="20"/>
      <c r="AB82" s="20"/>
      <c r="AC82" s="20"/>
    </row>
    <row r="83" spans="8:29">
      <c r="H83" s="20"/>
      <c r="I83" s="20"/>
      <c r="J83" s="20"/>
      <c r="R83" s="20"/>
      <c r="S83" s="20"/>
      <c r="T83" s="20"/>
      <c r="U83" s="20"/>
      <c r="V83" s="20"/>
      <c r="W83" s="20"/>
      <c r="X83" s="20"/>
      <c r="Y83" s="20"/>
      <c r="Z83" s="20"/>
      <c r="AA83" s="20"/>
      <c r="AB83" s="20"/>
      <c r="AC83" s="20"/>
    </row>
    <row r="84" spans="8:29">
      <c r="R84" s="20"/>
      <c r="S84" s="20"/>
      <c r="T84" s="20"/>
      <c r="U84" s="20"/>
      <c r="V84" s="20"/>
      <c r="W84" s="20"/>
      <c r="X84" s="20"/>
      <c r="Y84" s="20"/>
      <c r="Z84" s="20"/>
      <c r="AA84" s="20"/>
      <c r="AB84" s="20"/>
      <c r="AC84" s="20"/>
    </row>
    <row r="85" spans="8:29">
      <c r="R85" s="20"/>
      <c r="S85" s="20"/>
      <c r="T85" s="20"/>
      <c r="U85" s="20"/>
      <c r="V85" s="20"/>
      <c r="W85" s="20"/>
      <c r="X85" s="20"/>
      <c r="Y85" s="20"/>
      <c r="Z85" s="20"/>
      <c r="AA85" s="20"/>
      <c r="AB85" s="20"/>
      <c r="AC85" s="20"/>
    </row>
    <row r="86" spans="8:29">
      <c r="R86" s="20"/>
      <c r="S86" s="20"/>
      <c r="T86" s="20"/>
      <c r="U86" s="20"/>
      <c r="V86" s="20"/>
      <c r="W86" s="20"/>
      <c r="X86" s="20"/>
      <c r="Y86" s="20"/>
      <c r="Z86" s="20"/>
      <c r="AA86" s="20"/>
      <c r="AB86" s="20"/>
      <c r="AC86" s="20"/>
    </row>
    <row r="87" spans="8:29">
      <c r="R87" s="20"/>
      <c r="S87" s="20"/>
      <c r="T87" s="20"/>
      <c r="U87" s="20"/>
      <c r="V87" s="20"/>
      <c r="W87" s="20"/>
      <c r="X87" s="20"/>
      <c r="Y87" s="20"/>
      <c r="Z87" s="20"/>
      <c r="AA87" s="20"/>
      <c r="AB87" s="20"/>
      <c r="AC87" s="20"/>
    </row>
    <row r="88" spans="8:29">
      <c r="R88" s="20"/>
      <c r="S88" s="20"/>
      <c r="T88" s="20"/>
      <c r="U88" s="20"/>
      <c r="V88" s="20"/>
      <c r="W88" s="20"/>
      <c r="X88" s="20"/>
      <c r="Y88" s="20"/>
      <c r="Z88" s="20"/>
      <c r="AA88" s="20"/>
      <c r="AB88" s="20"/>
      <c r="AC88" s="20"/>
    </row>
    <row r="89" spans="8:29">
      <c r="R89" s="20"/>
      <c r="S89" s="20"/>
      <c r="T89" s="20"/>
      <c r="U89" s="20"/>
      <c r="V89" s="20"/>
      <c r="W89" s="20"/>
      <c r="X89" s="20"/>
      <c r="Y89" s="20"/>
      <c r="Z89" s="20"/>
      <c r="AA89" s="20"/>
      <c r="AB89" s="20"/>
      <c r="AC89" s="20"/>
    </row>
    <row r="90" spans="8:29">
      <c r="R90" s="20"/>
      <c r="S90" s="20"/>
      <c r="T90" s="20"/>
      <c r="U90" s="20"/>
      <c r="V90" s="20"/>
      <c r="W90" s="20"/>
      <c r="X90" s="20"/>
      <c r="Y90" s="20"/>
      <c r="Z90" s="20"/>
      <c r="AA90" s="20"/>
      <c r="AB90" s="20"/>
      <c r="AC90" s="20"/>
    </row>
  </sheetData>
  <mergeCells count="6">
    <mergeCell ref="B1:E1"/>
    <mergeCell ref="H11:H14"/>
    <mergeCell ref="H18:H21"/>
    <mergeCell ref="E25:E28"/>
    <mergeCell ref="E31:E33"/>
    <mergeCell ref="K7:N8"/>
  </mergeCells>
  <phoneticPr fontId="4" type="noConversion"/>
  <hyperlinks>
    <hyperlink ref="E41" r:id="rId1"/>
  </hyperlinks>
  <pageMargins left="0.25" right="0.25" top="0.5" bottom="0.5" header="0.5" footer="0.5"/>
  <pageSetup paperSize="9" scale="78" orientation="landscape"/>
  <headerFooter alignWithMargins="0"/>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92D050"/>
  </sheetPr>
  <dimension ref="A1:AA25"/>
  <sheetViews>
    <sheetView zoomScale="85" zoomScaleNormal="85" workbookViewId="0">
      <pane xSplit="1" ySplit="7" topLeftCell="B8" activePane="bottomRight" state="frozen"/>
      <selection pane="topRight" activeCell="B1" sqref="B1"/>
      <selection pane="bottomLeft" activeCell="A5" sqref="A5"/>
      <selection pane="bottomRight" activeCell="L32" sqref="L32"/>
    </sheetView>
  </sheetViews>
  <sheetFormatPr baseColWidth="10" defaultColWidth="9.1640625" defaultRowHeight="18" customHeight="1"/>
  <cols>
    <col min="1" max="1" width="51.5" style="193" customWidth="1"/>
    <col min="2" max="2" width="24.5" style="194" customWidth="1"/>
    <col min="3" max="22" width="12" style="194" customWidth="1"/>
    <col min="23" max="16384" width="9.1640625" style="193"/>
  </cols>
  <sheetData>
    <row r="1" spans="1:27" ht="25.5" customHeight="1">
      <c r="A1" s="191" t="s">
        <v>15</v>
      </c>
      <c r="B1" s="192"/>
      <c r="C1" s="192"/>
      <c r="D1" s="192"/>
      <c r="E1" s="192"/>
      <c r="F1" s="192"/>
      <c r="G1" s="192"/>
      <c r="H1" s="192"/>
      <c r="I1" s="192"/>
      <c r="J1" s="192"/>
      <c r="K1" s="192"/>
      <c r="L1" s="192"/>
      <c r="M1" s="192"/>
      <c r="N1" s="192"/>
      <c r="O1" s="192"/>
      <c r="P1" s="192"/>
      <c r="Q1" s="192"/>
      <c r="R1" s="192"/>
      <c r="S1" s="192"/>
      <c r="T1" s="192"/>
      <c r="U1" s="192"/>
      <c r="V1" s="192"/>
    </row>
    <row r="2" spans="1:27" ht="25.5" customHeight="1">
      <c r="A2" s="194" t="s">
        <v>115</v>
      </c>
      <c r="B2" s="195">
        <f>+'Input data'!C41</f>
        <v>23090</v>
      </c>
      <c r="C2" s="195">
        <f t="shared" ref="C2:V2" si="0">+B2*(1+EXR)</f>
        <v>23090</v>
      </c>
      <c r="D2" s="195">
        <f t="shared" si="0"/>
        <v>23090</v>
      </c>
      <c r="E2" s="195">
        <f t="shared" si="0"/>
        <v>23090</v>
      </c>
      <c r="F2" s="195">
        <f t="shared" si="0"/>
        <v>23090</v>
      </c>
      <c r="G2" s="195">
        <f t="shared" si="0"/>
        <v>23090</v>
      </c>
      <c r="H2" s="195">
        <f t="shared" si="0"/>
        <v>23090</v>
      </c>
      <c r="I2" s="195">
        <f t="shared" si="0"/>
        <v>23090</v>
      </c>
      <c r="J2" s="195">
        <f t="shared" si="0"/>
        <v>23090</v>
      </c>
      <c r="K2" s="195">
        <f t="shared" si="0"/>
        <v>23090</v>
      </c>
      <c r="L2" s="195">
        <f t="shared" si="0"/>
        <v>23090</v>
      </c>
      <c r="M2" s="195">
        <f t="shared" si="0"/>
        <v>23090</v>
      </c>
      <c r="N2" s="195">
        <f t="shared" si="0"/>
        <v>23090</v>
      </c>
      <c r="O2" s="195">
        <f t="shared" si="0"/>
        <v>23090</v>
      </c>
      <c r="P2" s="195">
        <f t="shared" si="0"/>
        <v>23090</v>
      </c>
      <c r="Q2" s="195">
        <f t="shared" si="0"/>
        <v>23090</v>
      </c>
      <c r="R2" s="195">
        <f t="shared" si="0"/>
        <v>23090</v>
      </c>
      <c r="S2" s="195">
        <f t="shared" si="0"/>
        <v>23090</v>
      </c>
      <c r="T2" s="195">
        <f t="shared" si="0"/>
        <v>23090</v>
      </c>
      <c r="U2" s="195">
        <f t="shared" si="0"/>
        <v>23090</v>
      </c>
      <c r="V2" s="195">
        <f t="shared" si="0"/>
        <v>23090</v>
      </c>
    </row>
    <row r="3" spans="1:27" ht="9.75" customHeight="1">
      <c r="A3" s="191"/>
      <c r="B3" s="192"/>
      <c r="C3" s="192"/>
      <c r="D3" s="192"/>
      <c r="E3" s="192"/>
      <c r="F3" s="192"/>
      <c r="G3" s="192"/>
      <c r="H3" s="192"/>
      <c r="I3" s="192"/>
      <c r="J3" s="192"/>
      <c r="K3" s="192"/>
      <c r="L3" s="192"/>
      <c r="M3" s="192"/>
      <c r="N3" s="192"/>
      <c r="O3" s="192"/>
      <c r="P3" s="192"/>
      <c r="Q3" s="192"/>
      <c r="R3" s="192"/>
      <c r="S3" s="192"/>
      <c r="T3" s="192"/>
      <c r="U3" s="192"/>
      <c r="V3" s="192"/>
    </row>
    <row r="4" spans="1:27" ht="48" customHeight="1">
      <c r="A4" s="191"/>
      <c r="B4" s="192"/>
      <c r="C4" s="196" t="s">
        <v>203</v>
      </c>
      <c r="D4" s="192"/>
      <c r="E4" s="192"/>
      <c r="F4" s="192"/>
      <c r="G4" s="192"/>
      <c r="H4" s="192"/>
      <c r="I4" s="192"/>
      <c r="J4" s="192"/>
      <c r="K4" s="192"/>
      <c r="L4" s="192"/>
      <c r="M4" s="192"/>
      <c r="N4" s="192"/>
      <c r="O4" s="192"/>
      <c r="P4" s="192"/>
      <c r="Q4" s="192"/>
      <c r="R4" s="192"/>
      <c r="S4" s="192"/>
      <c r="T4" s="192"/>
      <c r="U4" s="192"/>
      <c r="V4" s="192"/>
    </row>
    <row r="5" spans="1:27" ht="18" customHeight="1">
      <c r="A5" s="194" t="s">
        <v>16</v>
      </c>
      <c r="C5" s="194">
        <v>2021</v>
      </c>
      <c r="D5" s="194">
        <v>2022</v>
      </c>
      <c r="E5" s="194">
        <v>2023</v>
      </c>
      <c r="F5" s="194">
        <v>2024</v>
      </c>
      <c r="G5" s="194">
        <v>2025</v>
      </c>
      <c r="H5" s="194">
        <v>2026</v>
      </c>
      <c r="I5" s="194">
        <v>2027</v>
      </c>
      <c r="J5" s="194">
        <v>2028</v>
      </c>
      <c r="K5" s="194">
        <v>2029</v>
      </c>
      <c r="L5" s="194">
        <v>2030</v>
      </c>
      <c r="M5" s="194">
        <v>2031</v>
      </c>
      <c r="N5" s="194">
        <v>2032</v>
      </c>
      <c r="O5" s="194">
        <v>2033</v>
      </c>
      <c r="P5" s="194">
        <v>2034</v>
      </c>
      <c r="Q5" s="194">
        <v>2035</v>
      </c>
      <c r="R5" s="194">
        <v>2036</v>
      </c>
      <c r="S5" s="194">
        <v>2037</v>
      </c>
      <c r="T5" s="194">
        <v>2038</v>
      </c>
      <c r="U5" s="194">
        <v>2039</v>
      </c>
      <c r="V5" s="194">
        <v>2040</v>
      </c>
    </row>
    <row r="6" spans="1:27" ht="18" customHeight="1">
      <c r="A6" s="194" t="s">
        <v>116</v>
      </c>
      <c r="B6" s="197" t="s">
        <v>10</v>
      </c>
      <c r="C6" s="348" t="s">
        <v>11</v>
      </c>
      <c r="D6" s="349"/>
      <c r="E6" s="349"/>
      <c r="F6" s="349"/>
      <c r="G6" s="349"/>
      <c r="H6" s="349"/>
      <c r="I6" s="349"/>
      <c r="J6" s="349"/>
      <c r="K6" s="349"/>
      <c r="L6" s="349"/>
      <c r="M6" s="349"/>
      <c r="N6" s="349"/>
      <c r="O6" s="349"/>
      <c r="P6" s="349"/>
      <c r="Q6" s="349"/>
      <c r="R6" s="349"/>
      <c r="S6" s="349"/>
      <c r="T6" s="349"/>
      <c r="U6" s="349"/>
      <c r="V6" s="349"/>
      <c r="AA6" s="194"/>
    </row>
    <row r="7" spans="1:27" ht="18" customHeight="1">
      <c r="A7" s="198"/>
      <c r="B7" s="199">
        <v>0</v>
      </c>
      <c r="C7" s="200">
        <v>1</v>
      </c>
      <c r="D7" s="200">
        <f t="shared" ref="D7:V7" si="1">C7+1</f>
        <v>2</v>
      </c>
      <c r="E7" s="200">
        <f t="shared" si="1"/>
        <v>3</v>
      </c>
      <c r="F7" s="200">
        <f t="shared" si="1"/>
        <v>4</v>
      </c>
      <c r="G7" s="200">
        <f t="shared" si="1"/>
        <v>5</v>
      </c>
      <c r="H7" s="200">
        <f t="shared" si="1"/>
        <v>6</v>
      </c>
      <c r="I7" s="200">
        <f t="shared" si="1"/>
        <v>7</v>
      </c>
      <c r="J7" s="200">
        <f t="shared" si="1"/>
        <v>8</v>
      </c>
      <c r="K7" s="200">
        <f t="shared" si="1"/>
        <v>9</v>
      </c>
      <c r="L7" s="200">
        <f t="shared" si="1"/>
        <v>10</v>
      </c>
      <c r="M7" s="200">
        <f t="shared" si="1"/>
        <v>11</v>
      </c>
      <c r="N7" s="200">
        <f t="shared" si="1"/>
        <v>12</v>
      </c>
      <c r="O7" s="200">
        <f t="shared" si="1"/>
        <v>13</v>
      </c>
      <c r="P7" s="200">
        <f t="shared" si="1"/>
        <v>14</v>
      </c>
      <c r="Q7" s="200">
        <f t="shared" si="1"/>
        <v>15</v>
      </c>
      <c r="R7" s="200">
        <f t="shared" si="1"/>
        <v>16</v>
      </c>
      <c r="S7" s="200">
        <f t="shared" si="1"/>
        <v>17</v>
      </c>
      <c r="T7" s="200">
        <f t="shared" si="1"/>
        <v>18</v>
      </c>
      <c r="U7" s="200">
        <f t="shared" si="1"/>
        <v>19</v>
      </c>
      <c r="V7" s="200">
        <f t="shared" si="1"/>
        <v>20</v>
      </c>
      <c r="AA7" s="194"/>
    </row>
    <row r="8" spans="1:27" s="203" customFormat="1" ht="18" customHeight="1">
      <c r="A8" s="201" t="s">
        <v>123</v>
      </c>
      <c r="B8" s="202">
        <f>SUM(B9:B10)</f>
        <v>61655384.160524033</v>
      </c>
      <c r="C8" s="202">
        <f>SUM(C9:C10)</f>
        <v>14010922.852500001</v>
      </c>
      <c r="D8" s="202">
        <f t="shared" ref="D8:V8" si="2">SUM(D9:D10)</f>
        <v>14010922.852500001</v>
      </c>
      <c r="E8" s="202">
        <f t="shared" si="2"/>
        <v>14010922.852500001</v>
      </c>
      <c r="F8" s="202">
        <f t="shared" si="2"/>
        <v>14010922.852500001</v>
      </c>
      <c r="G8" s="202">
        <f t="shared" si="2"/>
        <v>14010922.852500001</v>
      </c>
      <c r="H8" s="202">
        <f t="shared" si="2"/>
        <v>14010922.852500001</v>
      </c>
      <c r="I8" s="202">
        <f t="shared" si="2"/>
        <v>14010922.852500001</v>
      </c>
      <c r="J8" s="202">
        <f t="shared" si="2"/>
        <v>14010922.852500001</v>
      </c>
      <c r="K8" s="202">
        <f t="shared" si="2"/>
        <v>14010922.852500001</v>
      </c>
      <c r="L8" s="202">
        <f t="shared" si="2"/>
        <v>14010922.852500001</v>
      </c>
      <c r="M8" s="202">
        <f t="shared" si="2"/>
        <v>14010922.852500001</v>
      </c>
      <c r="N8" s="202">
        <f t="shared" si="2"/>
        <v>14010922.852500001</v>
      </c>
      <c r="O8" s="202">
        <f t="shared" si="2"/>
        <v>14010922.852500001</v>
      </c>
      <c r="P8" s="202">
        <f t="shared" si="2"/>
        <v>14010922.852500001</v>
      </c>
      <c r="Q8" s="202">
        <f t="shared" si="2"/>
        <v>14010922.852500001</v>
      </c>
      <c r="R8" s="202">
        <f t="shared" si="2"/>
        <v>14010922.852500001</v>
      </c>
      <c r="S8" s="202">
        <f t="shared" si="2"/>
        <v>14010922.852500001</v>
      </c>
      <c r="T8" s="202">
        <f t="shared" si="2"/>
        <v>14010922.852500001</v>
      </c>
      <c r="U8" s="202">
        <f t="shared" si="2"/>
        <v>14010922.852500001</v>
      </c>
      <c r="V8" s="202">
        <f t="shared" si="2"/>
        <v>14010922.852500001</v>
      </c>
    </row>
    <row r="9" spans="1:27" s="203" customFormat="1" ht="18" customHeight="1">
      <c r="A9" s="204" t="s">
        <v>124</v>
      </c>
      <c r="B9" s="205"/>
      <c r="C9" s="206">
        <f>Gross_output*10^6*(1-Para_loss_load)*Electricity_price</f>
        <v>14010922.852500001</v>
      </c>
      <c r="D9" s="206">
        <f t="shared" ref="D9:V9" si="3">Gross_output*10^6*(1-Para_loss_load)*Electricity_price</f>
        <v>14010922.852500001</v>
      </c>
      <c r="E9" s="206">
        <f t="shared" si="3"/>
        <v>14010922.852500001</v>
      </c>
      <c r="F9" s="206">
        <f t="shared" si="3"/>
        <v>14010922.852500001</v>
      </c>
      <c r="G9" s="206">
        <f t="shared" si="3"/>
        <v>14010922.852500001</v>
      </c>
      <c r="H9" s="206">
        <f t="shared" si="3"/>
        <v>14010922.852500001</v>
      </c>
      <c r="I9" s="206">
        <f t="shared" si="3"/>
        <v>14010922.852500001</v>
      </c>
      <c r="J9" s="206">
        <f t="shared" si="3"/>
        <v>14010922.852500001</v>
      </c>
      <c r="K9" s="206">
        <f t="shared" si="3"/>
        <v>14010922.852500001</v>
      </c>
      <c r="L9" s="206">
        <f t="shared" si="3"/>
        <v>14010922.852500001</v>
      </c>
      <c r="M9" s="206">
        <f t="shared" si="3"/>
        <v>14010922.852500001</v>
      </c>
      <c r="N9" s="206">
        <f t="shared" si="3"/>
        <v>14010922.852500001</v>
      </c>
      <c r="O9" s="206">
        <f t="shared" si="3"/>
        <v>14010922.852500001</v>
      </c>
      <c r="P9" s="206">
        <f t="shared" si="3"/>
        <v>14010922.852500001</v>
      </c>
      <c r="Q9" s="206">
        <f t="shared" si="3"/>
        <v>14010922.852500001</v>
      </c>
      <c r="R9" s="206">
        <f t="shared" si="3"/>
        <v>14010922.852500001</v>
      </c>
      <c r="S9" s="206">
        <f t="shared" si="3"/>
        <v>14010922.852500001</v>
      </c>
      <c r="T9" s="206">
        <f t="shared" si="3"/>
        <v>14010922.852500001</v>
      </c>
      <c r="U9" s="206">
        <f t="shared" si="3"/>
        <v>14010922.852500001</v>
      </c>
      <c r="V9" s="206">
        <f t="shared" si="3"/>
        <v>14010922.852500001</v>
      </c>
    </row>
    <row r="10" spans="1:27" s="203" customFormat="1" ht="18" customHeight="1">
      <c r="A10" s="204" t="s">
        <v>125</v>
      </c>
      <c r="B10" s="205">
        <f>+'Interest and tax calculation'!B2</f>
        <v>61655384.160524033</v>
      </c>
      <c r="C10" s="205"/>
      <c r="D10" s="205"/>
      <c r="E10" s="205"/>
      <c r="F10" s="205"/>
      <c r="G10" s="205"/>
      <c r="H10" s="205"/>
      <c r="I10" s="205"/>
      <c r="J10" s="205"/>
      <c r="K10" s="205"/>
      <c r="L10" s="205"/>
      <c r="M10" s="205"/>
      <c r="N10" s="205"/>
      <c r="O10" s="205"/>
      <c r="P10" s="205"/>
      <c r="Q10" s="205"/>
      <c r="R10" s="205"/>
      <c r="S10" s="205"/>
      <c r="T10" s="205"/>
      <c r="U10" s="205"/>
      <c r="V10" s="205"/>
    </row>
    <row r="11" spans="1:27" s="203" customFormat="1" ht="18" customHeight="1">
      <c r="A11" s="201" t="s">
        <v>126</v>
      </c>
      <c r="B11" s="205">
        <f t="shared" ref="B11:V11" si="4">B13+B12+B19+B20+B21</f>
        <v>88079120.229320049</v>
      </c>
      <c r="C11" s="205">
        <f t="shared" si="4"/>
        <v>14706490.636990506</v>
      </c>
      <c r="D11" s="205">
        <f t="shared" si="4"/>
        <v>14028281.411224741</v>
      </c>
      <c r="E11" s="205">
        <f t="shared" si="4"/>
        <v>13350072.185458979</v>
      </c>
      <c r="F11" s="205">
        <f t="shared" si="4"/>
        <v>12671862.959693214</v>
      </c>
      <c r="G11" s="205">
        <f t="shared" si="4"/>
        <v>12148685.848797111</v>
      </c>
      <c r="H11" s="205">
        <f t="shared" si="4"/>
        <v>11732387.084319634</v>
      </c>
      <c r="I11" s="205">
        <f t="shared" si="4"/>
        <v>11088088.319842158</v>
      </c>
      <c r="J11" s="205">
        <f t="shared" si="4"/>
        <v>10443789.555364681</v>
      </c>
      <c r="K11" s="205">
        <f t="shared" si="4"/>
        <v>9799490.7908872068</v>
      </c>
      <c r="L11" s="205">
        <f t="shared" si="4"/>
        <v>13338950.237302434</v>
      </c>
      <c r="M11" s="205">
        <f t="shared" si="4"/>
        <v>2402354.845879849</v>
      </c>
      <c r="N11" s="205">
        <f t="shared" si="4"/>
        <v>2436265.3071681373</v>
      </c>
      <c r="O11" s="205">
        <f t="shared" si="4"/>
        <v>2436265.3071681373</v>
      </c>
      <c r="P11" s="205">
        <f t="shared" si="4"/>
        <v>2813670.6510558142</v>
      </c>
      <c r="Q11" s="205">
        <f t="shared" si="4"/>
        <v>2813670.6510558142</v>
      </c>
      <c r="R11" s="205">
        <f t="shared" si="4"/>
        <v>3587681.3388311681</v>
      </c>
      <c r="S11" s="205">
        <f t="shared" si="4"/>
        <v>3587681.3388311681</v>
      </c>
      <c r="T11" s="205">
        <f t="shared" si="4"/>
        <v>3587681.3388311681</v>
      </c>
      <c r="U11" s="205">
        <f t="shared" si="4"/>
        <v>3587681.3388311681</v>
      </c>
      <c r="V11" s="205">
        <f t="shared" si="4"/>
        <v>3587681.3388311681</v>
      </c>
    </row>
    <row r="12" spans="1:27" s="203" customFormat="1" ht="18" customHeight="1">
      <c r="A12" s="204" t="s">
        <v>127</v>
      </c>
      <c r="B12" s="205">
        <f>+Invest_cost</f>
        <v>88079120.229320049</v>
      </c>
      <c r="C12" s="205"/>
      <c r="D12" s="205"/>
      <c r="E12" s="205"/>
      <c r="F12" s="205"/>
      <c r="G12" s="205"/>
      <c r="H12" s="205"/>
      <c r="I12" s="205"/>
      <c r="J12" s="205"/>
      <c r="K12" s="205"/>
      <c r="L12" s="205"/>
      <c r="M12" s="205"/>
      <c r="N12" s="205"/>
      <c r="O12" s="205"/>
      <c r="P12" s="205"/>
      <c r="Q12" s="205"/>
      <c r="R12" s="205"/>
      <c r="S12" s="205"/>
      <c r="T12" s="205"/>
      <c r="U12" s="205"/>
      <c r="V12" s="205"/>
    </row>
    <row r="13" spans="1:27" ht="18" customHeight="1">
      <c r="A13" s="204" t="s">
        <v>128</v>
      </c>
      <c r="B13" s="207"/>
      <c r="C13" s="207">
        <f t="shared" ref="C13:V13" si="5">SUM(C14:C18)</f>
        <v>1758859.9632804603</v>
      </c>
      <c r="D13" s="207">
        <f t="shared" si="5"/>
        <v>1758859.9632804603</v>
      </c>
      <c r="E13" s="207">
        <f t="shared" si="5"/>
        <v>1758859.9632804603</v>
      </c>
      <c r="F13" s="207">
        <f t="shared" si="5"/>
        <v>1758859.9632804603</v>
      </c>
      <c r="G13" s="207">
        <f t="shared" si="5"/>
        <v>1758859.9632804603</v>
      </c>
      <c r="H13" s="207">
        <f t="shared" si="5"/>
        <v>1998859.9632804603</v>
      </c>
      <c r="I13" s="207">
        <f t="shared" si="5"/>
        <v>1998859.9632804603</v>
      </c>
      <c r="J13" s="207">
        <f t="shared" si="5"/>
        <v>1998859.9632804603</v>
      </c>
      <c r="K13" s="207">
        <f t="shared" si="5"/>
        <v>1998859.9632804603</v>
      </c>
      <c r="L13" s="207">
        <f t="shared" si="5"/>
        <v>6402815.9747464638</v>
      </c>
      <c r="M13" s="207">
        <f t="shared" si="5"/>
        <v>2058859.9632804603</v>
      </c>
      <c r="N13" s="207">
        <f t="shared" si="5"/>
        <v>2058859.9632804603</v>
      </c>
      <c r="O13" s="207">
        <f t="shared" si="5"/>
        <v>2058859.9632804603</v>
      </c>
      <c r="P13" s="207">
        <f t="shared" si="5"/>
        <v>2058859.9632804603</v>
      </c>
      <c r="Q13" s="207">
        <f t="shared" si="5"/>
        <v>2058859.9632804603</v>
      </c>
      <c r="R13" s="207">
        <f t="shared" si="5"/>
        <v>2082859.9632804603</v>
      </c>
      <c r="S13" s="207">
        <f t="shared" si="5"/>
        <v>2082859.9632804603</v>
      </c>
      <c r="T13" s="207">
        <f t="shared" si="5"/>
        <v>2082859.9632804603</v>
      </c>
      <c r="U13" s="207">
        <f t="shared" si="5"/>
        <v>2082859.9632804603</v>
      </c>
      <c r="V13" s="207">
        <f t="shared" si="5"/>
        <v>2082859.9632804603</v>
      </c>
    </row>
    <row r="14" spans="1:27" s="210" customFormat="1" ht="18" customHeight="1">
      <c r="A14" s="208" t="s">
        <v>12</v>
      </c>
      <c r="B14" s="209"/>
      <c r="C14" s="209">
        <f>'Input data'!$C$25*'Input data'!$C$5</f>
        <v>696000</v>
      </c>
      <c r="D14" s="209">
        <f>'Input data'!$C$25*'Input data'!$C$5</f>
        <v>696000</v>
      </c>
      <c r="E14" s="209">
        <f>'Input data'!$C$25*'Input data'!$C$5</f>
        <v>696000</v>
      </c>
      <c r="F14" s="209">
        <f>'Input data'!$C$25*'Input data'!$C$5</f>
        <v>696000</v>
      </c>
      <c r="G14" s="209">
        <f>'Input data'!$C$25*'Input data'!$C$5</f>
        <v>696000</v>
      </c>
      <c r="H14" s="209">
        <f>'Input data'!$C$26*'Input data'!$C$5</f>
        <v>936000</v>
      </c>
      <c r="I14" s="209">
        <f>'Input data'!$C$26*'Input data'!$C$5</f>
        <v>936000</v>
      </c>
      <c r="J14" s="209">
        <f>'Input data'!$C$26*'Input data'!$C$5</f>
        <v>936000</v>
      </c>
      <c r="K14" s="209">
        <f>'Input data'!$C$26*'Input data'!$C$5</f>
        <v>936000</v>
      </c>
      <c r="L14" s="209">
        <f>'Input data'!$C$26*'Input data'!$C$5</f>
        <v>936000</v>
      </c>
      <c r="M14" s="209">
        <f>'Input data'!$C$27*'Input data'!$C$5</f>
        <v>996000</v>
      </c>
      <c r="N14" s="209">
        <f>'Input data'!$C$27*'Input data'!$C$5</f>
        <v>996000</v>
      </c>
      <c r="O14" s="209">
        <f>'Input data'!$C$27*'Input data'!$C$5</f>
        <v>996000</v>
      </c>
      <c r="P14" s="209">
        <f>'Input data'!$C$27*'Input data'!$C$5</f>
        <v>996000</v>
      </c>
      <c r="Q14" s="209">
        <f>'Input data'!$C$27*'Input data'!$C$5</f>
        <v>996000</v>
      </c>
      <c r="R14" s="209">
        <f>'Input data'!$C$28*'Input data'!$C$5</f>
        <v>1020000</v>
      </c>
      <c r="S14" s="209">
        <f>'Input data'!$C$28*'Input data'!$C$5</f>
        <v>1020000</v>
      </c>
      <c r="T14" s="209">
        <f>'Input data'!$C$28*'Input data'!$C$5</f>
        <v>1020000</v>
      </c>
      <c r="U14" s="209">
        <f>'Input data'!$C$28*'Input data'!$C$5</f>
        <v>1020000</v>
      </c>
      <c r="V14" s="209">
        <f>'Input data'!$C$28*'Input data'!$C$5</f>
        <v>1020000</v>
      </c>
    </row>
    <row r="15" spans="1:27" s="210" customFormat="1" ht="18" customHeight="1">
      <c r="A15" s="208" t="s">
        <v>118</v>
      </c>
      <c r="B15" s="209"/>
      <c r="C15" s="209">
        <f>Invest_cost*'Input data'!$C$31</f>
        <v>264237.36068796017</v>
      </c>
      <c r="D15" s="209">
        <f>+C15</f>
        <v>264237.36068796017</v>
      </c>
      <c r="E15" s="209">
        <f t="shared" ref="E15:V17" si="6">+D15</f>
        <v>264237.36068796017</v>
      </c>
      <c r="F15" s="209">
        <f t="shared" si="6"/>
        <v>264237.36068796017</v>
      </c>
      <c r="G15" s="209">
        <f t="shared" si="6"/>
        <v>264237.36068796017</v>
      </c>
      <c r="H15" s="209">
        <f t="shared" si="6"/>
        <v>264237.36068796017</v>
      </c>
      <c r="I15" s="209">
        <f t="shared" si="6"/>
        <v>264237.36068796017</v>
      </c>
      <c r="J15" s="209">
        <f t="shared" si="6"/>
        <v>264237.36068796017</v>
      </c>
      <c r="K15" s="209">
        <f t="shared" si="6"/>
        <v>264237.36068796017</v>
      </c>
      <c r="L15" s="209">
        <f t="shared" si="6"/>
        <v>264237.36068796017</v>
      </c>
      <c r="M15" s="209">
        <f t="shared" si="6"/>
        <v>264237.36068796017</v>
      </c>
      <c r="N15" s="209">
        <f t="shared" si="6"/>
        <v>264237.36068796017</v>
      </c>
      <c r="O15" s="209">
        <f t="shared" si="6"/>
        <v>264237.36068796017</v>
      </c>
      <c r="P15" s="209">
        <f t="shared" si="6"/>
        <v>264237.36068796017</v>
      </c>
      <c r="Q15" s="209">
        <f t="shared" si="6"/>
        <v>264237.36068796017</v>
      </c>
      <c r="R15" s="209">
        <f t="shared" si="6"/>
        <v>264237.36068796017</v>
      </c>
      <c r="S15" s="209">
        <f t="shared" si="6"/>
        <v>264237.36068796017</v>
      </c>
      <c r="T15" s="209">
        <f t="shared" si="6"/>
        <v>264237.36068796017</v>
      </c>
      <c r="U15" s="209">
        <f t="shared" si="6"/>
        <v>264237.36068796017</v>
      </c>
      <c r="V15" s="209">
        <f t="shared" si="6"/>
        <v>264237.36068796017</v>
      </c>
    </row>
    <row r="16" spans="1:27" s="210" customFormat="1" ht="18" customHeight="1">
      <c r="A16" s="208" t="s">
        <v>80</v>
      </c>
      <c r="B16" s="209"/>
      <c r="C16" s="209">
        <f>+C8*'Input data'!$C$30</f>
        <v>700546.14262500009</v>
      </c>
      <c r="D16" s="209">
        <f>+C16</f>
        <v>700546.14262500009</v>
      </c>
      <c r="E16" s="209">
        <f t="shared" si="6"/>
        <v>700546.14262500009</v>
      </c>
      <c r="F16" s="209">
        <f t="shared" si="6"/>
        <v>700546.14262500009</v>
      </c>
      <c r="G16" s="209">
        <f t="shared" si="6"/>
        <v>700546.14262500009</v>
      </c>
      <c r="H16" s="209">
        <f t="shared" si="6"/>
        <v>700546.14262500009</v>
      </c>
      <c r="I16" s="209">
        <f t="shared" si="6"/>
        <v>700546.14262500009</v>
      </c>
      <c r="J16" s="209">
        <f t="shared" si="6"/>
        <v>700546.14262500009</v>
      </c>
      <c r="K16" s="209">
        <f t="shared" si="6"/>
        <v>700546.14262500009</v>
      </c>
      <c r="L16" s="209">
        <f t="shared" si="6"/>
        <v>700546.14262500009</v>
      </c>
      <c r="M16" s="209">
        <f t="shared" si="6"/>
        <v>700546.14262500009</v>
      </c>
      <c r="N16" s="209">
        <f t="shared" si="6"/>
        <v>700546.14262500009</v>
      </c>
      <c r="O16" s="209">
        <f t="shared" si="6"/>
        <v>700546.14262500009</v>
      </c>
      <c r="P16" s="209">
        <f t="shared" si="6"/>
        <v>700546.14262500009</v>
      </c>
      <c r="Q16" s="209">
        <f t="shared" si="6"/>
        <v>700546.14262500009</v>
      </c>
      <c r="R16" s="209">
        <f t="shared" si="6"/>
        <v>700546.14262500009</v>
      </c>
      <c r="S16" s="209">
        <f t="shared" si="6"/>
        <v>700546.14262500009</v>
      </c>
      <c r="T16" s="209">
        <f t="shared" si="6"/>
        <v>700546.14262500009</v>
      </c>
      <c r="U16" s="209">
        <f t="shared" si="6"/>
        <v>700546.14262500009</v>
      </c>
      <c r="V16" s="209">
        <f t="shared" si="6"/>
        <v>700546.14262500009</v>
      </c>
    </row>
    <row r="17" spans="1:22" s="210" customFormat="1" ht="18" customHeight="1">
      <c r="A17" s="208" t="s">
        <v>81</v>
      </c>
      <c r="B17" s="209"/>
      <c r="C17" s="209">
        <f>+C8*'Input data'!$C$32</f>
        <v>98076.459967500006</v>
      </c>
      <c r="D17" s="209">
        <f>+C17</f>
        <v>98076.459967500006</v>
      </c>
      <c r="E17" s="209">
        <f t="shared" si="6"/>
        <v>98076.459967500006</v>
      </c>
      <c r="F17" s="209">
        <f t="shared" si="6"/>
        <v>98076.459967500006</v>
      </c>
      <c r="G17" s="209">
        <f t="shared" si="6"/>
        <v>98076.459967500006</v>
      </c>
      <c r="H17" s="209">
        <f t="shared" si="6"/>
        <v>98076.459967500006</v>
      </c>
      <c r="I17" s="209">
        <f t="shared" si="6"/>
        <v>98076.459967500006</v>
      </c>
      <c r="J17" s="209">
        <f t="shared" si="6"/>
        <v>98076.459967500006</v>
      </c>
      <c r="K17" s="209">
        <f t="shared" si="6"/>
        <v>98076.459967500006</v>
      </c>
      <c r="L17" s="209">
        <f t="shared" si="6"/>
        <v>98076.459967500006</v>
      </c>
      <c r="M17" s="209">
        <f t="shared" si="6"/>
        <v>98076.459967500006</v>
      </c>
      <c r="N17" s="209">
        <f t="shared" si="6"/>
        <v>98076.459967500006</v>
      </c>
      <c r="O17" s="209">
        <f t="shared" si="6"/>
        <v>98076.459967500006</v>
      </c>
      <c r="P17" s="209">
        <f t="shared" si="6"/>
        <v>98076.459967500006</v>
      </c>
      <c r="Q17" s="209">
        <f t="shared" si="6"/>
        <v>98076.459967500006</v>
      </c>
      <c r="R17" s="209">
        <f t="shared" si="6"/>
        <v>98076.459967500006</v>
      </c>
      <c r="S17" s="209">
        <f t="shared" si="6"/>
        <v>98076.459967500006</v>
      </c>
      <c r="T17" s="209">
        <f t="shared" si="6"/>
        <v>98076.459967500006</v>
      </c>
      <c r="U17" s="209">
        <f t="shared" si="6"/>
        <v>98076.459967500006</v>
      </c>
      <c r="V17" s="209">
        <f t="shared" si="6"/>
        <v>98076.459967500006</v>
      </c>
    </row>
    <row r="18" spans="1:22" s="210" customFormat="1" ht="18" customHeight="1">
      <c r="A18" s="211" t="s">
        <v>82</v>
      </c>
      <c r="B18" s="209"/>
      <c r="C18" s="209"/>
      <c r="D18" s="209"/>
      <c r="E18" s="209"/>
      <c r="F18" s="209"/>
      <c r="G18" s="209"/>
      <c r="H18" s="209"/>
      <c r="I18" s="209"/>
      <c r="J18" s="209"/>
      <c r="K18" s="209"/>
      <c r="L18" s="209">
        <f>+Invest_cost*'Input data'!C33</f>
        <v>4403956.011466003</v>
      </c>
      <c r="M18" s="209"/>
      <c r="N18" s="209"/>
      <c r="O18" s="209"/>
      <c r="P18" s="209"/>
      <c r="Q18" s="209"/>
      <c r="R18" s="209"/>
      <c r="S18" s="209"/>
      <c r="T18" s="209"/>
      <c r="U18" s="209"/>
      <c r="V18" s="209"/>
    </row>
    <row r="19" spans="1:22" s="210" customFormat="1" ht="18" customHeight="1">
      <c r="A19" s="204" t="s">
        <v>129</v>
      </c>
      <c r="B19" s="209"/>
      <c r="C19" s="209">
        <f>B10/10</f>
        <v>6165538.4160524029</v>
      </c>
      <c r="D19" s="209">
        <f t="shared" ref="D19:L19" si="7">C19</f>
        <v>6165538.4160524029</v>
      </c>
      <c r="E19" s="209">
        <f t="shared" si="7"/>
        <v>6165538.4160524029</v>
      </c>
      <c r="F19" s="209">
        <f t="shared" si="7"/>
        <v>6165538.4160524029</v>
      </c>
      <c r="G19" s="209">
        <f t="shared" si="7"/>
        <v>6165538.4160524029</v>
      </c>
      <c r="H19" s="209">
        <f t="shared" si="7"/>
        <v>6165538.4160524029</v>
      </c>
      <c r="I19" s="209">
        <f t="shared" si="7"/>
        <v>6165538.4160524029</v>
      </c>
      <c r="J19" s="209">
        <f t="shared" si="7"/>
        <v>6165538.4160524029</v>
      </c>
      <c r="K19" s="209">
        <f t="shared" si="7"/>
        <v>6165538.4160524029</v>
      </c>
      <c r="L19" s="209">
        <f t="shared" si="7"/>
        <v>6165538.4160524029</v>
      </c>
      <c r="M19" s="209">
        <v>0</v>
      </c>
      <c r="N19" s="209">
        <v>0</v>
      </c>
      <c r="O19" s="209">
        <f t="shared" ref="O19:V19" si="8">N19</f>
        <v>0</v>
      </c>
      <c r="P19" s="209">
        <f t="shared" si="8"/>
        <v>0</v>
      </c>
      <c r="Q19" s="209">
        <f t="shared" si="8"/>
        <v>0</v>
      </c>
      <c r="R19" s="209">
        <f t="shared" si="8"/>
        <v>0</v>
      </c>
      <c r="S19" s="209">
        <f t="shared" si="8"/>
        <v>0</v>
      </c>
      <c r="T19" s="209">
        <f t="shared" si="8"/>
        <v>0</v>
      </c>
      <c r="U19" s="209">
        <f t="shared" si="8"/>
        <v>0</v>
      </c>
      <c r="V19" s="209">
        <f t="shared" si="8"/>
        <v>0</v>
      </c>
    </row>
    <row r="20" spans="1:22" ht="18" customHeight="1">
      <c r="A20" s="204" t="s">
        <v>130</v>
      </c>
      <c r="B20" s="207"/>
      <c r="C20" s="207">
        <f>'Interest and tax calculation'!E3</f>
        <v>6782092.2576576434</v>
      </c>
      <c r="D20" s="207">
        <f>'Interest and tax calculation'!E4</f>
        <v>6103883.0318918796</v>
      </c>
      <c r="E20" s="207">
        <f>'Interest and tax calculation'!E5</f>
        <v>5425673.8061261158</v>
      </c>
      <c r="F20" s="207">
        <f>'Interest and tax calculation'!E6</f>
        <v>4747464.5803603511</v>
      </c>
      <c r="G20" s="207">
        <f>'Interest and tax calculation'!E7</f>
        <v>4069255.3545945873</v>
      </c>
      <c r="H20" s="207">
        <f>'Interest and tax calculation'!E8</f>
        <v>3391046.1288288231</v>
      </c>
      <c r="I20" s="207">
        <f>'Interest and tax calculation'!E9</f>
        <v>2712836.9030630589</v>
      </c>
      <c r="J20" s="207">
        <f>'Interest and tax calculation'!E10</f>
        <v>2034627.6772972948</v>
      </c>
      <c r="K20" s="207">
        <f>'Interest and tax calculation'!E11</f>
        <v>1356418.4515315306</v>
      </c>
      <c r="L20" s="207">
        <f>'Interest and tax calculation'!E12</f>
        <v>678209.22576576623</v>
      </c>
      <c r="M20" s="207">
        <f>'Interest and tax calculation'!E13</f>
        <v>0</v>
      </c>
      <c r="N20" s="207">
        <f>'Interest and tax calculation'!E14</f>
        <v>0</v>
      </c>
      <c r="O20" s="207">
        <f>'Interest and tax calculation'!E15</f>
        <v>0</v>
      </c>
      <c r="P20" s="207">
        <f>'Interest and tax calculation'!E16</f>
        <v>0</v>
      </c>
      <c r="Q20" s="207">
        <f>'Interest and tax calculation'!E17</f>
        <v>0</v>
      </c>
      <c r="R20" s="207">
        <f>'Interest and tax calculation'!E18</f>
        <v>0</v>
      </c>
      <c r="S20" s="207">
        <f>'Interest and tax calculation'!E19</f>
        <v>0</v>
      </c>
      <c r="T20" s="207">
        <f>'Interest and tax calculation'!E20</f>
        <v>0</v>
      </c>
      <c r="U20" s="207">
        <f>'Interest and tax calculation'!E21</f>
        <v>0</v>
      </c>
      <c r="V20" s="207">
        <f>'Interest and tax calculation'!E22</f>
        <v>0</v>
      </c>
    </row>
    <row r="21" spans="1:22" ht="18" customHeight="1">
      <c r="A21" s="204" t="s">
        <v>131</v>
      </c>
      <c r="B21" s="207"/>
      <c r="C21" s="207">
        <f>'Interest and tax calculation'!K3</f>
        <v>0</v>
      </c>
      <c r="D21" s="207">
        <f>'Interest and tax calculation'!K4</f>
        <v>0</v>
      </c>
      <c r="E21" s="207">
        <f>'Interest and tax calculation'!K5</f>
        <v>0</v>
      </c>
      <c r="F21" s="207">
        <f>'Interest and tax calculation'!K6</f>
        <v>0</v>
      </c>
      <c r="G21" s="207">
        <f>'Interest and tax calculation'!K7</f>
        <v>155032.11486965939</v>
      </c>
      <c r="H21" s="207">
        <f>'Interest and tax calculation'!K8</f>
        <v>176942.57615794759</v>
      </c>
      <c r="I21" s="207">
        <f>'Interest and tax calculation'!K9</f>
        <v>210853.03744623577</v>
      </c>
      <c r="J21" s="207">
        <f>'Interest and tax calculation'!K10</f>
        <v>244763.49873452401</v>
      </c>
      <c r="K21" s="207">
        <f>'Interest and tax calculation'!K11</f>
        <v>278673.96002281219</v>
      </c>
      <c r="L21" s="207">
        <f>'Interest and tax calculation'!K12</f>
        <v>92386.620737800229</v>
      </c>
      <c r="M21" s="207">
        <f>'Interest and tax calculation'!K13</f>
        <v>343494.88259938866</v>
      </c>
      <c r="N21" s="207">
        <f>'Interest and tax calculation'!K14</f>
        <v>377405.34388767695</v>
      </c>
      <c r="O21" s="207">
        <f>'Interest and tax calculation'!K15</f>
        <v>377405.34388767695</v>
      </c>
      <c r="P21" s="207">
        <f>'Interest and tax calculation'!K16</f>
        <v>754810.6877753539</v>
      </c>
      <c r="Q21" s="207">
        <f>'Interest and tax calculation'!K17</f>
        <v>754810.6877753539</v>
      </c>
      <c r="R21" s="207">
        <f>'Interest and tax calculation'!K18</f>
        <v>1504821.3755507078</v>
      </c>
      <c r="S21" s="207">
        <f>'Interest and tax calculation'!K19</f>
        <v>1504821.3755507078</v>
      </c>
      <c r="T21" s="207">
        <f>'Interest and tax calculation'!K20</f>
        <v>1504821.3755507078</v>
      </c>
      <c r="U21" s="207">
        <f>'Interest and tax calculation'!K21</f>
        <v>1504821.3755507078</v>
      </c>
      <c r="V21" s="207">
        <f>'Interest and tax calculation'!K22</f>
        <v>1504821.3755507078</v>
      </c>
    </row>
    <row r="22" spans="1:22" s="203" customFormat="1" ht="18" customHeight="1">
      <c r="A22" s="212" t="s">
        <v>46</v>
      </c>
      <c r="B22" s="205">
        <f t="shared" ref="B22:V22" si="9">B8-B11</f>
        <v>-26423736.068796016</v>
      </c>
      <c r="C22" s="205">
        <f t="shared" si="9"/>
        <v>-695567.78449050523</v>
      </c>
      <c r="D22" s="205">
        <f t="shared" si="9"/>
        <v>-17358.55872474052</v>
      </c>
      <c r="E22" s="205">
        <f t="shared" si="9"/>
        <v>660850.66704102233</v>
      </c>
      <c r="F22" s="205">
        <f t="shared" si="9"/>
        <v>1339059.892806787</v>
      </c>
      <c r="G22" s="205">
        <f t="shared" si="9"/>
        <v>1862237.0037028901</v>
      </c>
      <c r="H22" s="205">
        <f t="shared" si="9"/>
        <v>2278535.7681803666</v>
      </c>
      <c r="I22" s="205">
        <f t="shared" si="9"/>
        <v>2922834.5326578431</v>
      </c>
      <c r="J22" s="205">
        <f t="shared" si="9"/>
        <v>3567133.2971353196</v>
      </c>
      <c r="K22" s="205">
        <f t="shared" si="9"/>
        <v>4211432.0616127942</v>
      </c>
      <c r="L22" s="205">
        <f t="shared" si="9"/>
        <v>671972.61519756727</v>
      </c>
      <c r="M22" s="205">
        <f t="shared" si="9"/>
        <v>11608568.006620152</v>
      </c>
      <c r="N22" s="205">
        <f t="shared" si="9"/>
        <v>11574657.545331864</v>
      </c>
      <c r="O22" s="205">
        <f t="shared" si="9"/>
        <v>11574657.545331864</v>
      </c>
      <c r="P22" s="205">
        <f t="shared" si="9"/>
        <v>11197252.201444186</v>
      </c>
      <c r="Q22" s="205">
        <f t="shared" si="9"/>
        <v>11197252.201444186</v>
      </c>
      <c r="R22" s="205">
        <f t="shared" si="9"/>
        <v>10423241.513668833</v>
      </c>
      <c r="S22" s="205">
        <f t="shared" si="9"/>
        <v>10423241.513668833</v>
      </c>
      <c r="T22" s="205">
        <f t="shared" si="9"/>
        <v>10423241.513668833</v>
      </c>
      <c r="U22" s="205">
        <f t="shared" si="9"/>
        <v>10423241.513668833</v>
      </c>
      <c r="V22" s="205">
        <f t="shared" si="9"/>
        <v>10423241.513668833</v>
      </c>
    </row>
    <row r="23" spans="1:22" ht="18" customHeight="1">
      <c r="C23" s="213"/>
      <c r="D23" s="213"/>
      <c r="E23" s="213"/>
      <c r="F23" s="213"/>
      <c r="G23" s="213"/>
      <c r="H23" s="213"/>
      <c r="I23" s="213"/>
      <c r="J23" s="213"/>
      <c r="K23" s="213"/>
      <c r="L23" s="213"/>
      <c r="M23" s="213"/>
      <c r="N23" s="213"/>
      <c r="O23" s="213"/>
      <c r="P23" s="213"/>
      <c r="Q23" s="213"/>
      <c r="R23" s="213"/>
      <c r="S23" s="213"/>
      <c r="T23" s="213"/>
      <c r="U23" s="213"/>
      <c r="V23" s="213"/>
    </row>
    <row r="24" spans="1:22" ht="18" customHeight="1">
      <c r="A24" s="214" t="s">
        <v>137</v>
      </c>
      <c r="C24" s="213"/>
      <c r="D24" s="213"/>
      <c r="E24" s="213"/>
      <c r="F24" s="213"/>
      <c r="G24" s="213"/>
      <c r="H24" s="213"/>
      <c r="I24" s="213"/>
      <c r="J24" s="213"/>
      <c r="K24" s="213"/>
      <c r="L24" s="276"/>
      <c r="M24" s="213"/>
      <c r="N24" s="213"/>
      <c r="O24" s="213"/>
      <c r="P24" s="213"/>
      <c r="Q24" s="213"/>
      <c r="R24" s="213"/>
      <c r="S24" s="213"/>
      <c r="T24" s="213"/>
      <c r="U24" s="213"/>
      <c r="V24" s="213"/>
    </row>
    <row r="25" spans="1:22" ht="18" customHeight="1">
      <c r="A25" s="215">
        <f>IRR(B22:V22)</f>
        <v>0.12377763197695102</v>
      </c>
      <c r="L25" s="277"/>
    </row>
  </sheetData>
  <mergeCells count="1">
    <mergeCell ref="C6:V6"/>
  </mergeCells>
  <phoneticPr fontId="4" type="noConversion"/>
  <pageMargins left="0.75" right="0.75" top="1" bottom="1" header="0.5" footer="0.5"/>
  <pageSetup orientation="portrait" horizontalDpi="300" verticalDpi="300"/>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P28"/>
  <sheetViews>
    <sheetView showGridLines="0" workbookViewId="0">
      <selection activeCell="I31" sqref="I31"/>
    </sheetView>
  </sheetViews>
  <sheetFormatPr baseColWidth="10" defaultColWidth="8.83203125" defaultRowHeight="13"/>
  <cols>
    <col min="1" max="1" width="9.1640625" style="225" customWidth="1"/>
    <col min="2" max="11" width="15.6640625" style="225" customWidth="1"/>
    <col min="12" max="16384" width="8.83203125" style="217"/>
  </cols>
  <sheetData>
    <row r="1" spans="1:16" ht="28">
      <c r="A1" s="216" t="s">
        <v>4</v>
      </c>
      <c r="B1" s="216" t="s">
        <v>122</v>
      </c>
      <c r="C1" s="216" t="s">
        <v>119</v>
      </c>
      <c r="D1" s="216" t="s">
        <v>120</v>
      </c>
      <c r="E1" s="216" t="s">
        <v>121</v>
      </c>
      <c r="F1" s="216" t="s">
        <v>132</v>
      </c>
      <c r="G1" s="216" t="s">
        <v>133</v>
      </c>
      <c r="H1" s="216" t="s">
        <v>134</v>
      </c>
      <c r="I1" s="216" t="s">
        <v>57</v>
      </c>
      <c r="J1" s="216" t="s">
        <v>135</v>
      </c>
      <c r="K1" s="216" t="s">
        <v>136</v>
      </c>
    </row>
    <row r="2" spans="1:16">
      <c r="A2" s="218">
        <v>2020</v>
      </c>
      <c r="B2" s="219">
        <f>+Sensitivity_Benchmark!$H$6*Invest_cost</f>
        <v>61655384.160524033</v>
      </c>
      <c r="C2" s="219"/>
      <c r="D2" s="219">
        <f>+B2</f>
        <v>61655384.160524033</v>
      </c>
      <c r="E2" s="219"/>
      <c r="F2" s="219"/>
      <c r="G2" s="219"/>
      <c r="H2" s="220"/>
      <c r="I2" s="219"/>
      <c r="J2" s="219"/>
      <c r="K2" s="219"/>
      <c r="L2" s="221"/>
      <c r="M2" s="221"/>
      <c r="N2" s="221"/>
      <c r="O2" s="221"/>
      <c r="P2" s="221"/>
    </row>
    <row r="3" spans="1:16">
      <c r="A3" s="218">
        <v>2021</v>
      </c>
      <c r="B3" s="222"/>
      <c r="C3" s="222">
        <f t="shared" ref="C3:C12" si="0">SUM($B$2:$B$3)/10</f>
        <v>6165538.4160524029</v>
      </c>
      <c r="D3" s="222">
        <f>+D2+B3-C3</f>
        <v>55489845.744471632</v>
      </c>
      <c r="E3" s="222">
        <f t="shared" ref="E3:E12" si="1">+D2*Local_loan_rate</f>
        <v>6782092.2576576434</v>
      </c>
      <c r="F3" s="219">
        <f t="shared" ref="F3:F22" si="2">+Invest_cost/20</f>
        <v>4403956.0114660021</v>
      </c>
      <c r="G3" s="219">
        <f t="array" ref="G3:G22">TRANSPOSE(IRR!C9:V9)</f>
        <v>14010922.852500001</v>
      </c>
      <c r="H3" s="219">
        <f t="array" ref="H3:H22">TRANSPOSE(IRR!C13:V13)</f>
        <v>1758859.9632804603</v>
      </c>
      <c r="I3" s="220">
        <v>0</v>
      </c>
      <c r="J3" s="219">
        <f t="shared" ref="J3:J22" si="3">+G3-H3-F3-E2</f>
        <v>7848106.877753539</v>
      </c>
      <c r="K3" s="219">
        <f t="shared" ref="K3:K22" si="4">+J3*I3</f>
        <v>0</v>
      </c>
      <c r="L3" s="221"/>
      <c r="M3" s="221"/>
      <c r="N3" s="221"/>
      <c r="O3" s="221"/>
      <c r="P3" s="221"/>
    </row>
    <row r="4" spans="1:16">
      <c r="A4" s="223">
        <v>2022</v>
      </c>
      <c r="B4" s="219"/>
      <c r="C4" s="219">
        <f t="shared" si="0"/>
        <v>6165538.4160524029</v>
      </c>
      <c r="D4" s="219">
        <f t="shared" ref="D4:D12" si="5">+D3+B4-C4</f>
        <v>49324307.328419231</v>
      </c>
      <c r="E4" s="219">
        <f t="shared" si="1"/>
        <v>6103883.0318918796</v>
      </c>
      <c r="F4" s="222">
        <f t="shared" si="2"/>
        <v>4403956.0114660021</v>
      </c>
      <c r="G4" s="222">
        <v>14010922.852500001</v>
      </c>
      <c r="H4" s="222">
        <v>1758859.9632804603</v>
      </c>
      <c r="I4" s="224">
        <v>0</v>
      </c>
      <c r="J4" s="222">
        <f t="shared" si="3"/>
        <v>1066014.6200958956</v>
      </c>
      <c r="K4" s="222">
        <f t="shared" si="4"/>
        <v>0</v>
      </c>
      <c r="L4" s="221"/>
      <c r="M4" s="221"/>
      <c r="N4" s="221"/>
      <c r="O4" s="221"/>
      <c r="P4" s="221"/>
    </row>
    <row r="5" spans="1:16">
      <c r="A5" s="218">
        <v>2023</v>
      </c>
      <c r="B5" s="222"/>
      <c r="C5" s="222">
        <f t="shared" si="0"/>
        <v>6165538.4160524029</v>
      </c>
      <c r="D5" s="222">
        <f t="shared" si="5"/>
        <v>43158768.91236683</v>
      </c>
      <c r="E5" s="222">
        <f t="shared" si="1"/>
        <v>5425673.8061261158</v>
      </c>
      <c r="F5" s="219">
        <f t="shared" si="2"/>
        <v>4403956.0114660021</v>
      </c>
      <c r="G5" s="219">
        <v>14010922.852500001</v>
      </c>
      <c r="H5" s="219">
        <v>1758859.9632804603</v>
      </c>
      <c r="I5" s="220">
        <v>0</v>
      </c>
      <c r="J5" s="219">
        <f t="shared" si="3"/>
        <v>1744223.8458616594</v>
      </c>
      <c r="K5" s="219">
        <f t="shared" si="4"/>
        <v>0</v>
      </c>
      <c r="L5" s="221"/>
      <c r="M5" s="221"/>
      <c r="N5" s="221"/>
      <c r="O5" s="221"/>
      <c r="P5" s="221"/>
    </row>
    <row r="6" spans="1:16">
      <c r="A6" s="223">
        <v>2024</v>
      </c>
      <c r="B6" s="219"/>
      <c r="C6" s="219">
        <f t="shared" si="0"/>
        <v>6165538.4160524029</v>
      </c>
      <c r="D6" s="219">
        <f t="shared" si="5"/>
        <v>36993230.496314429</v>
      </c>
      <c r="E6" s="219">
        <f t="shared" si="1"/>
        <v>4747464.5803603511</v>
      </c>
      <c r="F6" s="222">
        <f t="shared" si="2"/>
        <v>4403956.0114660021</v>
      </c>
      <c r="G6" s="222">
        <v>14010922.852500001</v>
      </c>
      <c r="H6" s="222">
        <v>1758859.9632804603</v>
      </c>
      <c r="I6" s="224">
        <v>0</v>
      </c>
      <c r="J6" s="222">
        <f t="shared" si="3"/>
        <v>2422433.0716274232</v>
      </c>
      <c r="K6" s="222">
        <f t="shared" si="4"/>
        <v>0</v>
      </c>
      <c r="L6" s="221"/>
      <c r="M6" s="221"/>
      <c r="N6" s="221"/>
      <c r="O6" s="221"/>
      <c r="P6" s="221"/>
    </row>
    <row r="7" spans="1:16">
      <c r="A7" s="218">
        <v>2025</v>
      </c>
      <c r="B7" s="222"/>
      <c r="C7" s="222">
        <f t="shared" si="0"/>
        <v>6165538.4160524029</v>
      </c>
      <c r="D7" s="222">
        <f t="shared" si="5"/>
        <v>30827692.080262028</v>
      </c>
      <c r="E7" s="222">
        <f t="shared" si="1"/>
        <v>4069255.3545945873</v>
      </c>
      <c r="F7" s="219">
        <f t="shared" si="2"/>
        <v>4403956.0114660021</v>
      </c>
      <c r="G7" s="219">
        <v>14010922.852500001</v>
      </c>
      <c r="H7" s="219">
        <v>1758859.9632804603</v>
      </c>
      <c r="I7" s="220">
        <v>0.05</v>
      </c>
      <c r="J7" s="219">
        <f t="shared" si="3"/>
        <v>3100642.2973931879</v>
      </c>
      <c r="K7" s="219">
        <f t="shared" si="4"/>
        <v>155032.11486965939</v>
      </c>
      <c r="L7" s="221"/>
      <c r="M7" s="221"/>
      <c r="N7" s="221"/>
      <c r="O7" s="221"/>
      <c r="P7" s="221"/>
    </row>
    <row r="8" spans="1:16">
      <c r="A8" s="223">
        <v>2026</v>
      </c>
      <c r="B8" s="219"/>
      <c r="C8" s="219">
        <f t="shared" si="0"/>
        <v>6165538.4160524029</v>
      </c>
      <c r="D8" s="219">
        <f t="shared" si="5"/>
        <v>24662153.664209627</v>
      </c>
      <c r="E8" s="219">
        <f t="shared" si="1"/>
        <v>3391046.1288288231</v>
      </c>
      <c r="F8" s="222">
        <f t="shared" si="2"/>
        <v>4403956.0114660021</v>
      </c>
      <c r="G8" s="222">
        <v>14010922.852500001</v>
      </c>
      <c r="H8" s="222">
        <v>1998859.9632804603</v>
      </c>
      <c r="I8" s="224">
        <v>0.05</v>
      </c>
      <c r="J8" s="222">
        <f t="shared" si="3"/>
        <v>3538851.5231589517</v>
      </c>
      <c r="K8" s="222">
        <f t="shared" si="4"/>
        <v>176942.57615794759</v>
      </c>
      <c r="L8" s="221"/>
      <c r="M8" s="221"/>
      <c r="N8" s="221"/>
      <c r="O8" s="221"/>
      <c r="P8" s="221"/>
    </row>
    <row r="9" spans="1:16">
      <c r="A9" s="218">
        <v>2027</v>
      </c>
      <c r="B9" s="222"/>
      <c r="C9" s="222">
        <f t="shared" si="0"/>
        <v>6165538.4160524029</v>
      </c>
      <c r="D9" s="222">
        <f t="shared" si="5"/>
        <v>18496615.248157226</v>
      </c>
      <c r="E9" s="222">
        <f t="shared" si="1"/>
        <v>2712836.9030630589</v>
      </c>
      <c r="F9" s="219">
        <f t="shared" si="2"/>
        <v>4403956.0114660021</v>
      </c>
      <c r="G9" s="219">
        <v>14010922.852500001</v>
      </c>
      <c r="H9" s="219">
        <v>1998859.9632804603</v>
      </c>
      <c r="I9" s="220">
        <v>0.05</v>
      </c>
      <c r="J9" s="219">
        <f t="shared" si="3"/>
        <v>4217060.7489247154</v>
      </c>
      <c r="K9" s="219">
        <f t="shared" si="4"/>
        <v>210853.03744623577</v>
      </c>
      <c r="L9" s="221"/>
      <c r="M9" s="221"/>
      <c r="N9" s="221"/>
      <c r="O9" s="221"/>
      <c r="P9" s="221"/>
    </row>
    <row r="10" spans="1:16">
      <c r="A10" s="223">
        <v>2028</v>
      </c>
      <c r="B10" s="219"/>
      <c r="C10" s="219">
        <f t="shared" si="0"/>
        <v>6165538.4160524029</v>
      </c>
      <c r="D10" s="219">
        <f t="shared" si="5"/>
        <v>12331076.832104823</v>
      </c>
      <c r="E10" s="219">
        <f t="shared" si="1"/>
        <v>2034627.6772972948</v>
      </c>
      <c r="F10" s="222">
        <f t="shared" si="2"/>
        <v>4403956.0114660021</v>
      </c>
      <c r="G10" s="222">
        <v>14010922.852500001</v>
      </c>
      <c r="H10" s="222">
        <v>1998859.9632804603</v>
      </c>
      <c r="I10" s="224">
        <v>0.05</v>
      </c>
      <c r="J10" s="222">
        <f t="shared" si="3"/>
        <v>4895269.9746904802</v>
      </c>
      <c r="K10" s="222">
        <f t="shared" si="4"/>
        <v>244763.49873452401</v>
      </c>
      <c r="L10" s="221"/>
      <c r="M10" s="221"/>
      <c r="N10" s="221"/>
      <c r="O10" s="221"/>
      <c r="P10" s="221"/>
    </row>
    <row r="11" spans="1:16">
      <c r="A11" s="218">
        <v>2029</v>
      </c>
      <c r="B11" s="222"/>
      <c r="C11" s="222">
        <f t="shared" si="0"/>
        <v>6165538.4160524029</v>
      </c>
      <c r="D11" s="222">
        <f t="shared" si="5"/>
        <v>6165538.4160524197</v>
      </c>
      <c r="E11" s="222">
        <f t="shared" si="1"/>
        <v>1356418.4515315306</v>
      </c>
      <c r="F11" s="219">
        <f t="shared" si="2"/>
        <v>4403956.0114660021</v>
      </c>
      <c r="G11" s="219">
        <v>14010922.852500001</v>
      </c>
      <c r="H11" s="219">
        <v>1998859.9632804603</v>
      </c>
      <c r="I11" s="220">
        <v>0.05</v>
      </c>
      <c r="J11" s="219">
        <f t="shared" si="3"/>
        <v>5573479.2004562439</v>
      </c>
      <c r="K11" s="219">
        <f t="shared" si="4"/>
        <v>278673.96002281219</v>
      </c>
      <c r="L11" s="221"/>
      <c r="M11" s="221"/>
      <c r="N11" s="221"/>
      <c r="O11" s="221"/>
      <c r="P11" s="221"/>
    </row>
    <row r="12" spans="1:16">
      <c r="A12" s="223">
        <v>2030</v>
      </c>
      <c r="B12" s="219"/>
      <c r="C12" s="219">
        <f t="shared" si="0"/>
        <v>6165538.4160524029</v>
      </c>
      <c r="D12" s="219">
        <f t="shared" si="5"/>
        <v>1.6763806343078613E-8</v>
      </c>
      <c r="E12" s="219">
        <f t="shared" si="1"/>
        <v>678209.22576576623</v>
      </c>
      <c r="F12" s="222">
        <f t="shared" si="2"/>
        <v>4403956.0114660021</v>
      </c>
      <c r="G12" s="222">
        <v>14010922.852500001</v>
      </c>
      <c r="H12" s="222">
        <v>6402815.9747464638</v>
      </c>
      <c r="I12" s="224">
        <v>0.05</v>
      </c>
      <c r="J12" s="222">
        <f t="shared" si="3"/>
        <v>1847732.4147560045</v>
      </c>
      <c r="K12" s="222">
        <f t="shared" si="4"/>
        <v>92386.620737800229</v>
      </c>
      <c r="L12" s="221"/>
      <c r="M12" s="221"/>
      <c r="N12" s="221"/>
      <c r="O12" s="221"/>
      <c r="P12" s="221"/>
    </row>
    <row r="13" spans="1:16">
      <c r="A13" s="218">
        <v>2031</v>
      </c>
      <c r="B13" s="222"/>
      <c r="C13" s="222"/>
      <c r="D13" s="222"/>
      <c r="E13" s="222"/>
      <c r="F13" s="219">
        <f t="shared" si="2"/>
        <v>4403956.0114660021</v>
      </c>
      <c r="G13" s="219">
        <v>14010922.852500001</v>
      </c>
      <c r="H13" s="219">
        <v>2058859.9632804603</v>
      </c>
      <c r="I13" s="220">
        <v>0.05</v>
      </c>
      <c r="J13" s="219">
        <f t="shared" si="3"/>
        <v>6869897.6519877724</v>
      </c>
      <c r="K13" s="219">
        <f t="shared" si="4"/>
        <v>343494.88259938866</v>
      </c>
      <c r="L13" s="221"/>
      <c r="M13" s="221"/>
      <c r="N13" s="221"/>
      <c r="O13" s="221"/>
      <c r="P13" s="221"/>
    </row>
    <row r="14" spans="1:16">
      <c r="A14" s="223">
        <v>2032</v>
      </c>
      <c r="B14" s="219"/>
      <c r="C14" s="219"/>
      <c r="D14" s="219"/>
      <c r="E14" s="219"/>
      <c r="F14" s="222">
        <f t="shared" si="2"/>
        <v>4403956.0114660021</v>
      </c>
      <c r="G14" s="222">
        <v>14010922.852500001</v>
      </c>
      <c r="H14" s="222">
        <v>2058859.9632804603</v>
      </c>
      <c r="I14" s="224">
        <v>0.05</v>
      </c>
      <c r="J14" s="222">
        <f t="shared" si="3"/>
        <v>7548106.877753539</v>
      </c>
      <c r="K14" s="222">
        <f t="shared" si="4"/>
        <v>377405.34388767695</v>
      </c>
      <c r="L14" s="221"/>
      <c r="M14" s="221"/>
      <c r="N14" s="221"/>
      <c r="O14" s="221"/>
      <c r="P14" s="221"/>
    </row>
    <row r="15" spans="1:16">
      <c r="A15" s="218">
        <v>2033</v>
      </c>
      <c r="B15" s="222"/>
      <c r="C15" s="222"/>
      <c r="D15" s="222"/>
      <c r="E15" s="222"/>
      <c r="F15" s="219">
        <f t="shared" si="2"/>
        <v>4403956.0114660021</v>
      </c>
      <c r="G15" s="219">
        <v>14010922.852500001</v>
      </c>
      <c r="H15" s="219">
        <v>2058859.9632804603</v>
      </c>
      <c r="I15" s="220">
        <v>0.05</v>
      </c>
      <c r="J15" s="219">
        <f t="shared" si="3"/>
        <v>7548106.877753539</v>
      </c>
      <c r="K15" s="219">
        <f t="shared" si="4"/>
        <v>377405.34388767695</v>
      </c>
      <c r="L15" s="221"/>
      <c r="M15" s="221"/>
      <c r="N15" s="221"/>
      <c r="O15" s="221"/>
      <c r="P15" s="221"/>
    </row>
    <row r="16" spans="1:16">
      <c r="A16" s="223">
        <v>2034</v>
      </c>
      <c r="B16" s="219"/>
      <c r="C16" s="219"/>
      <c r="D16" s="219"/>
      <c r="E16" s="219"/>
      <c r="F16" s="222">
        <f t="shared" si="2"/>
        <v>4403956.0114660021</v>
      </c>
      <c r="G16" s="222">
        <v>14010922.852500001</v>
      </c>
      <c r="H16" s="222">
        <v>2058859.9632804603</v>
      </c>
      <c r="I16" s="224">
        <v>0.1</v>
      </c>
      <c r="J16" s="222">
        <f t="shared" si="3"/>
        <v>7548106.877753539</v>
      </c>
      <c r="K16" s="222">
        <f t="shared" si="4"/>
        <v>754810.6877753539</v>
      </c>
      <c r="L16" s="221"/>
      <c r="M16" s="221"/>
      <c r="N16" s="221"/>
      <c r="O16" s="221"/>
      <c r="P16" s="221"/>
    </row>
    <row r="17" spans="1:16">
      <c r="A17" s="218">
        <v>2035</v>
      </c>
      <c r="B17" s="222"/>
      <c r="C17" s="222"/>
      <c r="D17" s="222"/>
      <c r="E17" s="222"/>
      <c r="F17" s="219">
        <f t="shared" si="2"/>
        <v>4403956.0114660021</v>
      </c>
      <c r="G17" s="219">
        <v>14010922.852500001</v>
      </c>
      <c r="H17" s="219">
        <v>2058859.9632804603</v>
      </c>
      <c r="I17" s="220">
        <v>0.1</v>
      </c>
      <c r="J17" s="219">
        <f t="shared" si="3"/>
        <v>7548106.877753539</v>
      </c>
      <c r="K17" s="219">
        <f t="shared" si="4"/>
        <v>754810.6877753539</v>
      </c>
      <c r="L17" s="221"/>
      <c r="M17" s="221"/>
      <c r="N17" s="221"/>
      <c r="O17" s="221"/>
      <c r="P17" s="221"/>
    </row>
    <row r="18" spans="1:16">
      <c r="A18" s="223">
        <v>2036</v>
      </c>
      <c r="B18" s="219"/>
      <c r="C18" s="219"/>
      <c r="D18" s="219"/>
      <c r="E18" s="219"/>
      <c r="F18" s="222">
        <f t="shared" si="2"/>
        <v>4403956.0114660021</v>
      </c>
      <c r="G18" s="222">
        <v>14010922.852500001</v>
      </c>
      <c r="H18" s="222">
        <v>2082859.9632804603</v>
      </c>
      <c r="I18" s="224">
        <v>0.2</v>
      </c>
      <c r="J18" s="222">
        <f t="shared" si="3"/>
        <v>7524106.877753539</v>
      </c>
      <c r="K18" s="222">
        <f t="shared" si="4"/>
        <v>1504821.3755507078</v>
      </c>
      <c r="L18" s="221"/>
      <c r="M18" s="221"/>
      <c r="N18" s="221"/>
      <c r="O18" s="221"/>
      <c r="P18" s="221"/>
    </row>
    <row r="19" spans="1:16">
      <c r="A19" s="218">
        <v>2037</v>
      </c>
      <c r="B19" s="222"/>
      <c r="C19" s="222"/>
      <c r="D19" s="222"/>
      <c r="E19" s="222"/>
      <c r="F19" s="219">
        <f t="shared" si="2"/>
        <v>4403956.0114660021</v>
      </c>
      <c r="G19" s="219">
        <v>14010922.852500001</v>
      </c>
      <c r="H19" s="219">
        <v>2082859.9632804603</v>
      </c>
      <c r="I19" s="220">
        <v>0.2</v>
      </c>
      <c r="J19" s="219">
        <f t="shared" si="3"/>
        <v>7524106.877753539</v>
      </c>
      <c r="K19" s="219">
        <f t="shared" si="4"/>
        <v>1504821.3755507078</v>
      </c>
      <c r="L19" s="221"/>
      <c r="M19" s="221"/>
      <c r="N19" s="221"/>
      <c r="O19" s="221"/>
      <c r="P19" s="221"/>
    </row>
    <row r="20" spans="1:16">
      <c r="A20" s="223">
        <v>2038</v>
      </c>
      <c r="B20" s="219"/>
      <c r="C20" s="219"/>
      <c r="D20" s="219"/>
      <c r="E20" s="219"/>
      <c r="F20" s="222">
        <f t="shared" si="2"/>
        <v>4403956.0114660021</v>
      </c>
      <c r="G20" s="222">
        <v>14010922.852500001</v>
      </c>
      <c r="H20" s="222">
        <v>2082859.9632804603</v>
      </c>
      <c r="I20" s="224">
        <v>0.2</v>
      </c>
      <c r="J20" s="222">
        <f t="shared" si="3"/>
        <v>7524106.877753539</v>
      </c>
      <c r="K20" s="222">
        <f t="shared" si="4"/>
        <v>1504821.3755507078</v>
      </c>
      <c r="L20" s="221"/>
      <c r="M20" s="221"/>
      <c r="N20" s="221"/>
      <c r="O20" s="221"/>
      <c r="P20" s="221"/>
    </row>
    <row r="21" spans="1:16">
      <c r="A21" s="218">
        <v>2039</v>
      </c>
      <c r="B21" s="222"/>
      <c r="C21" s="222"/>
      <c r="D21" s="222"/>
      <c r="E21" s="222"/>
      <c r="F21" s="219">
        <f t="shared" si="2"/>
        <v>4403956.0114660021</v>
      </c>
      <c r="G21" s="219">
        <v>14010922.852500001</v>
      </c>
      <c r="H21" s="219">
        <v>2082859.9632804603</v>
      </c>
      <c r="I21" s="220">
        <v>0.2</v>
      </c>
      <c r="J21" s="219">
        <f t="shared" si="3"/>
        <v>7524106.877753539</v>
      </c>
      <c r="K21" s="219">
        <f t="shared" si="4"/>
        <v>1504821.3755507078</v>
      </c>
      <c r="L21" s="221"/>
      <c r="M21" s="221"/>
      <c r="N21" s="221"/>
      <c r="O21" s="221"/>
      <c r="P21" s="221"/>
    </row>
    <row r="22" spans="1:16">
      <c r="A22" s="223">
        <v>2040</v>
      </c>
      <c r="B22" s="222"/>
      <c r="C22" s="222"/>
      <c r="D22" s="222"/>
      <c r="E22" s="222"/>
      <c r="F22" s="222">
        <f t="shared" si="2"/>
        <v>4403956.0114660021</v>
      </c>
      <c r="G22" s="222">
        <v>14010922.852500001</v>
      </c>
      <c r="H22" s="222">
        <v>2082859.9632804603</v>
      </c>
      <c r="I22" s="224">
        <v>0.2</v>
      </c>
      <c r="J22" s="222">
        <f t="shared" si="3"/>
        <v>7524106.877753539</v>
      </c>
      <c r="K22" s="222">
        <f t="shared" si="4"/>
        <v>1504821.3755507078</v>
      </c>
      <c r="L22" s="221"/>
      <c r="M22" s="221"/>
      <c r="N22" s="221"/>
      <c r="O22" s="221"/>
      <c r="P22" s="221"/>
    </row>
    <row r="23" spans="1:16">
      <c r="G23" s="226"/>
    </row>
    <row r="26" spans="1:16">
      <c r="A26" s="227" t="s">
        <v>160</v>
      </c>
      <c r="B26" s="228" t="s">
        <v>204</v>
      </c>
      <c r="C26" s="227"/>
      <c r="D26" s="227"/>
      <c r="E26" s="227"/>
    </row>
    <row r="27" spans="1:16" ht="112.75" customHeight="1">
      <c r="A27" s="229"/>
      <c r="B27" s="350" t="s">
        <v>161</v>
      </c>
      <c r="C27" s="350"/>
      <c r="D27" s="350"/>
      <c r="E27" s="230"/>
      <c r="F27" s="227"/>
      <c r="G27" s="227"/>
      <c r="H27" s="227"/>
      <c r="I27" s="227"/>
    </row>
    <row r="28" spans="1:16">
      <c r="A28" s="227"/>
      <c r="B28" s="231" t="s">
        <v>162</v>
      </c>
      <c r="C28" s="227"/>
      <c r="D28" s="232"/>
      <c r="E28" s="227"/>
      <c r="F28" s="230"/>
      <c r="G28" s="230"/>
      <c r="H28" s="230"/>
      <c r="I28" s="230"/>
    </row>
  </sheetData>
  <sheetProtection formatCells="0" formatColumns="0" formatRows="0" insertColumns="0" insertRows="0" insertHyperlinks="0" deleteColumns="0" deleteRows="0" sort="0" autoFilter="0" pivotTables="0"/>
  <mergeCells count="1">
    <mergeCell ref="B27:D27"/>
  </mergeCells>
  <hyperlinks>
    <hyperlink ref="B28" r:id="rId1"/>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92D050"/>
  </sheetPr>
  <dimension ref="A1:AH51"/>
  <sheetViews>
    <sheetView showGridLines="0" zoomScale="85" zoomScaleNormal="85" workbookViewId="0">
      <pane xSplit="1" ySplit="2" topLeftCell="B3" activePane="bottomRight" state="frozen"/>
      <selection pane="topRight" activeCell="B1" sqref="B1"/>
      <selection pane="bottomLeft" activeCell="A3" sqref="A3"/>
      <selection pane="bottomRight" activeCell="E7" sqref="E7"/>
    </sheetView>
  </sheetViews>
  <sheetFormatPr baseColWidth="10" defaultColWidth="9.1640625" defaultRowHeight="13"/>
  <cols>
    <col min="1" max="1" width="5" style="49" customWidth="1"/>
    <col min="2" max="2" width="5.83203125" style="49" customWidth="1"/>
    <col min="3" max="3" width="36.5" style="49" customWidth="1"/>
    <col min="4" max="4" width="15.33203125" style="49" customWidth="1"/>
    <col min="5" max="5" width="15.5" style="49" customWidth="1"/>
    <col min="6" max="6" width="6.5" style="49" customWidth="1"/>
    <col min="7" max="7" width="30.5" style="49" customWidth="1"/>
    <col min="8" max="8" width="14.83203125" style="49" customWidth="1"/>
    <col min="9" max="9" width="40.1640625" style="49" customWidth="1"/>
    <col min="10" max="16384" width="9.1640625" style="49"/>
  </cols>
  <sheetData>
    <row r="1" spans="2:26" ht="30">
      <c r="B1" s="352" t="s">
        <v>17</v>
      </c>
      <c r="C1" s="352"/>
      <c r="D1" s="352"/>
      <c r="E1" s="352"/>
      <c r="F1" s="52"/>
      <c r="G1" s="353" t="s">
        <v>24</v>
      </c>
      <c r="H1" s="353"/>
      <c r="I1" s="353"/>
      <c r="J1" s="48"/>
      <c r="K1" s="48"/>
      <c r="L1" s="48"/>
      <c r="M1" s="48"/>
      <c r="N1" s="48"/>
      <c r="O1" s="48"/>
      <c r="P1" s="48"/>
      <c r="Q1" s="48"/>
      <c r="R1" s="48"/>
      <c r="S1" s="48"/>
      <c r="T1" s="48"/>
      <c r="U1" s="48"/>
      <c r="V1" s="48"/>
      <c r="W1" s="48"/>
      <c r="X1" s="48"/>
      <c r="Y1" s="48"/>
      <c r="Z1" s="48"/>
    </row>
    <row r="2" spans="2:26" ht="14" thickBot="1"/>
    <row r="3" spans="2:26" ht="14">
      <c r="B3" s="53" t="s">
        <v>18</v>
      </c>
      <c r="C3" s="54" t="s">
        <v>20</v>
      </c>
      <c r="D3" s="55" t="s">
        <v>21</v>
      </c>
      <c r="E3" s="56" t="s">
        <v>60</v>
      </c>
      <c r="G3" s="54" t="s">
        <v>41</v>
      </c>
      <c r="H3" s="55" t="s">
        <v>49</v>
      </c>
      <c r="I3" s="56" t="s">
        <v>42</v>
      </c>
    </row>
    <row r="4" spans="2:26" ht="15.75" customHeight="1">
      <c r="B4" s="60">
        <v>1</v>
      </c>
      <c r="C4" s="354" t="s">
        <v>58</v>
      </c>
      <c r="D4" s="90">
        <f>TEUp2</f>
        <v>0</v>
      </c>
      <c r="E4" s="57">
        <f>TEIncr2</f>
        <v>0.12377820167146658</v>
      </c>
      <c r="G4" s="63" t="s">
        <v>25</v>
      </c>
      <c r="H4" s="88">
        <v>0.3</v>
      </c>
      <c r="I4" s="64" t="s">
        <v>47</v>
      </c>
    </row>
    <row r="5" spans="2:26" ht="27.75" customHeight="1">
      <c r="B5" s="59"/>
      <c r="C5" s="355"/>
      <c r="D5" s="90">
        <v>0.1</v>
      </c>
      <c r="E5" s="57">
        <f>'Input data'!M12</f>
        <v>0.15591347082861584</v>
      </c>
      <c r="G5" s="63" t="s">
        <v>138</v>
      </c>
      <c r="H5" s="65">
        <v>0.1173</v>
      </c>
      <c r="I5" s="64" t="s">
        <v>168</v>
      </c>
    </row>
    <row r="6" spans="2:26" s="50" customFormat="1" ht="15.75" customHeight="1">
      <c r="B6" s="59"/>
      <c r="C6" s="356"/>
      <c r="D6" s="90">
        <v>-0.1</v>
      </c>
      <c r="E6" s="57">
        <f>'Input data'!K12</f>
        <v>9.2885173056260761E-2</v>
      </c>
      <c r="G6" s="63" t="s">
        <v>26</v>
      </c>
      <c r="H6" s="65">
        <f>1-H4</f>
        <v>0.7</v>
      </c>
      <c r="I6" s="64" t="s">
        <v>27</v>
      </c>
    </row>
    <row r="7" spans="2:26" ht="15.75" customHeight="1">
      <c r="B7" s="60">
        <v>2</v>
      </c>
      <c r="C7" s="354" t="s">
        <v>8</v>
      </c>
      <c r="D7" s="90">
        <v>0.1</v>
      </c>
      <c r="E7" s="57">
        <f>'Input data'!K20</f>
        <v>9.7421128022157077E-2</v>
      </c>
      <c r="G7" s="63" t="s">
        <v>205</v>
      </c>
      <c r="H7" s="88">
        <v>0.11</v>
      </c>
      <c r="I7" s="64" t="s">
        <v>48</v>
      </c>
    </row>
    <row r="8" spans="2:26" ht="14">
      <c r="B8" s="59"/>
      <c r="C8" s="355"/>
      <c r="D8" s="90">
        <v>-0.1</v>
      </c>
      <c r="E8" s="57">
        <f>'Input data'!K18</f>
        <v>0.15732129236465608</v>
      </c>
      <c r="G8"/>
      <c r="H8"/>
      <c r="I8"/>
    </row>
    <row r="9" spans="2:26" ht="56.25" customHeight="1">
      <c r="B9" s="61"/>
      <c r="C9" s="356"/>
      <c r="D9" s="90">
        <f>InvDown2</f>
        <v>0</v>
      </c>
      <c r="E9" s="57">
        <f>InvRed2</f>
        <v>0.1237776327446225</v>
      </c>
      <c r="G9" s="63" t="s">
        <v>139</v>
      </c>
      <c r="H9" s="189">
        <f>+(1+H5)*(1+'Input data'!C37)-1</f>
        <v>0.16838491870283945</v>
      </c>
      <c r="I9" s="64" t="s">
        <v>140</v>
      </c>
      <c r="J9" s="351"/>
      <c r="K9" s="351"/>
      <c r="L9" s="351"/>
      <c r="M9" s="351"/>
      <c r="N9" s="351"/>
    </row>
    <row r="10" spans="2:26" ht="14">
      <c r="B10" s="60">
        <v>3</v>
      </c>
      <c r="C10" s="354" t="s">
        <v>9</v>
      </c>
      <c r="D10" s="90">
        <f>TarUp2</f>
        <v>0</v>
      </c>
      <c r="E10" s="57">
        <f>TarInc2</f>
        <v>0.12377820167146658</v>
      </c>
      <c r="J10" s="142"/>
      <c r="K10" s="142"/>
      <c r="L10" s="142"/>
      <c r="M10" s="132"/>
      <c r="N10" s="132"/>
    </row>
    <row r="11" spans="2:26" ht="14">
      <c r="B11" s="59"/>
      <c r="C11" s="355"/>
      <c r="D11" s="90">
        <v>0.1</v>
      </c>
      <c r="E11" s="57">
        <f>'Input data'!L13</f>
        <v>0.15591347082861584</v>
      </c>
      <c r="J11" s="142"/>
      <c r="K11" s="142"/>
      <c r="L11" s="142"/>
      <c r="M11" s="132"/>
      <c r="N11" s="132"/>
    </row>
    <row r="12" spans="2:26" ht="15" thickBot="1">
      <c r="B12" s="62"/>
      <c r="C12" s="357"/>
      <c r="D12" s="91">
        <v>-0.1</v>
      </c>
      <c r="E12" s="58">
        <f>'Input data'!L11</f>
        <v>9.2885173056260539E-2</v>
      </c>
      <c r="J12" s="142"/>
      <c r="K12" s="142"/>
      <c r="L12" s="142"/>
      <c r="M12" s="132"/>
      <c r="N12" s="132"/>
    </row>
    <row r="13" spans="2:26">
      <c r="J13" s="142"/>
      <c r="K13" s="142"/>
      <c r="L13" s="142"/>
      <c r="M13" s="132"/>
      <c r="N13" s="132"/>
    </row>
    <row r="14" spans="2:26" ht="14">
      <c r="B14" s="51"/>
    </row>
    <row r="15" spans="2:26" ht="14">
      <c r="G15" s="133" t="s">
        <v>57</v>
      </c>
      <c r="H15" s="134"/>
      <c r="I15" s="190" t="s">
        <v>202</v>
      </c>
    </row>
    <row r="16" spans="2:26" ht="14">
      <c r="G16" s="133" t="s">
        <v>85</v>
      </c>
      <c r="H16" s="135">
        <v>0</v>
      </c>
      <c r="I16" s="134">
        <v>4</v>
      </c>
    </row>
    <row r="17" spans="1:34" ht="14">
      <c r="G17" s="133" t="s">
        <v>86</v>
      </c>
      <c r="H17" s="135">
        <v>0.05</v>
      </c>
      <c r="I17" s="134">
        <v>9</v>
      </c>
    </row>
    <row r="18" spans="1:34" ht="14">
      <c r="G18" s="133" t="s">
        <v>87</v>
      </c>
      <c r="H18" s="135">
        <v>0.1</v>
      </c>
      <c r="I18" s="134">
        <v>2</v>
      </c>
    </row>
    <row r="19" spans="1:34" ht="14">
      <c r="G19" s="133" t="s">
        <v>88</v>
      </c>
      <c r="H19" s="135">
        <v>0.2</v>
      </c>
      <c r="I19" s="134">
        <f>+Life_time-SUM(Sensitivity_Benchmark!I16:I18)</f>
        <v>5</v>
      </c>
    </row>
    <row r="20" spans="1:34" ht="14">
      <c r="G20" s="133" t="s">
        <v>31</v>
      </c>
      <c r="H20" s="136">
        <f>SUMPRODUCT(H16:H19,I16:I19)/SUM(I16:I19)</f>
        <v>8.249999999999999E-2</v>
      </c>
      <c r="I20" s="134"/>
    </row>
    <row r="27" spans="1:34" customFormat="1">
      <c r="A27" s="137" t="s">
        <v>89</v>
      </c>
      <c r="B27" s="137" t="s">
        <v>90</v>
      </c>
      <c r="C27" s="137" t="s">
        <v>91</v>
      </c>
      <c r="D27" s="137" t="s">
        <v>92</v>
      </c>
      <c r="E27" s="138">
        <v>1996</v>
      </c>
      <c r="F27" s="138">
        <v>1997</v>
      </c>
      <c r="G27" s="138">
        <v>1998</v>
      </c>
      <c r="H27" s="138">
        <v>1999</v>
      </c>
      <c r="I27" s="138">
        <v>2000</v>
      </c>
      <c r="J27" s="138">
        <v>2001</v>
      </c>
      <c r="K27" s="138">
        <v>2002</v>
      </c>
      <c r="L27" s="138">
        <v>2003</v>
      </c>
      <c r="M27" s="138">
        <v>2004</v>
      </c>
      <c r="N27" s="138">
        <v>2005</v>
      </c>
      <c r="O27" s="138">
        <v>2006</v>
      </c>
      <c r="P27" s="138">
        <v>2007</v>
      </c>
      <c r="Q27" s="138">
        <v>2008</v>
      </c>
      <c r="R27" s="138">
        <v>2009</v>
      </c>
      <c r="S27" s="138">
        <v>2010</v>
      </c>
      <c r="T27" s="138">
        <v>2011</v>
      </c>
      <c r="U27" s="138">
        <v>2012</v>
      </c>
      <c r="V27" s="138">
        <v>2013</v>
      </c>
      <c r="W27" s="138">
        <v>2014</v>
      </c>
      <c r="X27" s="138">
        <v>2015</v>
      </c>
      <c r="Y27" s="138">
        <v>2016</v>
      </c>
      <c r="Z27" s="138">
        <v>2017</v>
      </c>
      <c r="AA27" s="138">
        <v>2018</v>
      </c>
      <c r="AB27" s="138">
        <v>2019</v>
      </c>
      <c r="AC27" s="138">
        <v>2020</v>
      </c>
      <c r="AD27" s="138">
        <v>2021</v>
      </c>
      <c r="AE27" s="138">
        <v>2022</v>
      </c>
      <c r="AF27" s="138">
        <v>2023</v>
      </c>
      <c r="AG27" s="138">
        <v>2024</v>
      </c>
      <c r="AH27" s="138">
        <v>2025</v>
      </c>
    </row>
    <row r="28" spans="1:34" customFormat="1">
      <c r="A28" s="137" t="s">
        <v>93</v>
      </c>
      <c r="B28" s="137" t="s">
        <v>94</v>
      </c>
      <c r="C28" s="137" t="s">
        <v>95</v>
      </c>
      <c r="D28" s="137" t="s">
        <v>96</v>
      </c>
      <c r="E28" s="137">
        <v>5.6749999999998897</v>
      </c>
      <c r="F28" s="137">
        <v>3.2095260626137398</v>
      </c>
      <c r="G28" s="137">
        <v>7.2661980440096299</v>
      </c>
      <c r="H28" s="137">
        <v>4.1171023577173704</v>
      </c>
      <c r="I28" s="137">
        <v>-1.7103372785111299</v>
      </c>
      <c r="J28" s="137">
        <v>-0.431544511728152</v>
      </c>
      <c r="K28" s="137">
        <v>3.83082838168469</v>
      </c>
      <c r="L28" s="137">
        <v>3.2346481729392398</v>
      </c>
      <c r="M28" s="137">
        <v>7.75494748709602</v>
      </c>
      <c r="N28" s="137">
        <v>8.2845724312866995</v>
      </c>
      <c r="O28" s="137">
        <v>7.4180171510846904</v>
      </c>
      <c r="P28" s="137">
        <v>8.3444488977383795</v>
      </c>
      <c r="Q28" s="137">
        <v>23.1154483474477</v>
      </c>
      <c r="R28" s="137">
        <v>6.71698269988629</v>
      </c>
      <c r="S28" s="137">
        <v>9.2074664877841794</v>
      </c>
      <c r="T28" s="137">
        <v>18.6777322770706</v>
      </c>
      <c r="U28" s="137">
        <v>9.0947033955719299</v>
      </c>
      <c r="V28" s="137">
        <v>6.5926747589919099</v>
      </c>
      <c r="W28" s="137">
        <v>4.0845544663762201</v>
      </c>
      <c r="X28" s="137">
        <v>0.63120090517571803</v>
      </c>
      <c r="Y28" s="137">
        <v>2.66824816969083</v>
      </c>
      <c r="Z28" s="137">
        <v>3.5202568881161902</v>
      </c>
      <c r="AA28" s="137">
        <v>3.53962805942641</v>
      </c>
      <c r="AB28" s="137">
        <v>2.7958236745224401</v>
      </c>
      <c r="AC28" s="137">
        <v>3.2209343665251402</v>
      </c>
      <c r="AD28" s="139">
        <f>_xlfn.FORECAST.LINEAR(AD27,$J$28:$AC$28,$J$27:$AC$27)</f>
        <v>4.8990401384876918</v>
      </c>
      <c r="AE28" s="139">
        <f>_xlfn.FORECAST.LINEAR(AE27,$J$28:$AC$28,$J$27:$AC$27)</f>
        <v>4.7356079016451531</v>
      </c>
      <c r="AF28" s="139">
        <f>_xlfn.FORECAST.LINEAR(AF27,$J$28:$AC$28,$J$27:$AC$27)</f>
        <v>4.5721756648026144</v>
      </c>
      <c r="AG28" s="139">
        <f>_xlfn.FORECAST.LINEAR(AG27,$J$28:$AC$28,$J$27:$AC$27)</f>
        <v>4.4087434279600757</v>
      </c>
      <c r="AH28" s="139">
        <f>_xlfn.FORECAST.LINEAR(AH27,$J$28:$AC$28,$J$27:$AC$27)</f>
        <v>4.245311191117537</v>
      </c>
    </row>
    <row r="35" spans="7:9">
      <c r="G35"/>
      <c r="H35"/>
      <c r="I35"/>
    </row>
    <row r="36" spans="7:9">
      <c r="G36"/>
      <c r="H36"/>
      <c r="I36"/>
    </row>
    <row r="37" spans="7:9">
      <c r="G37"/>
      <c r="H37"/>
      <c r="I37"/>
    </row>
    <row r="38" spans="7:9">
      <c r="G38"/>
      <c r="H38"/>
      <c r="I38"/>
    </row>
    <row r="39" spans="7:9">
      <c r="G39"/>
      <c r="H39"/>
      <c r="I39"/>
    </row>
    <row r="40" spans="7:9">
      <c r="G40"/>
      <c r="H40"/>
      <c r="I40"/>
    </row>
    <row r="41" spans="7:9">
      <c r="G41"/>
      <c r="H41"/>
      <c r="I41"/>
    </row>
    <row r="42" spans="7:9">
      <c r="G42"/>
      <c r="H42"/>
      <c r="I42"/>
    </row>
    <row r="43" spans="7:9">
      <c r="G43"/>
      <c r="H43"/>
      <c r="I43"/>
    </row>
    <row r="44" spans="7:9">
      <c r="G44"/>
      <c r="H44"/>
      <c r="I44"/>
    </row>
    <row r="45" spans="7:9">
      <c r="G45"/>
      <c r="H45"/>
      <c r="I45"/>
    </row>
    <row r="46" spans="7:9">
      <c r="G46"/>
      <c r="H46"/>
      <c r="I46"/>
    </row>
    <row r="47" spans="7:9">
      <c r="G47"/>
      <c r="H47"/>
      <c r="I47"/>
    </row>
    <row r="48" spans="7:9">
      <c r="G48"/>
      <c r="H48"/>
      <c r="I48"/>
    </row>
    <row r="49" spans="7:9">
      <c r="G49"/>
      <c r="H49"/>
      <c r="I49"/>
    </row>
    <row r="50" spans="7:9">
      <c r="G50"/>
      <c r="H50"/>
      <c r="I50"/>
    </row>
    <row r="51" spans="7:9">
      <c r="G51"/>
      <c r="H51"/>
      <c r="I51"/>
    </row>
  </sheetData>
  <mergeCells count="6">
    <mergeCell ref="J9:N9"/>
    <mergeCell ref="B1:E1"/>
    <mergeCell ref="G1:I1"/>
    <mergeCell ref="C4:C6"/>
    <mergeCell ref="C7:C9"/>
    <mergeCell ref="C10:C12"/>
  </mergeCells>
  <phoneticPr fontId="4" type="noConversion"/>
  <conditionalFormatting sqref="D4:D12">
    <cfRule type="cellIs" dxfId="0" priority="1" operator="greaterThan">
      <formula>0</formula>
    </cfRule>
  </conditionalFormatting>
  <pageMargins left="0.75" right="0.75" top="1" bottom="1" header="0.5" footer="0.5"/>
  <pageSetup paperSize="9" orientation="portrait"/>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00B0F0"/>
  </sheetPr>
  <dimension ref="A1:P41"/>
  <sheetViews>
    <sheetView showGridLines="0" zoomScale="90" zoomScaleNormal="90" workbookViewId="0">
      <selection activeCell="I53" sqref="I53"/>
    </sheetView>
  </sheetViews>
  <sheetFormatPr baseColWidth="10" defaultColWidth="8.83203125" defaultRowHeight="13"/>
  <cols>
    <col min="1" max="1" width="15" customWidth="1"/>
    <col min="2" max="2" width="14.83203125" customWidth="1"/>
    <col min="3" max="3" width="14" customWidth="1"/>
    <col min="4" max="4" width="10" customWidth="1"/>
    <col min="5" max="6" width="10.5" customWidth="1"/>
    <col min="7" max="9" width="12.1640625" customWidth="1"/>
    <col min="10" max="10" width="4.5" customWidth="1"/>
    <col min="11" max="11" width="3.6640625" bestFit="1" customWidth="1"/>
    <col min="12" max="12" width="8.1640625" customWidth="1"/>
    <col min="13" max="13" width="9.1640625" bestFit="1" customWidth="1"/>
    <col min="14" max="14" width="9.6640625" bestFit="1" customWidth="1"/>
  </cols>
  <sheetData>
    <row r="1" spans="1:16" ht="30">
      <c r="A1" s="368" t="s">
        <v>29</v>
      </c>
      <c r="B1" s="368"/>
      <c r="C1" s="368"/>
      <c r="D1" s="368"/>
      <c r="E1" s="368"/>
      <c r="F1" s="368"/>
      <c r="G1" s="368"/>
      <c r="H1" s="368"/>
      <c r="I1" s="149"/>
    </row>
    <row r="2" spans="1:16" ht="30">
      <c r="A2" s="270"/>
      <c r="B2" s="270"/>
      <c r="C2" s="270"/>
      <c r="D2" s="270"/>
      <c r="E2" s="270"/>
      <c r="F2" s="270"/>
      <c r="G2" s="270"/>
      <c r="H2" t="s">
        <v>225</v>
      </c>
      <c r="I2" s="278" t="s">
        <v>226</v>
      </c>
      <c r="L2" s="279"/>
    </row>
    <row r="3" spans="1:16" ht="28" customHeight="1">
      <c r="A3" s="1"/>
      <c r="B3" s="1"/>
      <c r="C3" s="2"/>
      <c r="D3" s="1"/>
      <c r="E3" s="371" t="s">
        <v>43</v>
      </c>
      <c r="F3" s="371"/>
      <c r="G3" s="371"/>
      <c r="H3" s="371"/>
      <c r="I3" s="371"/>
      <c r="J3" s="280" t="s">
        <v>227</v>
      </c>
      <c r="K3" s="281" t="s">
        <v>228</v>
      </c>
      <c r="L3" s="282">
        <v>2021</v>
      </c>
    </row>
    <row r="4" spans="1:16" ht="13.25" customHeight="1">
      <c r="A4" s="365" t="s">
        <v>4</v>
      </c>
      <c r="B4" s="366"/>
      <c r="C4" s="366"/>
      <c r="D4" s="367"/>
      <c r="E4" s="66" t="s">
        <v>53</v>
      </c>
      <c r="F4" s="66" t="s">
        <v>52</v>
      </c>
      <c r="G4" s="66" t="s">
        <v>51</v>
      </c>
      <c r="H4" s="67" t="s">
        <v>50</v>
      </c>
      <c r="I4" s="369" t="s">
        <v>150</v>
      </c>
    </row>
    <row r="5" spans="1:16">
      <c r="A5" s="68"/>
      <c r="B5" s="144"/>
      <c r="C5" s="144"/>
      <c r="D5" s="69"/>
      <c r="E5" s="70" t="s">
        <v>30</v>
      </c>
      <c r="F5" s="70" t="s">
        <v>30</v>
      </c>
      <c r="G5" s="70" t="s">
        <v>30</v>
      </c>
      <c r="H5" s="70" t="s">
        <v>30</v>
      </c>
      <c r="I5" s="370"/>
      <c r="M5" s="145"/>
      <c r="N5" s="145"/>
    </row>
    <row r="6" spans="1:16">
      <c r="A6" s="75">
        <v>2021</v>
      </c>
      <c r="B6" s="76" t="s">
        <v>230</v>
      </c>
      <c r="C6" s="146" t="s">
        <v>231</v>
      </c>
      <c r="D6" s="77" t="s">
        <v>232</v>
      </c>
      <c r="E6" s="71">
        <v>0</v>
      </c>
      <c r="F6" s="72">
        <v>0</v>
      </c>
      <c r="G6" s="73">
        <f>I6*CMEF!$E$11</f>
        <v>11304.548269153125</v>
      </c>
      <c r="H6" s="73">
        <f t="shared" ref="H6:H11" si="0">G6-E6-F6</f>
        <v>11304.548269153125</v>
      </c>
      <c r="I6" s="73">
        <f>('Input data'!$C$9*1000/12)</f>
        <v>13736.198875</v>
      </c>
      <c r="J6" s="283"/>
      <c r="K6" s="284"/>
      <c r="L6" s="285">
        <f>P6-O6</f>
        <v>31</v>
      </c>
      <c r="M6" s="284" t="s">
        <v>229</v>
      </c>
      <c r="N6" s="286"/>
      <c r="O6" s="287">
        <v>44530</v>
      </c>
      <c r="P6" s="288">
        <v>44561</v>
      </c>
    </row>
    <row r="7" spans="1:16">
      <c r="A7" s="78">
        <f>A6+1</f>
        <v>2022</v>
      </c>
      <c r="B7" s="76" t="s">
        <v>233</v>
      </c>
      <c r="C7" s="146" t="s">
        <v>231</v>
      </c>
      <c r="D7" s="77" t="s">
        <v>234</v>
      </c>
      <c r="E7" s="71">
        <v>0</v>
      </c>
      <c r="F7" s="72">
        <v>0</v>
      </c>
      <c r="G7" s="73">
        <f>I7*CMEF!$E$11</f>
        <v>135654.57922983749</v>
      </c>
      <c r="H7" s="73">
        <f t="shared" si="0"/>
        <v>135654.57922983749</v>
      </c>
      <c r="I7" s="73">
        <f>'Input data'!$C$9*1000</f>
        <v>164834.38649999999</v>
      </c>
    </row>
    <row r="8" spans="1:16">
      <c r="A8" s="78">
        <f>A7+1</f>
        <v>2023</v>
      </c>
      <c r="B8" s="76" t="s">
        <v>235</v>
      </c>
      <c r="C8" s="146" t="s">
        <v>231</v>
      </c>
      <c r="D8" s="77" t="s">
        <v>236</v>
      </c>
      <c r="E8" s="71">
        <v>0</v>
      </c>
      <c r="F8" s="72">
        <v>0</v>
      </c>
      <c r="G8" s="73">
        <f>I8*CMEF!$E$11</f>
        <v>135654.57922983749</v>
      </c>
      <c r="H8" s="73">
        <f t="shared" si="0"/>
        <v>135654.57922983749</v>
      </c>
      <c r="I8" s="73">
        <f>'Input data'!$C$9*1000</f>
        <v>164834.38649999999</v>
      </c>
    </row>
    <row r="9" spans="1:16">
      <c r="A9" s="78">
        <f>A8+1</f>
        <v>2024</v>
      </c>
      <c r="B9" s="76" t="s">
        <v>237</v>
      </c>
      <c r="C9" s="146" t="s">
        <v>231</v>
      </c>
      <c r="D9" s="77" t="s">
        <v>238</v>
      </c>
      <c r="E9" s="71">
        <v>0</v>
      </c>
      <c r="F9" s="72">
        <v>0</v>
      </c>
      <c r="G9" s="73">
        <f>I9*CMEF!$E$11</f>
        <v>135654.57922983749</v>
      </c>
      <c r="H9" s="73">
        <f t="shared" si="0"/>
        <v>135654.57922983749</v>
      </c>
      <c r="I9" s="73">
        <f>'Input data'!$C$9*1000</f>
        <v>164834.38649999999</v>
      </c>
    </row>
    <row r="10" spans="1:16">
      <c r="A10" s="78">
        <f>A9+1</f>
        <v>2025</v>
      </c>
      <c r="B10" s="76" t="s">
        <v>239</v>
      </c>
      <c r="C10" s="146" t="s">
        <v>231</v>
      </c>
      <c r="D10" s="77" t="s">
        <v>240</v>
      </c>
      <c r="E10" s="71">
        <v>0</v>
      </c>
      <c r="F10" s="72">
        <v>0</v>
      </c>
      <c r="G10" s="73">
        <f>I10*CMEF!$E$11</f>
        <v>135654.57922983749</v>
      </c>
      <c r="H10" s="73">
        <f t="shared" si="0"/>
        <v>135654.57922983749</v>
      </c>
      <c r="I10" s="73">
        <f>'Input data'!$C$9*1000</f>
        <v>164834.38649999999</v>
      </c>
    </row>
    <row r="11" spans="1:16">
      <c r="A11" s="78">
        <f>A10+1</f>
        <v>2026</v>
      </c>
      <c r="B11" s="76" t="s">
        <v>241</v>
      </c>
      <c r="C11" s="146" t="s">
        <v>231</v>
      </c>
      <c r="D11" s="77" t="s">
        <v>242</v>
      </c>
      <c r="E11" s="71">
        <v>0</v>
      </c>
      <c r="F11" s="72">
        <v>0</v>
      </c>
      <c r="G11" s="73">
        <f>I11*CMEF!$E$11</f>
        <v>124350.03096068437</v>
      </c>
      <c r="H11" s="73">
        <f t="shared" si="0"/>
        <v>124350.03096068437</v>
      </c>
      <c r="I11" s="73">
        <f>'Input data'!$C$9*1000-I6</f>
        <v>151098.18762499999</v>
      </c>
      <c r="J11" s="140"/>
    </row>
    <row r="12" spans="1:16">
      <c r="A12" s="362" t="s">
        <v>22</v>
      </c>
      <c r="B12" s="363"/>
      <c r="C12" s="363"/>
      <c r="D12" s="364"/>
      <c r="E12" s="79">
        <f>ROUNDUP(SUM(E6:E11),0)</f>
        <v>0</v>
      </c>
      <c r="F12" s="79">
        <f>SUM(F6:F11)</f>
        <v>0</v>
      </c>
      <c r="G12" s="74">
        <f>SUM(G6:G11)</f>
        <v>678272.89614918758</v>
      </c>
      <c r="H12" s="74">
        <f>SUM(H6:H11)</f>
        <v>678272.89614918758</v>
      </c>
      <c r="I12" s="74">
        <f>SUM(I6:I11)</f>
        <v>824171.9325</v>
      </c>
    </row>
    <row r="13" spans="1:16">
      <c r="A13" s="362" t="s">
        <v>31</v>
      </c>
      <c r="B13" s="363"/>
      <c r="C13" s="363"/>
      <c r="D13" s="364"/>
      <c r="E13" s="74">
        <f>E12/7</f>
        <v>0</v>
      </c>
      <c r="F13" s="74">
        <f>F12/7</f>
        <v>0</v>
      </c>
      <c r="G13" s="74">
        <f>G12/5</f>
        <v>135654.57922983752</v>
      </c>
      <c r="H13" s="188">
        <f>H12/5</f>
        <v>135654.57922983752</v>
      </c>
      <c r="I13" s="74">
        <f>I12/5</f>
        <v>164834.38649999999</v>
      </c>
    </row>
    <row r="21" spans="1:9" ht="16">
      <c r="A21" s="289" t="s">
        <v>243</v>
      </c>
      <c r="B21" s="358" t="s">
        <v>244</v>
      </c>
      <c r="C21" s="359"/>
      <c r="D21" s="359"/>
      <c r="E21" s="359"/>
      <c r="F21" s="359"/>
      <c r="G21" s="359"/>
      <c r="H21" s="359"/>
    </row>
    <row r="22" spans="1:9" ht="14">
      <c r="B22" s="360" t="s">
        <v>245</v>
      </c>
      <c r="C22" s="360" t="s">
        <v>246</v>
      </c>
      <c r="D22" s="360"/>
      <c r="E22" s="360" t="s">
        <v>247</v>
      </c>
      <c r="F22" s="360"/>
      <c r="G22" s="361" t="s">
        <v>248</v>
      </c>
      <c r="H22" s="360" t="s">
        <v>249</v>
      </c>
    </row>
    <row r="23" spans="1:9" ht="14">
      <c r="B23" s="360"/>
      <c r="C23" s="290" t="s">
        <v>250</v>
      </c>
      <c r="D23" s="290" t="s">
        <v>251</v>
      </c>
      <c r="E23" s="290" t="s">
        <v>250</v>
      </c>
      <c r="F23" s="290" t="s">
        <v>251</v>
      </c>
      <c r="G23" s="360"/>
      <c r="H23" s="360"/>
    </row>
    <row r="24" spans="1:9" ht="16">
      <c r="A24" s="289" t="s">
        <v>225</v>
      </c>
      <c r="B24" s="291">
        <v>44470</v>
      </c>
      <c r="C24" s="292">
        <v>4237276</v>
      </c>
      <c r="D24" s="293">
        <f>C24/1000</f>
        <v>4237.2759999999998</v>
      </c>
      <c r="E24" s="293">
        <v>24203</v>
      </c>
      <c r="F24" s="294">
        <f>E24/1000</f>
        <v>24.202999999999999</v>
      </c>
      <c r="G24" s="295">
        <f>D24-F24</f>
        <v>4213.0729999999994</v>
      </c>
      <c r="H24" s="296">
        <f>G24*CMEF!$E$11</f>
        <v>3467.2537521749996</v>
      </c>
      <c r="I24" t="s">
        <v>252</v>
      </c>
    </row>
    <row r="25" spans="1:9" ht="16">
      <c r="B25" s="297">
        <v>44501</v>
      </c>
      <c r="C25" s="298">
        <v>26780600</v>
      </c>
      <c r="D25" s="299">
        <f t="shared" ref="D25:D38" si="1">C25/1000</f>
        <v>26780.6</v>
      </c>
      <c r="E25" s="293">
        <v>1268</v>
      </c>
      <c r="F25" s="294">
        <f t="shared" ref="F25:F38" si="2">E25/1000</f>
        <v>1.268</v>
      </c>
      <c r="G25" s="295">
        <f t="shared" ref="G25:G41" si="3">D25-F25</f>
        <v>26779.331999999999</v>
      </c>
      <c r="H25" s="296">
        <f>G25*CMEF!$E$11</f>
        <v>22038.720752699999</v>
      </c>
      <c r="I25" t="s">
        <v>252</v>
      </c>
    </row>
    <row r="26" spans="1:9" ht="17" thickBot="1">
      <c r="B26" s="300">
        <v>44531</v>
      </c>
      <c r="C26" s="301">
        <v>28930580</v>
      </c>
      <c r="D26" s="302">
        <f t="shared" si="1"/>
        <v>28930.58</v>
      </c>
      <c r="E26" s="302">
        <v>5691</v>
      </c>
      <c r="F26" s="303">
        <f t="shared" si="2"/>
        <v>5.6909999999999998</v>
      </c>
      <c r="G26" s="304">
        <f t="shared" si="3"/>
        <v>28924.889000000003</v>
      </c>
      <c r="H26" s="305">
        <f>G26*CMEF!$E$11</f>
        <v>23804.460524775004</v>
      </c>
      <c r="I26" s="306" t="s">
        <v>253</v>
      </c>
    </row>
    <row r="27" spans="1:9" ht="16">
      <c r="B27" s="307">
        <v>44562</v>
      </c>
      <c r="C27" s="308">
        <v>27816828</v>
      </c>
      <c r="D27" s="309">
        <f t="shared" si="1"/>
        <v>27816.828000000001</v>
      </c>
      <c r="E27" s="309">
        <v>8214</v>
      </c>
      <c r="F27" s="310">
        <f t="shared" si="2"/>
        <v>8.2140000000000004</v>
      </c>
      <c r="G27" s="311">
        <f t="shared" si="3"/>
        <v>27808.614000000001</v>
      </c>
      <c r="H27" s="312">
        <f>G27*CMEF!$E$11</f>
        <v>22885.794106650003</v>
      </c>
    </row>
    <row r="28" spans="1:9" ht="16">
      <c r="B28" s="313">
        <v>44593</v>
      </c>
      <c r="C28" s="314">
        <v>25762037</v>
      </c>
      <c r="D28" s="315">
        <f t="shared" si="1"/>
        <v>25762.037</v>
      </c>
      <c r="E28" s="309">
        <v>1567</v>
      </c>
      <c r="F28" s="310">
        <f t="shared" si="2"/>
        <v>1.5669999999999999</v>
      </c>
      <c r="G28" s="316">
        <f t="shared" si="3"/>
        <v>25760.47</v>
      </c>
      <c r="H28" s="317">
        <f>G28*CMEF!$E$11</f>
        <v>21200.222798250001</v>
      </c>
    </row>
    <row r="29" spans="1:9" ht="16">
      <c r="B29" s="313">
        <v>44621</v>
      </c>
      <c r="C29" s="314">
        <v>18153039</v>
      </c>
      <c r="D29" s="315">
        <f t="shared" si="1"/>
        <v>18153.039000000001</v>
      </c>
      <c r="E29" s="309">
        <v>29853</v>
      </c>
      <c r="F29" s="310">
        <f t="shared" si="2"/>
        <v>29.853000000000002</v>
      </c>
      <c r="G29" s="316">
        <f t="shared" si="3"/>
        <v>18123.186000000002</v>
      </c>
      <c r="H29" s="317">
        <f>G29*CMEF!$E$11</f>
        <v>14914.928998350002</v>
      </c>
    </row>
    <row r="30" spans="1:9" ht="16">
      <c r="B30" s="313">
        <v>44652</v>
      </c>
      <c r="C30" s="314">
        <v>17104554</v>
      </c>
      <c r="D30" s="315">
        <f t="shared" si="1"/>
        <v>17104.554</v>
      </c>
      <c r="E30" s="309">
        <v>28293</v>
      </c>
      <c r="F30" s="310">
        <f t="shared" si="2"/>
        <v>28.292999999999999</v>
      </c>
      <c r="G30" s="316">
        <f t="shared" si="3"/>
        <v>17076.260999999999</v>
      </c>
      <c r="H30" s="317">
        <f>G30*CMEF!$E$11</f>
        <v>14053.335896474999</v>
      </c>
    </row>
    <row r="31" spans="1:9" ht="16">
      <c r="B31" s="313">
        <v>44682</v>
      </c>
      <c r="C31" s="314">
        <v>7355067</v>
      </c>
      <c r="D31" s="315">
        <f t="shared" si="1"/>
        <v>7355.067</v>
      </c>
      <c r="E31" s="309">
        <v>40066</v>
      </c>
      <c r="F31" s="310">
        <f t="shared" si="2"/>
        <v>40.066000000000003</v>
      </c>
      <c r="G31" s="316">
        <f t="shared" si="3"/>
        <v>7315.0010000000002</v>
      </c>
      <c r="H31" s="317">
        <f>G31*CMEF!$E$11</f>
        <v>6020.0629479750005</v>
      </c>
    </row>
    <row r="32" spans="1:9" ht="16">
      <c r="B32" s="313">
        <v>44713</v>
      </c>
      <c r="C32" s="314">
        <v>3439054</v>
      </c>
      <c r="D32" s="315">
        <f t="shared" si="1"/>
        <v>3439.0540000000001</v>
      </c>
      <c r="E32" s="309">
        <v>42524</v>
      </c>
      <c r="F32" s="310">
        <f t="shared" si="2"/>
        <v>42.524000000000001</v>
      </c>
      <c r="G32" s="316">
        <f t="shared" si="3"/>
        <v>3396.53</v>
      </c>
      <c r="H32" s="317">
        <f>G32*CMEF!$E$11</f>
        <v>2795.25927675</v>
      </c>
    </row>
    <row r="33" spans="2:8" ht="16">
      <c r="B33" s="313">
        <v>44743</v>
      </c>
      <c r="C33" s="314">
        <v>4714834</v>
      </c>
      <c r="D33" s="315">
        <f t="shared" si="1"/>
        <v>4714.8339999999998</v>
      </c>
      <c r="E33" s="309">
        <v>37754</v>
      </c>
      <c r="F33" s="310">
        <f t="shared" si="2"/>
        <v>37.753999999999998</v>
      </c>
      <c r="G33" s="316">
        <f t="shared" si="3"/>
        <v>4677.08</v>
      </c>
      <c r="H33" s="317">
        <f>G33*CMEF!$E$11</f>
        <v>3849.119913</v>
      </c>
    </row>
    <row r="34" spans="2:8" ht="16">
      <c r="B34" s="313">
        <v>44774</v>
      </c>
      <c r="C34" s="314">
        <v>5490534</v>
      </c>
      <c r="D34" s="315">
        <f t="shared" si="1"/>
        <v>5490.5339999999997</v>
      </c>
      <c r="E34" s="309">
        <v>33751</v>
      </c>
      <c r="F34" s="310">
        <f t="shared" si="2"/>
        <v>33.750999999999998</v>
      </c>
      <c r="G34" s="316">
        <f t="shared" si="3"/>
        <v>5456.7829999999994</v>
      </c>
      <c r="H34" s="317">
        <f>G34*CMEF!$E$11</f>
        <v>4490.7959894249998</v>
      </c>
    </row>
    <row r="35" spans="2:8" ht="16">
      <c r="B35" s="313">
        <v>44805</v>
      </c>
      <c r="C35" s="318">
        <v>3879444</v>
      </c>
      <c r="D35" s="319">
        <f t="shared" si="1"/>
        <v>3879.444</v>
      </c>
      <c r="E35" s="320">
        <v>75097</v>
      </c>
      <c r="F35" s="321">
        <f t="shared" si="2"/>
        <v>75.096999999999994</v>
      </c>
      <c r="G35" s="322">
        <f t="shared" si="3"/>
        <v>3804.3469999999998</v>
      </c>
      <c r="H35" s="317">
        <f>G35*CMEF!$E$11</f>
        <v>3130.882472325</v>
      </c>
    </row>
    <row r="36" spans="2:8" ht="16">
      <c r="B36" s="313">
        <v>44835</v>
      </c>
      <c r="C36" s="314">
        <v>11261814</v>
      </c>
      <c r="D36" s="315">
        <f t="shared" si="1"/>
        <v>11261.814</v>
      </c>
      <c r="E36" s="309">
        <v>29851</v>
      </c>
      <c r="F36" s="310">
        <f t="shared" si="2"/>
        <v>29.850999999999999</v>
      </c>
      <c r="G36" s="316">
        <f t="shared" si="3"/>
        <v>11231.963</v>
      </c>
      <c r="H36" s="317">
        <f>G36*CMEF!$E$11</f>
        <v>9243.6247499250003</v>
      </c>
    </row>
    <row r="37" spans="2:8" ht="16">
      <c r="B37" s="313">
        <v>44866</v>
      </c>
      <c r="C37" s="314">
        <v>21114863</v>
      </c>
      <c r="D37" s="315">
        <f t="shared" si="1"/>
        <v>21114.863000000001</v>
      </c>
      <c r="E37" s="309">
        <v>6449</v>
      </c>
      <c r="F37" s="310">
        <f t="shared" si="2"/>
        <v>6.4489999999999998</v>
      </c>
      <c r="G37" s="316">
        <f t="shared" si="3"/>
        <v>21108.414000000001</v>
      </c>
      <c r="H37" s="317">
        <f>G37*CMEF!$E$11</f>
        <v>17371.697011650002</v>
      </c>
    </row>
    <row r="38" spans="2:8" ht="16">
      <c r="B38" s="313">
        <v>44896</v>
      </c>
      <c r="C38" s="314">
        <v>33218722</v>
      </c>
      <c r="D38" s="315">
        <f t="shared" si="1"/>
        <v>33218.722000000002</v>
      </c>
      <c r="E38" s="315">
        <v>0</v>
      </c>
      <c r="F38" s="328">
        <f t="shared" si="2"/>
        <v>0</v>
      </c>
      <c r="G38" s="316">
        <f t="shared" si="3"/>
        <v>33218.722000000002</v>
      </c>
      <c r="H38" s="317">
        <f>G38*CMEF!$E$11</f>
        <v>27338.177737950002</v>
      </c>
    </row>
    <row r="39" spans="2:8" ht="16">
      <c r="B39" s="323" t="s">
        <v>22</v>
      </c>
      <c r="C39" s="324">
        <f>SUM(C26:C38)</f>
        <v>208241370</v>
      </c>
      <c r="D39" s="324">
        <f>SUM(D26:D38)</f>
        <v>208241.37000000002</v>
      </c>
      <c r="E39" s="324">
        <f>SUM(E26:E38)</f>
        <v>339110</v>
      </c>
      <c r="F39" s="325">
        <f>SUM(F26:F38)</f>
        <v>339.11</v>
      </c>
      <c r="G39" s="326">
        <f>SUM(G26:G38)</f>
        <v>207902.25999999998</v>
      </c>
      <c r="H39" s="326">
        <f>G39*CMEF!$E$11</f>
        <v>171098.36242349999</v>
      </c>
    </row>
    <row r="40" spans="2:8">
      <c r="B40" s="327" t="s">
        <v>254</v>
      </c>
      <c r="C40" s="315">
        <f>SUM(C26)</f>
        <v>28930580</v>
      </c>
      <c r="D40" s="315">
        <f>SUM(D26)</f>
        <v>28930.58</v>
      </c>
      <c r="E40" s="315">
        <f>SUM(E26)</f>
        <v>5691</v>
      </c>
      <c r="F40" s="328">
        <f>SUM(F26)</f>
        <v>5.6909999999999998</v>
      </c>
      <c r="G40" s="316">
        <f t="shared" si="3"/>
        <v>28924.889000000003</v>
      </c>
      <c r="H40" s="317">
        <f>G40*CMEF!$E$11</f>
        <v>23804.460524775004</v>
      </c>
    </row>
    <row r="41" spans="2:8">
      <c r="B41" s="329" t="s">
        <v>255</v>
      </c>
      <c r="C41" s="315">
        <f>SUM(C27:C38)</f>
        <v>179310790</v>
      </c>
      <c r="D41" s="315">
        <f>SUM(D27:D38)</f>
        <v>179310.79000000004</v>
      </c>
      <c r="E41" s="315">
        <f>SUM(E27:E38)</f>
        <v>333419</v>
      </c>
      <c r="F41" s="328">
        <f>SUM(F27:F38)</f>
        <v>333.41899999999998</v>
      </c>
      <c r="G41" s="330">
        <f t="shared" si="3"/>
        <v>178977.37100000004</v>
      </c>
      <c r="H41" s="330">
        <f>G41*CMEF!$E$11</f>
        <v>147293.90189872505</v>
      </c>
    </row>
  </sheetData>
  <mergeCells count="12">
    <mergeCell ref="A13:D13"/>
    <mergeCell ref="A12:D12"/>
    <mergeCell ref="A4:D4"/>
    <mergeCell ref="A1:H1"/>
    <mergeCell ref="I4:I5"/>
    <mergeCell ref="E3:I3"/>
    <mergeCell ref="B21:H21"/>
    <mergeCell ref="B22:B23"/>
    <mergeCell ref="C22:D22"/>
    <mergeCell ref="E22:F22"/>
    <mergeCell ref="G22:G23"/>
    <mergeCell ref="H22:H23"/>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B2:G19"/>
  <sheetViews>
    <sheetView showGridLines="0" zoomScale="70" zoomScaleNormal="70" workbookViewId="0">
      <selection activeCell="B35" sqref="B35"/>
    </sheetView>
  </sheetViews>
  <sheetFormatPr baseColWidth="10" defaultColWidth="9.1640625" defaultRowHeight="16"/>
  <cols>
    <col min="1" max="1" width="3.83203125" style="101" customWidth="1"/>
    <col min="2" max="2" width="76.6640625" style="101" customWidth="1"/>
    <col min="3" max="5" width="25.5" style="101" customWidth="1"/>
    <col min="6" max="6" width="77.1640625" style="101" customWidth="1"/>
    <col min="7" max="7" width="27.5" style="101" customWidth="1"/>
    <col min="8" max="16384" width="9.1640625" style="101"/>
  </cols>
  <sheetData>
    <row r="2" spans="2:7" ht="30">
      <c r="B2" s="372" t="s">
        <v>143</v>
      </c>
      <c r="C2" s="373"/>
      <c r="D2" s="373"/>
      <c r="E2" s="373"/>
      <c r="F2" s="373"/>
    </row>
    <row r="4" spans="2:7">
      <c r="B4" s="374" t="s">
        <v>163</v>
      </c>
      <c r="C4" s="375"/>
      <c r="D4" s="375"/>
      <c r="E4" s="375"/>
      <c r="F4" s="375"/>
    </row>
    <row r="5" spans="2:7">
      <c r="E5" s="102"/>
    </row>
    <row r="6" spans="2:7">
      <c r="B6" s="103" t="s">
        <v>67</v>
      </c>
      <c r="C6" s="103" t="s">
        <v>20</v>
      </c>
      <c r="D6" s="103" t="s">
        <v>40</v>
      </c>
      <c r="E6" s="104" t="s">
        <v>39</v>
      </c>
      <c r="F6" s="104" t="s">
        <v>68</v>
      </c>
    </row>
    <row r="7" spans="2:7" ht="51">
      <c r="B7" s="105" t="s">
        <v>165</v>
      </c>
      <c r="C7" s="106" t="s">
        <v>69</v>
      </c>
      <c r="D7" s="107" t="s">
        <v>70</v>
      </c>
      <c r="E7" s="169">
        <v>0.5202</v>
      </c>
      <c r="F7" s="108" t="s">
        <v>201</v>
      </c>
    </row>
    <row r="8" spans="2:7" ht="51">
      <c r="B8" s="105" t="s">
        <v>166</v>
      </c>
      <c r="C8" s="106" t="s">
        <v>71</v>
      </c>
      <c r="D8" s="107" t="s">
        <v>70</v>
      </c>
      <c r="E8" s="169">
        <v>0.92390000000000005</v>
      </c>
      <c r="F8" s="108" t="s">
        <v>200</v>
      </c>
      <c r="G8" s="109"/>
    </row>
    <row r="9" spans="2:7" ht="17">
      <c r="B9" s="105" t="s">
        <v>72</v>
      </c>
      <c r="C9" s="107" t="s">
        <v>73</v>
      </c>
      <c r="D9" s="107"/>
      <c r="E9" s="170">
        <v>0.25</v>
      </c>
      <c r="F9" s="110" t="s">
        <v>74</v>
      </c>
      <c r="G9" s="109"/>
    </row>
    <row r="10" spans="2:7" ht="17">
      <c r="B10" s="105" t="s">
        <v>75</v>
      </c>
      <c r="C10" s="107" t="s">
        <v>76</v>
      </c>
      <c r="D10" s="107"/>
      <c r="E10" s="170">
        <v>0.75</v>
      </c>
      <c r="F10" s="110" t="s">
        <v>74</v>
      </c>
      <c r="G10" s="109"/>
    </row>
    <row r="11" spans="2:7" ht="18">
      <c r="B11" s="111" t="s">
        <v>167</v>
      </c>
      <c r="C11" s="112" t="s">
        <v>77</v>
      </c>
      <c r="D11" s="103" t="s">
        <v>78</v>
      </c>
      <c r="E11" s="171">
        <f>E7*E9+E8*E10</f>
        <v>0.82297500000000001</v>
      </c>
      <c r="F11" s="113" t="s">
        <v>45</v>
      </c>
    </row>
    <row r="13" spans="2:7">
      <c r="D13" s="114"/>
      <c r="E13" s="115"/>
    </row>
    <row r="14" spans="2:7" ht="109.75" customHeight="1">
      <c r="B14" s="165"/>
      <c r="C14" s="376"/>
      <c r="D14" s="376"/>
      <c r="E14" s="376"/>
      <c r="F14" s="376"/>
    </row>
    <row r="19" spans="5:6">
      <c r="E19" s="117"/>
      <c r="F19" s="117"/>
    </row>
  </sheetData>
  <mergeCells count="3">
    <mergeCell ref="B2:F2"/>
    <mergeCell ref="B4:F4"/>
    <mergeCell ref="C14:F14"/>
  </mergeCells>
  <pageMargins left="0.7" right="0.7" top="0.75" bottom="0.75" header="0.3" footer="0.3"/>
  <pageSetup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5"/>
  <sheetViews>
    <sheetView workbookViewId="0">
      <selection activeCell="C13" sqref="C13"/>
    </sheetView>
  </sheetViews>
  <sheetFormatPr baseColWidth="10" defaultColWidth="11.1640625" defaultRowHeight="13"/>
  <cols>
    <col min="1" max="1" width="11.1640625" style="173"/>
    <col min="2" max="2" width="48.6640625" style="173" customWidth="1"/>
    <col min="3" max="3" width="74.5" style="173" customWidth="1"/>
    <col min="4" max="4" width="18" style="173" customWidth="1"/>
    <col min="5" max="5" width="49.33203125" style="173" customWidth="1"/>
    <col min="6" max="6" width="11.5" style="173" customWidth="1"/>
    <col min="7" max="16384" width="11.1640625" style="173"/>
  </cols>
  <sheetData>
    <row r="1" spans="1:6">
      <c r="A1" s="172"/>
    </row>
    <row r="2" spans="1:6" ht="28" customHeight="1">
      <c r="A2" s="377" t="s">
        <v>170</v>
      </c>
      <c r="B2" s="377"/>
      <c r="C2" s="377"/>
      <c r="D2" s="377"/>
      <c r="E2" s="377"/>
      <c r="F2" s="377"/>
    </row>
    <row r="3" spans="1:6">
      <c r="A3" s="174"/>
      <c r="B3" s="165"/>
      <c r="C3" s="165"/>
      <c r="D3" s="165"/>
      <c r="E3" s="165"/>
      <c r="F3" s="165"/>
    </row>
    <row r="4" spans="1:6" ht="35" customHeight="1">
      <c r="A4" s="378"/>
      <c r="B4" s="379"/>
      <c r="C4" s="379"/>
      <c r="D4" s="379"/>
      <c r="E4" s="380"/>
      <c r="F4" s="175" t="s">
        <v>171</v>
      </c>
    </row>
    <row r="5" spans="1:6" ht="35" customHeight="1">
      <c r="A5" s="176">
        <v>1</v>
      </c>
      <c r="B5" s="177" t="s">
        <v>172</v>
      </c>
      <c r="C5" s="178" t="s">
        <v>173</v>
      </c>
      <c r="D5" s="176" t="s">
        <v>174</v>
      </c>
      <c r="E5" s="179"/>
      <c r="F5" s="180"/>
    </row>
    <row r="6" spans="1:6" ht="35" customHeight="1">
      <c r="A6" s="176">
        <f t="shared" ref="A6:A15" si="0">A5+1</f>
        <v>2</v>
      </c>
      <c r="B6" s="182" t="s">
        <v>175</v>
      </c>
      <c r="C6" s="178" t="s">
        <v>164</v>
      </c>
      <c r="D6" s="181">
        <v>0.82299999999999995</v>
      </c>
      <c r="E6" s="179"/>
      <c r="F6" s="180"/>
    </row>
    <row r="7" spans="1:6" ht="35" customHeight="1">
      <c r="A7" s="176">
        <f t="shared" si="0"/>
        <v>3</v>
      </c>
      <c r="B7" s="177" t="s">
        <v>176</v>
      </c>
      <c r="C7" s="178" t="s">
        <v>177</v>
      </c>
      <c r="D7" s="179"/>
      <c r="E7" s="179"/>
      <c r="F7" s="180"/>
    </row>
    <row r="8" spans="1:6" ht="35" customHeight="1">
      <c r="A8" s="176">
        <f t="shared" si="0"/>
        <v>4</v>
      </c>
      <c r="B8" s="182" t="s">
        <v>178</v>
      </c>
      <c r="C8" s="178" t="s">
        <v>144</v>
      </c>
      <c r="D8" s="179"/>
      <c r="E8" s="179"/>
      <c r="F8" s="180"/>
    </row>
    <row r="9" spans="1:6" ht="35" customHeight="1">
      <c r="A9" s="176">
        <f t="shared" si="0"/>
        <v>5</v>
      </c>
      <c r="B9" s="182" t="s">
        <v>179</v>
      </c>
      <c r="C9" s="178" t="s">
        <v>180</v>
      </c>
      <c r="D9" s="179"/>
      <c r="E9" s="179"/>
      <c r="F9" s="180"/>
    </row>
    <row r="10" spans="1:6" ht="35" customHeight="1">
      <c r="A10" s="176">
        <f t="shared" si="0"/>
        <v>6</v>
      </c>
      <c r="B10" s="177" t="s">
        <v>181</v>
      </c>
      <c r="C10" s="178" t="s">
        <v>182</v>
      </c>
      <c r="D10" s="179"/>
      <c r="E10" s="179"/>
      <c r="F10" s="180"/>
    </row>
    <row r="11" spans="1:6" ht="121" customHeight="1">
      <c r="A11" s="176">
        <f t="shared" si="0"/>
        <v>7</v>
      </c>
      <c r="B11" s="182" t="s">
        <v>183</v>
      </c>
      <c r="C11" s="178" t="s">
        <v>184</v>
      </c>
      <c r="D11" s="179"/>
      <c r="E11" s="183" t="s">
        <v>185</v>
      </c>
      <c r="F11" s="180"/>
    </row>
    <row r="12" spans="1:6" ht="90">
      <c r="A12" s="176">
        <f t="shared" si="0"/>
        <v>8</v>
      </c>
      <c r="B12" s="179" t="s">
        <v>186</v>
      </c>
      <c r="C12" s="184" t="s">
        <v>187</v>
      </c>
      <c r="D12" s="185">
        <v>0.11</v>
      </c>
      <c r="E12" s="186" t="s">
        <v>188</v>
      </c>
      <c r="F12" s="180"/>
    </row>
    <row r="13" spans="1:6" ht="56">
      <c r="A13" s="176">
        <f t="shared" si="0"/>
        <v>9</v>
      </c>
      <c r="B13" s="182" t="s">
        <v>189</v>
      </c>
      <c r="C13" s="96" t="s">
        <v>190</v>
      </c>
      <c r="D13" s="187" t="s">
        <v>191</v>
      </c>
      <c r="E13" s="182" t="s">
        <v>192</v>
      </c>
      <c r="F13" s="180"/>
    </row>
    <row r="14" spans="1:6" ht="14">
      <c r="A14" s="176">
        <f t="shared" si="0"/>
        <v>10</v>
      </c>
      <c r="B14" s="182" t="s">
        <v>193</v>
      </c>
      <c r="C14" s="178" t="s">
        <v>194</v>
      </c>
      <c r="D14" s="233" t="s">
        <v>206</v>
      </c>
      <c r="E14" s="182" t="s">
        <v>195</v>
      </c>
      <c r="F14" s="180"/>
    </row>
    <row r="15" spans="1:6" ht="42">
      <c r="A15" s="176">
        <f t="shared" si="0"/>
        <v>11</v>
      </c>
      <c r="B15" s="177" t="s">
        <v>196</v>
      </c>
      <c r="C15" s="178" t="s">
        <v>197</v>
      </c>
      <c r="D15" s="187" t="s">
        <v>198</v>
      </c>
      <c r="E15" s="182" t="s">
        <v>199</v>
      </c>
      <c r="F15" s="180"/>
    </row>
  </sheetData>
  <mergeCells count="2">
    <mergeCell ref="A2:F2"/>
    <mergeCell ref="A4:E4"/>
  </mergeCells>
  <hyperlinks>
    <hyperlink ref="C12" r:id="rId1"/>
    <hyperlink ref="C13" r:id="rId2"/>
    <hyperlink ref="C15" r:id="rId3" location=":~:text=Insurance.,per%20year%20for%20each%20turbine" display="https://www.windustry.org/community_wind_toolbox_8_costs - :~:text=Insurance.,per%20year%20for%20each%20turbine"/>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8</vt:i4>
      </vt:variant>
      <vt:variant>
        <vt:lpstr>Named Ranges</vt:lpstr>
      </vt:variant>
      <vt:variant>
        <vt:i4>25</vt:i4>
      </vt:variant>
    </vt:vector>
  </HeadingPairs>
  <TitlesOfParts>
    <vt:vector size="33" baseType="lpstr">
      <vt:lpstr>SDG summary</vt:lpstr>
      <vt:lpstr>Input data</vt:lpstr>
      <vt:lpstr>IRR</vt:lpstr>
      <vt:lpstr>Interest and tax calculation</vt:lpstr>
      <vt:lpstr>Sensitivity_Benchmark</vt:lpstr>
      <vt:lpstr>ER</vt:lpstr>
      <vt:lpstr>CMEF</vt:lpstr>
      <vt:lpstr>REFs</vt:lpstr>
      <vt:lpstr>Capacity</vt:lpstr>
      <vt:lpstr>Constr_period</vt:lpstr>
      <vt:lpstr>Electricity_price</vt:lpstr>
      <vt:lpstr>ElectricPrice4Sensitive</vt:lpstr>
      <vt:lpstr>Emission_factor</vt:lpstr>
      <vt:lpstr>EXR</vt:lpstr>
      <vt:lpstr>Gross_capacity</vt:lpstr>
      <vt:lpstr>Gross_output</vt:lpstr>
      <vt:lpstr>InvDown2</vt:lpstr>
      <vt:lpstr>Invest_cost</vt:lpstr>
      <vt:lpstr>InvRed2</vt:lpstr>
      <vt:lpstr>Life_time</vt:lpstr>
      <vt:lpstr>Local_loan_rate</vt:lpstr>
      <vt:lpstr>NetOutput4Sensitive</vt:lpstr>
      <vt:lpstr>Operating_cost</vt:lpstr>
      <vt:lpstr>Para_loss_load</vt:lpstr>
      <vt:lpstr>Power_density</vt:lpstr>
      <vt:lpstr>'Input data'!Print_Area</vt:lpstr>
      <vt:lpstr>Resources_fee</vt:lpstr>
      <vt:lpstr>TarInc2</vt:lpstr>
      <vt:lpstr>TarUp2</vt:lpstr>
      <vt:lpstr>TEIncr2</vt:lpstr>
      <vt:lpstr>TEUp2</vt:lpstr>
      <vt:lpstr>TotalCost4Sensitive</vt:lpstr>
      <vt:lpstr>WACC</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Hoang Thanh Ha</dc:creator>
  <cp:lastModifiedBy>Thanh Ho</cp:lastModifiedBy>
  <cp:lastPrinted>2011-10-31T03:05:00Z</cp:lastPrinted>
  <dcterms:created xsi:type="dcterms:W3CDTF">2011-10-30T02:45:00Z</dcterms:created>
  <dcterms:modified xsi:type="dcterms:W3CDTF">2023-12-27T03:00:22Z</dcterms:modified>
</cp:coreProperties>
</file>