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9e19c247831edf1/Documentos/Paola/Anaconda Carbon/Panasolar/Monitoring Report 2023/Ampliación de Periodo de Monitoreo/FINAL DOCUMENTS MONITORING PERIOD/GS Rounds/"/>
    </mc:Choice>
  </mc:AlternateContent>
  <xr:revisionPtr revIDLastSave="32" documentId="13_ncr:1_{601C2B7C-9743-4400-BA9E-11E1C601704E}" xr6:coauthVersionLast="47" xr6:coauthVersionMax="47" xr10:uidLastSave="{1DCEF0E6-DD01-49EA-BA89-CCACA4CA7A00}"/>
  <bookViews>
    <workbookView xWindow="10245" yWindow="0" windowWidth="10245" windowHeight="10920" xr2:uid="{00000000-000D-0000-FFFF-FFFF00000000}"/>
  </bookViews>
  <sheets>
    <sheet name="Calculation Ex-Ante" sheetId="8" r:id="rId1"/>
    <sheet name="ER Calculation Summary" sheetId="6" r:id="rId2"/>
    <sheet name="ER Calculation 2019" sheetId="1" r:id="rId3"/>
    <sheet name="ER Calculation 2020" sheetId="2" r:id="rId4"/>
    <sheet name="ER Calculation 2021" sheetId="3" r:id="rId5"/>
    <sheet name="ER Calculation 2022" sheetId="4" r:id="rId6"/>
    <sheet name="ER Calculation 2023" sheetId="5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8" l="1"/>
  <c r="C15" i="8"/>
  <c r="C14" i="8"/>
  <c r="D14" i="8"/>
  <c r="D15" i="8"/>
  <c r="E15" i="8"/>
  <c r="F8" i="8"/>
  <c r="B21" i="6"/>
  <c r="F10" i="8"/>
  <c r="E17" i="5"/>
  <c r="D17" i="5"/>
  <c r="D26" i="5"/>
  <c r="D25" i="5"/>
  <c r="E17" i="4"/>
  <c r="E16" i="4"/>
  <c r="E15" i="4"/>
  <c r="D17" i="4"/>
  <c r="D16" i="4"/>
  <c r="D15" i="4"/>
  <c r="E26" i="3"/>
  <c r="E25" i="3"/>
  <c r="E24" i="3"/>
  <c r="E23" i="3"/>
  <c r="E22" i="3"/>
  <c r="E22" i="2"/>
  <c r="E20" i="2"/>
  <c r="D26" i="3"/>
  <c r="D25" i="3"/>
  <c r="D24" i="3"/>
  <c r="D23" i="3"/>
  <c r="D22" i="3"/>
  <c r="D21" i="3"/>
  <c r="D20" i="3"/>
  <c r="D19" i="3"/>
  <c r="D18" i="3"/>
  <c r="D17" i="3"/>
  <c r="D16" i="3"/>
  <c r="D15" i="3"/>
  <c r="D22" i="2"/>
  <c r="D21" i="2"/>
  <c r="E21" i="2" s="1"/>
  <c r="D20" i="2"/>
  <c r="D19" i="2"/>
  <c r="E19" i="2" s="1"/>
  <c r="D15" i="2"/>
  <c r="D17" i="1"/>
  <c r="D16" i="1"/>
  <c r="B17" i="5"/>
  <c r="B25" i="5"/>
  <c r="B26" i="5"/>
  <c r="B17" i="4"/>
  <c r="B16" i="4"/>
  <c r="B15" i="4"/>
  <c r="B26" i="3"/>
  <c r="B25" i="3"/>
  <c r="B24" i="3"/>
  <c r="B23" i="3"/>
  <c r="B22" i="3"/>
  <c r="B21" i="3"/>
  <c r="B20" i="3"/>
  <c r="B19" i="3"/>
  <c r="B18" i="3"/>
  <c r="B17" i="3"/>
  <c r="B16" i="3"/>
  <c r="B15" i="3"/>
  <c r="B27" i="3" s="1"/>
  <c r="B22" i="2"/>
  <c r="B21" i="2"/>
  <c r="B20" i="2"/>
  <c r="B19" i="2"/>
  <c r="B15" i="2"/>
  <c r="B27" i="2" s="1"/>
  <c r="B17" i="1"/>
  <c r="B22" i="6"/>
  <c r="B23" i="6"/>
  <c r="B11" i="6"/>
  <c r="B12" i="6"/>
  <c r="D27" i="4" l="1"/>
  <c r="B27" i="4"/>
  <c r="D27" i="3"/>
  <c r="D27" i="2"/>
  <c r="E25" i="5"/>
  <c r="C25" i="5"/>
  <c r="E21" i="3"/>
  <c r="E20" i="3"/>
  <c r="E19" i="3"/>
  <c r="E18" i="3"/>
  <c r="E17" i="3"/>
  <c r="E16" i="3"/>
  <c r="E15" i="3"/>
  <c r="C21" i="3"/>
  <c r="C20" i="3"/>
  <c r="C19" i="3"/>
  <c r="C18" i="3"/>
  <c r="C17" i="3"/>
  <c r="C16" i="3"/>
  <c r="C15" i="3"/>
  <c r="E15" i="2"/>
  <c r="C15" i="2"/>
  <c r="E16" i="1"/>
  <c r="C16" i="1"/>
  <c r="B5" i="5"/>
  <c r="B5" i="4"/>
  <c r="B5" i="3"/>
  <c r="B5" i="2"/>
  <c r="B5" i="1"/>
  <c r="E18" i="8" l="1"/>
  <c r="B13" i="6" s="1"/>
  <c r="D16" i="8"/>
  <c r="E16" i="8" s="1"/>
  <c r="D17" i="8"/>
  <c r="E17" i="8" s="1"/>
  <c r="D18" i="8"/>
  <c r="B20" i="6"/>
  <c r="D10" i="8"/>
  <c r="D8" i="8"/>
  <c r="B3" i="5"/>
  <c r="B3" i="4"/>
  <c r="B3" i="3"/>
  <c r="B3" i="1"/>
  <c r="B3" i="2"/>
  <c r="B24" i="6" l="1"/>
  <c r="D19" i="8"/>
  <c r="B25" i="6" s="1"/>
  <c r="E14" i="8"/>
  <c r="B9" i="6" s="1"/>
  <c r="E26" i="5"/>
  <c r="C26" i="5"/>
  <c r="E17" i="1"/>
  <c r="E27" i="2"/>
  <c r="C32" i="5"/>
  <c r="C17" i="5" s="1"/>
  <c r="C33" i="4"/>
  <c r="C33" i="3"/>
  <c r="C33" i="2"/>
  <c r="C23" i="1"/>
  <c r="C17" i="1" s="1"/>
  <c r="B10" i="6" l="1"/>
  <c r="E19" i="8"/>
  <c r="B14" i="6" s="1"/>
  <c r="C16" i="4"/>
  <c r="C15" i="4"/>
  <c r="C17" i="4"/>
  <c r="E27" i="4"/>
  <c r="E27" i="3"/>
  <c r="C22" i="3"/>
  <c r="C25" i="3"/>
  <c r="C24" i="3"/>
  <c r="C26" i="3"/>
  <c r="C23" i="3"/>
  <c r="C22" i="2"/>
  <c r="C21" i="2"/>
  <c r="C19" i="2"/>
  <c r="C20" i="2"/>
  <c r="B28" i="5"/>
  <c r="B19" i="1"/>
  <c r="C27" i="2" l="1"/>
  <c r="B29" i="2" s="1"/>
  <c r="B31" i="2" s="1"/>
  <c r="C20" i="6"/>
  <c r="C27" i="3"/>
  <c r="B29" i="3" s="1"/>
  <c r="C27" i="4"/>
  <c r="B29" i="4" s="1"/>
  <c r="B30" i="5"/>
  <c r="B9" i="5" s="1"/>
  <c r="C13" i="6" s="1"/>
  <c r="C24" i="6"/>
  <c r="B21" i="1"/>
  <c r="B9" i="1" s="1"/>
  <c r="C9" i="6" s="1"/>
  <c r="B31" i="4" l="1"/>
  <c r="B9" i="4" s="1"/>
  <c r="C12" i="6" s="1"/>
  <c r="C23" i="6"/>
  <c r="B31" i="3"/>
  <c r="B9" i="3" s="1"/>
  <c r="C11" i="6" s="1"/>
  <c r="C22" i="6"/>
  <c r="B9" i="2"/>
  <c r="C10" i="6" s="1"/>
  <c r="C21" i="6"/>
  <c r="C25" i="6" l="1"/>
  <c r="C14" i="6"/>
</calcChain>
</file>

<file path=xl/sharedStrings.xml><?xml version="1.0" encoding="utf-8"?>
<sst xmlns="http://schemas.openxmlformats.org/spreadsheetml/2006/main" count="151" uniqueCount="65">
  <si>
    <t>Project:</t>
  </si>
  <si>
    <t>Document date:</t>
  </si>
  <si>
    <t>Version:</t>
  </si>
  <si>
    <t>Emision Factor:</t>
  </si>
  <si>
    <t>Total ERs:</t>
  </si>
  <si>
    <t xml:space="preserve">Month </t>
  </si>
  <si>
    <t>Total Net Generation (MWh)</t>
  </si>
  <si>
    <t>ERs</t>
  </si>
  <si>
    <t>Net Electricity generated during the monitoring period:</t>
  </si>
  <si>
    <t>Total (MWh)</t>
  </si>
  <si>
    <t>MWh</t>
  </si>
  <si>
    <t>Decreased 0.025% due to late calibration</t>
  </si>
  <si>
    <t>Increased 0.025% due to late calibration</t>
  </si>
  <si>
    <t>VERs</t>
  </si>
  <si>
    <t>Export 
(MWh)</t>
  </si>
  <si>
    <t>Import 
(MWh)</t>
  </si>
  <si>
    <t>ERs 2019</t>
  </si>
  <si>
    <t>ERs 2020</t>
  </si>
  <si>
    <t>ERs 2021</t>
  </si>
  <si>
    <t>ERs 2022</t>
  </si>
  <si>
    <t>ERs 2023</t>
  </si>
  <si>
    <t>MWh 2019</t>
  </si>
  <si>
    <t>MWh 2020</t>
  </si>
  <si>
    <t>MWh 2021</t>
  </si>
  <si>
    <t>MWh 2022</t>
  </si>
  <si>
    <t>MWh 2023</t>
  </si>
  <si>
    <t>Total MWh:</t>
  </si>
  <si>
    <t>PANASOLAR PHOTOVOLTAIC PROJECT</t>
  </si>
  <si>
    <t>Yearly generation as per feasibility study:</t>
  </si>
  <si>
    <t xml:space="preserve"> MWh/year</t>
  </si>
  <si>
    <t>tCO2/MWh</t>
  </si>
  <si>
    <t>Grid emission factor:</t>
  </si>
  <si>
    <t>Yearly emission reduction:</t>
  </si>
  <si>
    <t>Monitoring Period:</t>
  </si>
  <si>
    <t>MWh/day</t>
  </si>
  <si>
    <t>Calculation Ex Ante Per Year</t>
  </si>
  <si>
    <t>Calculation Ex Ante Per Day</t>
  </si>
  <si>
    <t>DAYS</t>
  </si>
  <si>
    <t>MWh/Year</t>
  </si>
  <si>
    <t>CALCULATION EX ANTE FOR THE MONITORING PERIOD</t>
  </si>
  <si>
    <t>TOTAL</t>
  </si>
  <si>
    <t>SDG13 
Estimate for monitoring period</t>
  </si>
  <si>
    <t>SDG13
Actual value during monitoring period</t>
  </si>
  <si>
    <t>SDG7
Estimate for monitoring period</t>
  </si>
  <si>
    <t>SDG7
Actual value during monitoring period</t>
  </si>
  <si>
    <t>SDG13- Climate Action</t>
  </si>
  <si>
    <t>SDG 7- Ensure access to affordable, reliable, sustainable and modern energy for all</t>
  </si>
  <si>
    <t>SDG 8- Decent work and Economic Growth</t>
  </si>
  <si>
    <t>Number of employees</t>
  </si>
  <si>
    <t>Total Trainings</t>
  </si>
  <si>
    <t>Operation of Tank</t>
  </si>
  <si>
    <t>SDG8
Estimate for monitoring period</t>
  </si>
  <si>
    <t>SDG8
Actual value during monitoring period</t>
  </si>
  <si>
    <t>12 Full time local employees</t>
  </si>
  <si>
    <t>In Operation</t>
  </si>
  <si>
    <t>10 Trainings</t>
  </si>
  <si>
    <t>Approximately 80 houses connected to the Tank</t>
  </si>
  <si>
    <r>
      <t xml:space="preserve">RAW DATA
</t>
    </r>
    <r>
      <rPr>
        <b/>
        <sz val="8"/>
        <color theme="1"/>
        <rFont val="Arial"/>
        <family val="2"/>
      </rPr>
      <t xml:space="preserve">UTILITY ENTITY REPORT
</t>
    </r>
    <r>
      <rPr>
        <b/>
        <sz val="7"/>
        <color theme="1"/>
        <rFont val="Arial"/>
        <family val="2"/>
      </rPr>
      <t>(DTE-Column F)</t>
    </r>
    <r>
      <rPr>
        <b/>
        <sz val="8"/>
        <color theme="1"/>
        <rFont val="Arial"/>
        <family val="2"/>
      </rPr>
      <t xml:space="preserve">
</t>
    </r>
    <r>
      <rPr>
        <b/>
        <sz val="9"/>
        <color theme="1"/>
        <rFont val="Arial"/>
        <family val="2"/>
      </rPr>
      <t>(MWh)</t>
    </r>
  </si>
  <si>
    <r>
      <t xml:space="preserve">RAW DATA
</t>
    </r>
    <r>
      <rPr>
        <b/>
        <sz val="8"/>
        <color theme="1"/>
        <rFont val="Arial"/>
        <family val="2"/>
      </rPr>
      <t xml:space="preserve">UTILITY ENTITY REPORT
</t>
    </r>
    <r>
      <rPr>
        <b/>
        <sz val="7"/>
        <color theme="1"/>
        <rFont val="Arial"/>
        <family val="2"/>
      </rPr>
      <t>(DTE-Column E)</t>
    </r>
    <r>
      <rPr>
        <b/>
        <sz val="8"/>
        <color theme="1"/>
        <rFont val="Arial"/>
        <family val="2"/>
      </rPr>
      <t xml:space="preserve">
</t>
    </r>
    <r>
      <rPr>
        <b/>
        <sz val="9"/>
        <color theme="1"/>
        <rFont val="Arial"/>
        <family val="2"/>
      </rPr>
      <t>(MWh)</t>
    </r>
  </si>
  <si>
    <t>7 Full time local employees</t>
  </si>
  <si>
    <t>5 in Technical Project implementation aspect
5 in Safe and Healthy working conditions</t>
  </si>
  <si>
    <t>Emission Factor:</t>
  </si>
  <si>
    <t>Calculation Ex Ante Per Day for leap year</t>
  </si>
  <si>
    <r>
      <t xml:space="preserve">RAW DATA EXPORT
</t>
    </r>
    <r>
      <rPr>
        <b/>
        <sz val="8"/>
        <color theme="1"/>
        <rFont val="Arial"/>
        <family val="2"/>
      </rPr>
      <t xml:space="preserve">UTILITY ENTITY REPORT
</t>
    </r>
    <r>
      <rPr>
        <b/>
        <sz val="7"/>
        <color theme="1"/>
        <rFont val="Arial"/>
        <family val="2"/>
      </rPr>
      <t>(DTE-Column F)</t>
    </r>
    <r>
      <rPr>
        <b/>
        <sz val="8"/>
        <color theme="1"/>
        <rFont val="Arial"/>
        <family val="2"/>
      </rPr>
      <t xml:space="preserve">
</t>
    </r>
    <r>
      <rPr>
        <b/>
        <sz val="9"/>
        <color theme="1"/>
        <rFont val="Arial"/>
        <family val="2"/>
      </rPr>
      <t>(MWh)</t>
    </r>
  </si>
  <si>
    <r>
      <t xml:space="preserve">RAW DATA IMPORT
</t>
    </r>
    <r>
      <rPr>
        <b/>
        <sz val="8"/>
        <color theme="1"/>
        <rFont val="Arial"/>
        <family val="2"/>
      </rPr>
      <t>UTILITY ENTITY REPORT</t>
    </r>
    <r>
      <rPr>
        <b/>
        <sz val="9"/>
        <color theme="1"/>
        <rFont val="Arial"/>
        <family val="2"/>
      </rPr>
      <t xml:space="preserve">
</t>
    </r>
    <r>
      <rPr>
        <b/>
        <sz val="7"/>
        <color theme="1"/>
        <rFont val="Arial"/>
        <family val="2"/>
      </rPr>
      <t>(DTE-Column E)</t>
    </r>
    <r>
      <rPr>
        <b/>
        <sz val="9"/>
        <color theme="1"/>
        <rFont val="Arial"/>
        <family val="2"/>
      </rPr>
      <t xml:space="preserve">
(MWh)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</si>
</sst>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&quot;$&quot;#,##0.00;[Red]&quot;-&quot;&quot;$&quot;#,##0.00"/>
    <numFmt numFmtId="165" formatCode="#,##0;[Red]#,##0"/>
    <numFmt numFmtId="166" formatCode="[$-409]d\-mmm\-yyyy;@"/>
    <numFmt numFmtId="167" formatCode="[$-409]mmm\-yy;@"/>
    <numFmt numFmtId="168" formatCode="0.0000"/>
    <numFmt numFmtId="169" formatCode="#,##0.000"/>
    <numFmt numFmtId="170" formatCode="#,##0.0000"/>
    <numFmt numFmtId="171" formatCode="#,##0.00;[Red]#,##0.00"/>
  </numFmts>
  <fonts count="21">
    <font>
      <sz val="12"/>
      <color theme="1"/>
      <name val="Arial"/>
      <family val="2"/>
    </font>
    <font>
      <sz val="10"/>
      <color theme="1"/>
      <name val="Arial"/>
      <family val="2"/>
    </font>
    <font>
      <sz val="11"/>
      <color rgb="FF000000"/>
      <name val="Calibri"/>
      <family val="2"/>
    </font>
    <font>
      <b/>
      <i/>
      <sz val="16"/>
      <color theme="1"/>
      <name val="Arial"/>
      <family val="2"/>
    </font>
    <font>
      <b/>
      <i/>
      <u/>
      <sz val="12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1"/>
      <color rgb="FF00000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9"/>
      <name val="宋体"/>
      <family val="3"/>
      <charset val="134"/>
    </font>
    <font>
      <b/>
      <sz val="8"/>
      <color theme="1"/>
      <name val="Arial"/>
      <family val="2"/>
    </font>
    <font>
      <b/>
      <sz val="10"/>
      <color rgb="FF000000"/>
      <name val="Arial"/>
      <family val="2"/>
    </font>
    <font>
      <b/>
      <sz val="7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0CCCC"/>
        <bgColor rgb="FF00CCCC"/>
      </patternFill>
    </fill>
    <fill>
      <patternFill patternType="solid">
        <fgColor rgb="FFFFFF00"/>
        <bgColor rgb="FFFFFF00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1" fillId="0" borderId="0">
      <alignment wrapText="1"/>
    </xf>
    <xf numFmtId="0" fontId="4" fillId="0" borderId="0"/>
    <xf numFmtId="164" fontId="4" fillId="0" borderId="0"/>
  </cellStyleXfs>
  <cellXfs count="90">
    <xf numFmtId="0" fontId="0" fillId="0" borderId="0" xfId="0"/>
    <xf numFmtId="0" fontId="5" fillId="0" borderId="0" xfId="1" applyFont="1"/>
    <xf numFmtId="0" fontId="6" fillId="0" borderId="0" xfId="2" applyFont="1"/>
    <xf numFmtId="0" fontId="6" fillId="0" borderId="0" xfId="2" applyFont="1" applyAlignment="1">
      <alignment horizontal="left"/>
    </xf>
    <xf numFmtId="0" fontId="7" fillId="0" borderId="0" xfId="2" applyFont="1"/>
    <xf numFmtId="0" fontId="6" fillId="0" borderId="0" xfId="2" applyFont="1" applyAlignment="1">
      <alignment horizontal="center"/>
    </xf>
    <xf numFmtId="0" fontId="8" fillId="0" borderId="0" xfId="1" applyFont="1" applyAlignment="1">
      <alignment horizontal="center"/>
    </xf>
    <xf numFmtId="4" fontId="8" fillId="0" borderId="3" xfId="1" applyNumberFormat="1" applyFont="1" applyBorder="1" applyAlignment="1">
      <alignment horizontal="center" shrinkToFit="1"/>
    </xf>
    <xf numFmtId="0" fontId="8" fillId="0" borderId="2" xfId="1" applyFont="1" applyBorder="1"/>
    <xf numFmtId="0" fontId="9" fillId="2" borderId="0" xfId="2" applyFont="1" applyFill="1" applyAlignment="1">
      <alignment horizontal="center"/>
    </xf>
    <xf numFmtId="0" fontId="10" fillId="3" borderId="0" xfId="2" applyFont="1" applyFill="1" applyAlignment="1">
      <alignment horizontal="left"/>
    </xf>
    <xf numFmtId="165" fontId="10" fillId="3" borderId="0" xfId="2" applyNumberFormat="1" applyFont="1" applyFill="1" applyAlignment="1">
      <alignment horizontal="center"/>
    </xf>
    <xf numFmtId="0" fontId="11" fillId="3" borderId="0" xfId="2" applyFont="1" applyFill="1" applyAlignment="1">
      <alignment horizontal="left"/>
    </xf>
    <xf numFmtId="166" fontId="6" fillId="0" borderId="0" xfId="2" applyNumberFormat="1" applyFont="1" applyAlignment="1">
      <alignment horizontal="center"/>
    </xf>
    <xf numFmtId="0" fontId="8" fillId="0" borderId="2" xfId="1" applyFont="1" applyBorder="1" applyAlignment="1">
      <alignment horizontal="center"/>
    </xf>
    <xf numFmtId="3" fontId="8" fillId="0" borderId="3" xfId="1" applyNumberFormat="1" applyFont="1" applyBorder="1" applyAlignment="1">
      <alignment horizontal="center"/>
    </xf>
    <xf numFmtId="167" fontId="5" fillId="0" borderId="1" xfId="1" applyNumberFormat="1" applyFont="1" applyBorder="1" applyAlignment="1">
      <alignment horizontal="center" shrinkToFit="1"/>
    </xf>
    <xf numFmtId="3" fontId="8" fillId="0" borderId="0" xfId="1" applyNumberFormat="1" applyFont="1" applyAlignment="1">
      <alignment horizontal="center"/>
    </xf>
    <xf numFmtId="9" fontId="12" fillId="6" borderId="0" xfId="1" applyNumberFormat="1" applyFont="1" applyFill="1"/>
    <xf numFmtId="0" fontId="12" fillId="6" borderId="0" xfId="1" applyFont="1" applyFill="1"/>
    <xf numFmtId="169" fontId="12" fillId="0" borderId="0" xfId="1" applyNumberFormat="1" applyFont="1"/>
    <xf numFmtId="0" fontId="12" fillId="7" borderId="0" xfId="1" applyFont="1" applyFill="1"/>
    <xf numFmtId="168" fontId="7" fillId="5" borderId="0" xfId="2" applyNumberFormat="1" applyFont="1" applyFill="1" applyAlignment="1">
      <alignment horizontal="center"/>
    </xf>
    <xf numFmtId="4" fontId="12" fillId="6" borderId="1" xfId="1" applyNumberFormat="1" applyFont="1" applyFill="1" applyBorder="1" applyAlignment="1">
      <alignment horizontal="center" shrinkToFit="1"/>
    </xf>
    <xf numFmtId="4" fontId="12" fillId="7" borderId="1" xfId="1" applyNumberFormat="1" applyFont="1" applyFill="1" applyBorder="1" applyAlignment="1">
      <alignment horizontal="center" shrinkToFit="1"/>
    </xf>
    <xf numFmtId="4" fontId="12" fillId="0" borderId="1" xfId="1" applyNumberFormat="1" applyFont="1" applyBorder="1" applyAlignment="1">
      <alignment horizontal="center" shrinkToFit="1"/>
    </xf>
    <xf numFmtId="4" fontId="12" fillId="8" borderId="1" xfId="1" applyNumberFormat="1" applyFont="1" applyFill="1" applyBorder="1" applyAlignment="1">
      <alignment horizontal="center" shrinkToFit="1"/>
    </xf>
    <xf numFmtId="0" fontId="8" fillId="0" borderId="1" xfId="1" applyFont="1" applyBorder="1" applyAlignment="1">
      <alignment horizontal="center" shrinkToFit="1"/>
    </xf>
    <xf numFmtId="4" fontId="8" fillId="0" borderId="1" xfId="1" applyNumberFormat="1" applyFont="1" applyBorder="1" applyAlignment="1">
      <alignment horizontal="center"/>
    </xf>
    <xf numFmtId="0" fontId="8" fillId="0" borderId="0" xfId="1" applyFont="1"/>
    <xf numFmtId="0" fontId="1" fillId="0" borderId="0" xfId="0" applyFont="1"/>
    <xf numFmtId="165" fontId="14" fillId="3" borderId="0" xfId="2" applyNumberFormat="1" applyFont="1" applyFill="1" applyAlignment="1">
      <alignment horizontal="center"/>
    </xf>
    <xf numFmtId="165" fontId="0" fillId="0" borderId="0" xfId="0" applyNumberFormat="1"/>
    <xf numFmtId="4" fontId="1" fillId="0" borderId="0" xfId="0" applyNumberFormat="1" applyFont="1"/>
    <xf numFmtId="3" fontId="6" fillId="0" borderId="0" xfId="2" applyNumberFormat="1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3" fontId="6" fillId="0" borderId="4" xfId="2" applyNumberFormat="1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170" fontId="6" fillId="0" borderId="4" xfId="2" applyNumberFormat="1" applyFont="1" applyBorder="1" applyAlignment="1">
      <alignment horizontal="center" vertical="center"/>
    </xf>
    <xf numFmtId="3" fontId="6" fillId="0" borderId="6" xfId="2" applyNumberFormat="1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 wrapText="1"/>
    </xf>
    <xf numFmtId="3" fontId="7" fillId="0" borderId="9" xfId="2" applyNumberFormat="1" applyFont="1" applyBorder="1" applyAlignment="1">
      <alignment horizontal="center" vertical="center"/>
    </xf>
    <xf numFmtId="3" fontId="7" fillId="0" borderId="10" xfId="2" applyNumberFormat="1" applyFont="1" applyBorder="1" applyAlignment="1">
      <alignment horizontal="center" vertical="center"/>
    </xf>
    <xf numFmtId="166" fontId="6" fillId="0" borderId="4" xfId="2" applyNumberFormat="1" applyFont="1" applyBorder="1" applyAlignment="1">
      <alignment horizontal="center"/>
    </xf>
    <xf numFmtId="3" fontId="6" fillId="0" borderId="5" xfId="2" applyNumberFormat="1" applyFont="1" applyBorder="1" applyAlignment="1">
      <alignment horizontal="center" vertical="center"/>
    </xf>
    <xf numFmtId="166" fontId="6" fillId="0" borderId="6" xfId="2" applyNumberFormat="1" applyFont="1" applyBorder="1" applyAlignment="1">
      <alignment horizontal="center"/>
    </xf>
    <xf numFmtId="166" fontId="6" fillId="0" borderId="13" xfId="2" applyNumberFormat="1" applyFont="1" applyBorder="1" applyAlignment="1">
      <alignment horizontal="center"/>
    </xf>
    <xf numFmtId="3" fontId="6" fillId="0" borderId="7" xfId="2" applyNumberFormat="1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6" fillId="0" borderId="14" xfId="2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16" fillId="0" borderId="12" xfId="0" applyFont="1" applyBorder="1"/>
    <xf numFmtId="3" fontId="7" fillId="0" borderId="0" xfId="2" applyNumberFormat="1" applyFont="1" applyAlignment="1">
      <alignment horizontal="center" vertical="center"/>
    </xf>
    <xf numFmtId="3" fontId="16" fillId="0" borderId="0" xfId="0" applyNumberFormat="1" applyFont="1"/>
    <xf numFmtId="4" fontId="12" fillId="9" borderId="1" xfId="1" applyNumberFormat="1" applyFont="1" applyFill="1" applyBorder="1" applyAlignment="1">
      <alignment horizontal="center" shrinkToFit="1"/>
    </xf>
    <xf numFmtId="2" fontId="12" fillId="6" borderId="1" xfId="1" applyNumberFormat="1" applyFont="1" applyFill="1" applyBorder="1" applyAlignment="1">
      <alignment horizontal="center"/>
    </xf>
    <xf numFmtId="171" fontId="14" fillId="3" borderId="0" xfId="2" applyNumberFormat="1" applyFont="1" applyFill="1" applyAlignment="1">
      <alignment horizontal="center"/>
    </xf>
    <xf numFmtId="0" fontId="9" fillId="2" borderId="0" xfId="2" applyFont="1" applyFill="1" applyAlignment="1">
      <alignment horizontal="left"/>
    </xf>
    <xf numFmtId="0" fontId="0" fillId="0" borderId="0" xfId="0" applyAlignment="1">
      <alignment vertical="center"/>
    </xf>
    <xf numFmtId="0" fontId="0" fillId="0" borderId="13" xfId="0" applyBorder="1" applyAlignment="1">
      <alignment vertical="center"/>
    </xf>
    <xf numFmtId="0" fontId="18" fillId="0" borderId="13" xfId="0" applyFont="1" applyBorder="1" applyAlignment="1">
      <alignment horizontal="center" vertical="center" wrapText="1"/>
    </xf>
    <xf numFmtId="0" fontId="1" fillId="0" borderId="13" xfId="0" applyFont="1" applyBorder="1"/>
    <xf numFmtId="4" fontId="1" fillId="0" borderId="13" xfId="0" applyNumberFormat="1" applyFont="1" applyBorder="1"/>
    <xf numFmtId="0" fontId="1" fillId="0" borderId="0" xfId="1"/>
    <xf numFmtId="3" fontId="1" fillId="0" borderId="0" xfId="0" applyNumberFormat="1" applyFont="1" applyAlignment="1">
      <alignment horizontal="center" vertical="center" wrapText="1"/>
    </xf>
    <xf numFmtId="4" fontId="1" fillId="0" borderId="0" xfId="0" applyNumberFormat="1" applyFont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0" fontId="15" fillId="0" borderId="0" xfId="0" applyFont="1" applyAlignment="1">
      <alignment wrapText="1"/>
    </xf>
    <xf numFmtId="0" fontId="15" fillId="0" borderId="0" xfId="0" applyFont="1" applyAlignment="1">
      <alignment vertical="center" wrapText="1"/>
    </xf>
    <xf numFmtId="4" fontId="12" fillId="0" borderId="11" xfId="1" applyNumberFormat="1" applyFont="1" applyBorder="1" applyAlignment="1">
      <alignment horizontal="center" shrinkToFit="1"/>
    </xf>
    <xf numFmtId="4" fontId="8" fillId="0" borderId="11" xfId="1" applyNumberFormat="1" applyFont="1" applyBorder="1" applyAlignment="1">
      <alignment horizontal="center"/>
    </xf>
    <xf numFmtId="0" fontId="8" fillId="4" borderId="1" xfId="1" applyFont="1" applyFill="1" applyBorder="1" applyAlignment="1">
      <alignment horizontal="center" vertical="center" wrapText="1" shrinkToFit="1"/>
    </xf>
    <xf numFmtId="0" fontId="8" fillId="4" borderId="1" xfId="1" applyFont="1" applyFill="1" applyBorder="1" applyAlignment="1">
      <alignment horizontal="center" vertical="center" shrinkToFit="1"/>
    </xf>
    <xf numFmtId="2" fontId="12" fillId="0" borderId="1" xfId="1" applyNumberFormat="1" applyFont="1" applyBorder="1" applyAlignment="1">
      <alignment horizontal="center"/>
    </xf>
    <xf numFmtId="4" fontId="6" fillId="0" borderId="4" xfId="2" applyNumberFormat="1" applyFont="1" applyBorder="1" applyAlignment="1">
      <alignment horizontal="center" vertical="center"/>
    </xf>
    <xf numFmtId="4" fontId="16" fillId="0" borderId="0" xfId="0" applyNumberFormat="1" applyFont="1"/>
    <xf numFmtId="4" fontId="7" fillId="0" borderId="4" xfId="2" applyNumberFormat="1" applyFont="1" applyBorder="1" applyAlignment="1">
      <alignment horizontal="center" vertical="center"/>
    </xf>
    <xf numFmtId="4" fontId="7" fillId="0" borderId="6" xfId="2" applyNumberFormat="1" applyFont="1" applyBorder="1" applyAlignment="1">
      <alignment horizontal="center" vertical="center"/>
    </xf>
    <xf numFmtId="4" fontId="5" fillId="0" borderId="1" xfId="1" applyNumberFormat="1" applyFont="1" applyBorder="1" applyAlignment="1">
      <alignment horizontal="center"/>
    </xf>
    <xf numFmtId="0" fontId="9" fillId="2" borderId="0" xfId="2" applyFont="1" applyFill="1" applyAlignment="1">
      <alignment horizontal="left"/>
    </xf>
    <xf numFmtId="0" fontId="15" fillId="0" borderId="11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7" fillId="0" borderId="11" xfId="2" applyFont="1" applyBorder="1" applyAlignment="1">
      <alignment horizontal="center" vertical="center" wrapText="1"/>
    </xf>
    <xf numFmtId="0" fontId="7" fillId="0" borderId="12" xfId="2" applyFont="1" applyBorder="1" applyAlignment="1">
      <alignment horizontal="center" vertical="center" wrapText="1"/>
    </xf>
    <xf numFmtId="0" fontId="19" fillId="0" borderId="0" xfId="2" applyFont="1" applyAlignment="1">
      <alignment horizontal="left" vertical="center" wrapText="1"/>
    </xf>
  </cellXfs>
  <cellStyles count="9">
    <cellStyle name="Excel Built-in Normal" xfId="1" xr:uid="{00000000-0005-0000-0000-000000000000}"/>
    <cellStyle name="Excel Built-in Normal 1" xfId="2" xr:uid="{00000000-0005-0000-0000-000001000000}"/>
    <cellStyle name="Excel Built-in Normal 2" xfId="3" xr:uid="{00000000-0005-0000-0000-000002000000}"/>
    <cellStyle name="Heading" xfId="4" xr:uid="{00000000-0005-0000-0000-000003000000}"/>
    <cellStyle name="Heading1" xfId="5" xr:uid="{00000000-0005-0000-0000-000004000000}"/>
    <cellStyle name="Normal" xfId="0" builtinId="0" customBuiltin="1"/>
    <cellStyle name="Normal 6" xfId="6" xr:uid="{00000000-0005-0000-0000-000006000000}"/>
    <cellStyle name="Result" xfId="7" xr:uid="{00000000-0005-0000-0000-000007000000}"/>
    <cellStyle name="Result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9671-B0EE-4A4E-8947-63B794D81745}">
  <dimension ref="A1:G23"/>
  <sheetViews>
    <sheetView tabSelected="1" zoomScale="82" workbookViewId="0">
      <selection activeCell="B3" sqref="B3"/>
    </sheetView>
  </sheetViews>
  <sheetFormatPr baseColWidth="10" defaultColWidth="10.6640625" defaultRowHeight="15"/>
  <cols>
    <col min="1" max="1" width="17.6640625" customWidth="1"/>
    <col min="2" max="2" width="18.6640625" customWidth="1"/>
    <col min="3" max="3" width="16.33203125" customWidth="1"/>
    <col min="4" max="4" width="16" customWidth="1"/>
    <col min="5" max="5" width="17.77734375" customWidth="1"/>
    <col min="6" max="6" width="13.5546875" customWidth="1"/>
    <col min="7" max="7" width="19" customWidth="1"/>
  </cols>
  <sheetData>
    <row r="1" spans="1:7" ht="18">
      <c r="A1" s="9" t="s">
        <v>0</v>
      </c>
      <c r="B1" s="84" t="s">
        <v>27</v>
      </c>
      <c r="C1" s="84"/>
      <c r="D1" s="84"/>
      <c r="E1" s="84"/>
    </row>
    <row r="2" spans="1:7">
      <c r="A2" s="2"/>
      <c r="B2" s="2"/>
      <c r="C2" s="2"/>
      <c r="D2" s="2"/>
      <c r="E2" s="2"/>
    </row>
    <row r="3" spans="1:7">
      <c r="A3" s="4" t="s">
        <v>1</v>
      </c>
      <c r="B3" s="13">
        <v>45788</v>
      </c>
      <c r="C3" s="1"/>
      <c r="D3" s="1"/>
      <c r="E3" s="2"/>
    </row>
    <row r="4" spans="1:7">
      <c r="A4" s="4"/>
      <c r="B4" s="5"/>
      <c r="C4" s="1"/>
      <c r="D4" s="1"/>
      <c r="E4" s="2"/>
    </row>
    <row r="5" spans="1:7">
      <c r="A5" s="4" t="s">
        <v>2</v>
      </c>
      <c r="B5" s="5">
        <v>9</v>
      </c>
      <c r="C5" s="1"/>
      <c r="D5" s="1"/>
      <c r="E5" s="2"/>
    </row>
    <row r="7" spans="1:7">
      <c r="A7" s="5"/>
      <c r="B7" s="85" t="s">
        <v>35</v>
      </c>
      <c r="C7" s="86"/>
      <c r="D7" s="85" t="s">
        <v>36</v>
      </c>
      <c r="E7" s="86"/>
      <c r="F7" s="85" t="s">
        <v>62</v>
      </c>
      <c r="G7" s="86"/>
    </row>
    <row r="8" spans="1:7" ht="24">
      <c r="A8" s="43" t="s">
        <v>28</v>
      </c>
      <c r="B8" s="36">
        <v>19661</v>
      </c>
      <c r="C8" s="37" t="s">
        <v>29</v>
      </c>
      <c r="D8" s="79">
        <f>+B8/365</f>
        <v>53.865753424657534</v>
      </c>
      <c r="E8" s="37" t="s">
        <v>34</v>
      </c>
      <c r="F8" s="79">
        <f>+B8/366</f>
        <v>53.71857923497268</v>
      </c>
      <c r="G8" s="37" t="s">
        <v>34</v>
      </c>
    </row>
    <row r="9" spans="1:7">
      <c r="A9" s="41" t="s">
        <v>31</v>
      </c>
      <c r="B9" s="38">
        <v>0.52500000000000002</v>
      </c>
      <c r="C9" s="37" t="s">
        <v>30</v>
      </c>
      <c r="D9" s="38">
        <v>0.52500000000000002</v>
      </c>
      <c r="E9" s="37" t="s">
        <v>30</v>
      </c>
      <c r="F9" s="38">
        <v>0.52500000000000002</v>
      </c>
      <c r="G9" s="37" t="s">
        <v>30</v>
      </c>
    </row>
    <row r="10" spans="1:7">
      <c r="A10" s="42" t="s">
        <v>32</v>
      </c>
      <c r="B10" s="39">
        <v>10322</v>
      </c>
      <c r="C10" s="40" t="s">
        <v>13</v>
      </c>
      <c r="D10" s="39">
        <f>+D8*D9</f>
        <v>28.279520547945207</v>
      </c>
      <c r="E10" s="40" t="s">
        <v>13</v>
      </c>
      <c r="F10" s="39">
        <f>+F8*F9</f>
        <v>28.202254098360658</v>
      </c>
      <c r="G10" s="40" t="s">
        <v>13</v>
      </c>
    </row>
    <row r="11" spans="1:7">
      <c r="A11" s="35"/>
      <c r="B11" s="35"/>
      <c r="C11" s="35"/>
      <c r="D11" s="35"/>
    </row>
    <row r="12" spans="1:7" ht="21.75" customHeight="1">
      <c r="A12" s="51" t="s">
        <v>33</v>
      </c>
      <c r="B12" s="52"/>
      <c r="C12" s="53"/>
      <c r="D12" s="87" t="s">
        <v>39</v>
      </c>
      <c r="E12" s="88"/>
    </row>
    <row r="13" spans="1:7" ht="15.75">
      <c r="A13" s="51"/>
      <c r="B13" s="52"/>
      <c r="C13" s="54" t="s">
        <v>37</v>
      </c>
      <c r="D13" s="55" t="s">
        <v>38</v>
      </c>
      <c r="E13" s="56" t="s">
        <v>13</v>
      </c>
    </row>
    <row r="14" spans="1:7">
      <c r="A14" s="46">
        <v>43773</v>
      </c>
      <c r="B14" s="13">
        <v>43830</v>
      </c>
      <c r="C14" s="47">
        <f>+B14-A14+1</f>
        <v>58</v>
      </c>
      <c r="D14" s="81">
        <f>+$D$8*C14</f>
        <v>3124.2136986301371</v>
      </c>
      <c r="E14" s="44">
        <f>+ROUNDDOWN(D14*$D$9,0)</f>
        <v>1640</v>
      </c>
      <c r="F14" s="34"/>
    </row>
    <row r="15" spans="1:7">
      <c r="A15" s="46">
        <v>43831</v>
      </c>
      <c r="B15" s="13">
        <v>44196</v>
      </c>
      <c r="C15" s="47">
        <f>+B15-A15+1</f>
        <v>366</v>
      </c>
      <c r="D15" s="81">
        <f>+$F$8*C15</f>
        <v>19661</v>
      </c>
      <c r="E15" s="44">
        <f>+ROUNDDOWN(D15*$F$9,0)</f>
        <v>10322</v>
      </c>
    </row>
    <row r="16" spans="1:7">
      <c r="A16" s="46">
        <v>44197</v>
      </c>
      <c r="B16" s="13">
        <v>44561</v>
      </c>
      <c r="C16" s="47">
        <v>365</v>
      </c>
      <c r="D16" s="81">
        <f t="shared" ref="D16:D18" si="0">+$D$8*C16</f>
        <v>19661</v>
      </c>
      <c r="E16" s="44">
        <f t="shared" ref="E16:E18" si="1">+ROUNDDOWN(D16*$D$9,0)</f>
        <v>10322</v>
      </c>
    </row>
    <row r="17" spans="1:5">
      <c r="A17" s="46">
        <v>44562</v>
      </c>
      <c r="B17" s="13">
        <v>44926</v>
      </c>
      <c r="C17" s="47">
        <v>365</v>
      </c>
      <c r="D17" s="81">
        <f t="shared" si="0"/>
        <v>19661</v>
      </c>
      <c r="E17" s="44">
        <f t="shared" si="1"/>
        <v>10322</v>
      </c>
    </row>
    <row r="18" spans="1:5">
      <c r="A18" s="48">
        <v>44927</v>
      </c>
      <c r="B18" s="49">
        <v>45260</v>
      </c>
      <c r="C18" s="50">
        <f>+B18-A18+1</f>
        <v>334</v>
      </c>
      <c r="D18" s="82">
        <f t="shared" si="0"/>
        <v>17991.161643835618</v>
      </c>
      <c r="E18" s="45">
        <f t="shared" si="1"/>
        <v>9445</v>
      </c>
    </row>
    <row r="19" spans="1:5" ht="15.75">
      <c r="A19" s="13"/>
      <c r="B19" s="13"/>
      <c r="C19" s="57" t="s">
        <v>40</v>
      </c>
      <c r="D19" s="80">
        <f>SUM(D14:D18)</f>
        <v>80098.375342465748</v>
      </c>
      <c r="E19" s="58">
        <f>SUM(E14:E18)</f>
        <v>42051</v>
      </c>
    </row>
    <row r="20" spans="1:5">
      <c r="A20" s="13"/>
      <c r="B20" s="13"/>
      <c r="C20" s="34"/>
      <c r="D20" s="35"/>
    </row>
    <row r="21" spans="1:5">
      <c r="A21" s="13"/>
      <c r="B21" s="13"/>
      <c r="C21" s="35"/>
      <c r="D21" s="35"/>
    </row>
    <row r="22" spans="1:5">
      <c r="A22" s="13"/>
      <c r="B22" s="13"/>
      <c r="C22" s="35"/>
      <c r="D22" s="35"/>
    </row>
    <row r="23" spans="1:5">
      <c r="A23" s="13"/>
      <c r="B23" s="13"/>
    </row>
  </sheetData>
  <mergeCells count="5">
    <mergeCell ref="B1:E1"/>
    <mergeCell ref="D7:E7"/>
    <mergeCell ref="B7:C7"/>
    <mergeCell ref="D12:E12"/>
    <mergeCell ref="F7:G7"/>
  </mergeCells>
  <phoneticPr fontId="1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FC1D1-4C95-4165-BCC3-E8CD3C16C9AC}">
  <dimension ref="A1:F32"/>
  <sheetViews>
    <sheetView zoomScale="78" workbookViewId="0">
      <selection activeCell="B3" sqref="B3"/>
    </sheetView>
  </sheetViews>
  <sheetFormatPr baseColWidth="10" defaultColWidth="10.6640625" defaultRowHeight="15"/>
  <cols>
    <col min="1" max="1" width="12.6640625" customWidth="1"/>
    <col min="3" max="3" width="13.5546875" customWidth="1"/>
    <col min="5" max="5" width="14" customWidth="1"/>
  </cols>
  <sheetData>
    <row r="1" spans="1:6" ht="18">
      <c r="A1" s="9" t="s">
        <v>0</v>
      </c>
      <c r="B1" s="62" t="s">
        <v>27</v>
      </c>
      <c r="C1" s="62"/>
      <c r="D1" s="62"/>
      <c r="E1" s="62"/>
    </row>
    <row r="2" spans="1:6">
      <c r="A2" s="2"/>
      <c r="B2" s="2"/>
      <c r="C2" s="2"/>
      <c r="D2" s="2"/>
      <c r="E2" s="2"/>
      <c r="F2" s="2"/>
    </row>
    <row r="3" spans="1:6">
      <c r="A3" s="4" t="s">
        <v>1</v>
      </c>
      <c r="B3" s="13">
        <v>45788</v>
      </c>
      <c r="D3" s="1"/>
      <c r="E3" s="1"/>
      <c r="F3" s="2"/>
    </row>
    <row r="4" spans="1:6">
      <c r="A4" s="4"/>
      <c r="B4" s="5"/>
      <c r="D4" s="1"/>
      <c r="E4" s="1"/>
      <c r="F4" s="2"/>
    </row>
    <row r="5" spans="1:6">
      <c r="A5" s="4" t="s">
        <v>2</v>
      </c>
      <c r="B5" s="5">
        <v>9</v>
      </c>
      <c r="D5" s="1"/>
      <c r="E5" s="1"/>
      <c r="F5" s="2"/>
    </row>
    <row r="6" spans="1:6">
      <c r="A6" s="4"/>
      <c r="B6" s="5"/>
      <c r="D6" s="1"/>
      <c r="E6" s="1"/>
      <c r="F6" s="2"/>
    </row>
    <row r="7" spans="1:6" ht="30" customHeight="1">
      <c r="A7" s="89" t="s">
        <v>45</v>
      </c>
      <c r="B7" s="89"/>
      <c r="C7" s="89"/>
      <c r="D7" s="89"/>
      <c r="E7" s="68"/>
      <c r="F7" s="2"/>
    </row>
    <row r="8" spans="1:6" s="63" customFormat="1" ht="45">
      <c r="A8" s="64"/>
      <c r="B8" s="65" t="s">
        <v>41</v>
      </c>
      <c r="C8" s="65" t="s">
        <v>42</v>
      </c>
    </row>
    <row r="9" spans="1:6">
      <c r="A9" s="30" t="s">
        <v>16</v>
      </c>
      <c r="B9" s="30">
        <f>'Calculation Ex-Ante'!E14</f>
        <v>1640</v>
      </c>
      <c r="C9" s="30">
        <f>'ER Calculation 2019'!B9</f>
        <v>1180</v>
      </c>
      <c r="F9" s="30"/>
    </row>
    <row r="10" spans="1:6">
      <c r="A10" s="30" t="s">
        <v>17</v>
      </c>
      <c r="B10" s="30">
        <f>'Calculation Ex-Ante'!E15</f>
        <v>10322</v>
      </c>
      <c r="C10" s="30">
        <f>'ER Calculation 2020'!B9</f>
        <v>6852</v>
      </c>
      <c r="F10" s="30"/>
    </row>
    <row r="11" spans="1:6">
      <c r="A11" s="30" t="s">
        <v>18</v>
      </c>
      <c r="B11" s="30">
        <f>'Calculation Ex-Ante'!E16</f>
        <v>10322</v>
      </c>
      <c r="C11" s="30">
        <f>'ER Calculation 2021'!B9</f>
        <v>6352</v>
      </c>
      <c r="F11" s="30"/>
    </row>
    <row r="12" spans="1:6">
      <c r="A12" s="30" t="s">
        <v>19</v>
      </c>
      <c r="B12" s="30">
        <f>'Calculation Ex-Ante'!E17</f>
        <v>10322</v>
      </c>
      <c r="C12" s="30">
        <f>'ER Calculation 2022'!B9</f>
        <v>5910</v>
      </c>
      <c r="F12" s="30"/>
    </row>
    <row r="13" spans="1:6">
      <c r="A13" s="66" t="s">
        <v>20</v>
      </c>
      <c r="B13" s="66">
        <f>'Calculation Ex-Ante'!E18</f>
        <v>9445</v>
      </c>
      <c r="C13" s="66">
        <f>'ER Calculation 2023'!B9</f>
        <v>6306</v>
      </c>
      <c r="F13" s="30"/>
    </row>
    <row r="14" spans="1:6" ht="15.75">
      <c r="A14" s="10" t="s">
        <v>4</v>
      </c>
      <c r="B14" s="31">
        <f>'Calculation Ex-Ante'!E19</f>
        <v>42051</v>
      </c>
      <c r="C14" s="31">
        <f>SUM(C9:C13)</f>
        <v>26600</v>
      </c>
      <c r="D14" s="12" t="s">
        <v>13</v>
      </c>
      <c r="F14" s="30"/>
    </row>
    <row r="15" spans="1:6">
      <c r="C15" s="32"/>
    </row>
    <row r="18" spans="1:6" ht="30" customHeight="1">
      <c r="A18" s="89" t="s">
        <v>46</v>
      </c>
      <c r="B18" s="89"/>
      <c r="C18" s="89"/>
      <c r="D18" s="89"/>
      <c r="E18" s="68"/>
      <c r="F18" s="2"/>
    </row>
    <row r="19" spans="1:6" ht="45">
      <c r="B19" s="65" t="s">
        <v>43</v>
      </c>
      <c r="C19" s="65" t="s">
        <v>44</v>
      </c>
    </row>
    <row r="20" spans="1:6">
      <c r="A20" s="30" t="s">
        <v>21</v>
      </c>
      <c r="B20" s="33">
        <f>'Calculation Ex-Ante'!D14</f>
        <v>3124.2136986301371</v>
      </c>
      <c r="C20" s="33">
        <f>'ER Calculation 2019'!B19</f>
        <v>2260.6228079999996</v>
      </c>
    </row>
    <row r="21" spans="1:6">
      <c r="A21" s="30" t="s">
        <v>22</v>
      </c>
      <c r="B21" s="33">
        <f>'Calculation Ex-Ante'!D15</f>
        <v>19661</v>
      </c>
      <c r="C21" s="33">
        <f>'ER Calculation 2020'!B29</f>
        <v>14104.843434525001</v>
      </c>
    </row>
    <row r="22" spans="1:6">
      <c r="A22" s="30" t="s">
        <v>23</v>
      </c>
      <c r="B22" s="33">
        <f>'Calculation Ex-Ante'!D16</f>
        <v>19661</v>
      </c>
      <c r="C22" s="33">
        <f>'ER Calculation 2021'!B29</f>
        <v>14796.428313799997</v>
      </c>
    </row>
    <row r="23" spans="1:6">
      <c r="A23" s="30" t="s">
        <v>24</v>
      </c>
      <c r="B23" s="33">
        <f>'Calculation Ex-Ante'!D17</f>
        <v>19661</v>
      </c>
      <c r="C23" s="33">
        <f>'ER Calculation 2022'!B29</f>
        <v>14122.274025050001</v>
      </c>
    </row>
    <row r="24" spans="1:6">
      <c r="A24" s="30" t="s">
        <v>25</v>
      </c>
      <c r="B24" s="67">
        <f>'Calculation Ex-Ante'!D18</f>
        <v>17991.161643835618</v>
      </c>
      <c r="C24" s="67">
        <f>'ER Calculation 2023'!B28</f>
        <v>14732.524051725</v>
      </c>
    </row>
    <row r="25" spans="1:6" ht="15.75">
      <c r="A25" s="10" t="s">
        <v>26</v>
      </c>
      <c r="B25" s="61">
        <f>'Calculation Ex-Ante'!D19</f>
        <v>80098.375342465748</v>
      </c>
      <c r="C25" s="61">
        <f>SUM(C20:C24)</f>
        <v>60016.6926331</v>
      </c>
      <c r="D25" s="12" t="s">
        <v>10</v>
      </c>
    </row>
    <row r="28" spans="1:6">
      <c r="A28" s="89" t="s">
        <v>47</v>
      </c>
      <c r="B28" s="89"/>
      <c r="C28" s="89"/>
      <c r="D28" s="89"/>
    </row>
    <row r="29" spans="1:6" ht="45">
      <c r="B29" s="65" t="s">
        <v>51</v>
      </c>
      <c r="C29" s="65" t="s">
        <v>52</v>
      </c>
    </row>
    <row r="30" spans="1:6" ht="38.25">
      <c r="A30" s="72" t="s">
        <v>48</v>
      </c>
      <c r="B30" s="69" t="s">
        <v>59</v>
      </c>
      <c r="C30" s="69" t="s">
        <v>53</v>
      </c>
    </row>
    <row r="31" spans="1:6" ht="102">
      <c r="A31" s="73" t="s">
        <v>49</v>
      </c>
      <c r="B31" s="70" t="s">
        <v>55</v>
      </c>
      <c r="C31" s="70" t="s">
        <v>60</v>
      </c>
    </row>
    <row r="32" spans="1:6" ht="51">
      <c r="A32" s="73" t="s">
        <v>50</v>
      </c>
      <c r="B32" s="71" t="s">
        <v>56</v>
      </c>
      <c r="C32" s="70" t="s">
        <v>54</v>
      </c>
    </row>
  </sheetData>
  <mergeCells count="3">
    <mergeCell ref="A18:D18"/>
    <mergeCell ref="A28:D28"/>
    <mergeCell ref="A7:D7"/>
  </mergeCells>
  <phoneticPr fontId="1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zoomScaleNormal="100" workbookViewId="0">
      <selection activeCell="B15" sqref="B15:E16"/>
    </sheetView>
  </sheetViews>
  <sheetFormatPr baseColWidth="10" defaultColWidth="10.6640625" defaultRowHeight="15"/>
  <cols>
    <col min="1" max="1" width="19" style="1" customWidth="1"/>
    <col min="2" max="2" width="14.109375" style="1" customWidth="1"/>
    <col min="3" max="4" width="12.109375" style="1" customWidth="1"/>
  </cols>
  <sheetData>
    <row r="1" spans="1:6" ht="18">
      <c r="A1" s="9" t="s">
        <v>0</v>
      </c>
      <c r="B1" s="84" t="s">
        <v>27</v>
      </c>
      <c r="C1" s="84"/>
      <c r="D1" s="84"/>
      <c r="E1" s="84"/>
      <c r="F1" s="84"/>
    </row>
    <row r="2" spans="1:6">
      <c r="A2" s="2"/>
      <c r="B2" s="2"/>
      <c r="C2" s="2"/>
      <c r="D2" s="2"/>
    </row>
    <row r="3" spans="1:6">
      <c r="A3" s="4" t="s">
        <v>1</v>
      </c>
      <c r="B3" s="13">
        <f>'ER Calculation Summary'!$B$3</f>
        <v>45788</v>
      </c>
    </row>
    <row r="4" spans="1:6">
      <c r="A4" s="4"/>
      <c r="B4" s="5"/>
    </row>
    <row r="5" spans="1:6">
      <c r="A5" s="4" t="s">
        <v>2</v>
      </c>
      <c r="B5" s="5">
        <f>'ER Calculation Summary'!$B$5</f>
        <v>9</v>
      </c>
    </row>
    <row r="6" spans="1:6">
      <c r="A6" s="4"/>
      <c r="B6" s="5"/>
    </row>
    <row r="7" spans="1:6">
      <c r="A7" s="4" t="s">
        <v>61</v>
      </c>
      <c r="B7" s="22">
        <v>0.52207169078080373</v>
      </c>
      <c r="C7" s="3"/>
      <c r="D7" s="3"/>
    </row>
    <row r="8" spans="1:6">
      <c r="A8" s="4"/>
      <c r="B8" s="4"/>
      <c r="C8" s="4"/>
      <c r="D8" s="4"/>
    </row>
    <row r="9" spans="1:6" ht="15.75">
      <c r="A9" s="10" t="s">
        <v>4</v>
      </c>
      <c r="B9" s="11">
        <f>B21</f>
        <v>1180</v>
      </c>
      <c r="C9" s="12" t="s">
        <v>13</v>
      </c>
      <c r="D9" s="12"/>
    </row>
    <row r="11" spans="1:6">
      <c r="A11" s="4" t="s">
        <v>8</v>
      </c>
      <c r="B11" s="4"/>
      <c r="C11" s="4"/>
      <c r="D11" s="4"/>
    </row>
    <row r="14" spans="1:6" ht="71.25">
      <c r="A14" s="77" t="s">
        <v>5</v>
      </c>
      <c r="B14" s="76" t="s">
        <v>63</v>
      </c>
      <c r="C14" s="76" t="s">
        <v>14</v>
      </c>
      <c r="D14" s="76" t="s">
        <v>64</v>
      </c>
      <c r="E14" s="76" t="s">
        <v>15</v>
      </c>
    </row>
    <row r="15" spans="1:6">
      <c r="A15" s="16">
        <v>43770</v>
      </c>
      <c r="B15" s="83">
        <v>1154.6587469999997</v>
      </c>
      <c r="C15" s="83">
        <v>1154.6587469999997</v>
      </c>
      <c r="D15" s="25">
        <v>8.4284100000000013</v>
      </c>
      <c r="E15" s="25">
        <v>8.4284100000000013</v>
      </c>
    </row>
    <row r="16" spans="1:6">
      <c r="A16" s="16">
        <v>43800</v>
      </c>
      <c r="B16" s="83">
        <v>1122.4295959999999</v>
      </c>
      <c r="C16" s="74">
        <f>1122.429596</f>
        <v>1122.4295959999999</v>
      </c>
      <c r="D16" s="25">
        <f>8.037125</f>
        <v>8.0371249999999996</v>
      </c>
      <c r="E16" s="25">
        <f>8.037125</f>
        <v>8.0371249999999996</v>
      </c>
    </row>
    <row r="17" spans="1:5">
      <c r="A17" s="27" t="s">
        <v>9</v>
      </c>
      <c r="B17" s="75">
        <f>SUM(B15:B16)</f>
        <v>2277.0883429999994</v>
      </c>
      <c r="C17" s="75">
        <f>SUM(C15:C16)</f>
        <v>2277.0883429999994</v>
      </c>
      <c r="D17" s="28">
        <f>SUM(D15:D16)</f>
        <v>16.465535000000003</v>
      </c>
      <c r="E17" s="28">
        <f>SUM(E15:E16)</f>
        <v>16.465535000000003</v>
      </c>
    </row>
    <row r="18" spans="1:5" ht="15.75" thickBot="1"/>
    <row r="19" spans="1:5" ht="15.75" thickBot="1">
      <c r="A19" s="8" t="s">
        <v>6</v>
      </c>
      <c r="B19" s="7">
        <f>+C17-E17</f>
        <v>2260.6228079999996</v>
      </c>
    </row>
    <row r="20" spans="1:5" ht="15.75" thickBot="1"/>
    <row r="21" spans="1:5" ht="15.75" thickBot="1">
      <c r="A21" s="14" t="s">
        <v>7</v>
      </c>
      <c r="B21" s="15">
        <f>ROUNDDOWN(B19*B7,0)</f>
        <v>1180</v>
      </c>
      <c r="C21" s="6"/>
      <c r="D21" s="6"/>
    </row>
    <row r="22" spans="1:5">
      <c r="A22" s="6"/>
      <c r="B22" s="17"/>
      <c r="C22" s="6"/>
      <c r="D22" s="6"/>
    </row>
    <row r="23" spans="1:5">
      <c r="A23" s="18" t="s">
        <v>11</v>
      </c>
      <c r="B23" s="19"/>
      <c r="C23" s="20">
        <f>1-0.025</f>
        <v>0.97499999999999998</v>
      </c>
      <c r="D23" s="20"/>
    </row>
    <row r="24" spans="1:5">
      <c r="A24" s="21" t="s">
        <v>12</v>
      </c>
      <c r="B24" s="21"/>
      <c r="C24" s="20">
        <v>1.0249999999999999</v>
      </c>
      <c r="D24" s="20"/>
    </row>
  </sheetData>
  <mergeCells count="1">
    <mergeCell ref="B1:F1"/>
  </mergeCells>
  <phoneticPr fontId="17" type="noConversion"/>
  <pageMargins left="0.78739999999999999" right="0.78739999999999999" top="1.1232" bottom="1.1232" header="0.78739999999999999" footer="0.78739999999999999"/>
  <pageSetup paperSize="0" fitToWidth="0" fitToHeight="0" orientation="portrait" horizontalDpi="0" verticalDpi="0" copies="0"/>
  <headerFooter alignWithMargins="0">
    <oddHeader>&amp;C&amp;10&amp;A</oddHeader>
    <oddFooter>&amp;C&amp;10Page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770E3-924E-47EC-9328-7AA43586811D}">
  <dimension ref="A1:F34"/>
  <sheetViews>
    <sheetView topLeftCell="A4" zoomScale="84" workbookViewId="0">
      <selection activeCell="B9" sqref="B9"/>
    </sheetView>
  </sheetViews>
  <sheetFormatPr baseColWidth="10" defaultColWidth="10.6640625" defaultRowHeight="15"/>
  <cols>
    <col min="1" max="1" width="19" style="1" customWidth="1"/>
    <col min="2" max="2" width="14.109375" style="1" customWidth="1"/>
    <col min="3" max="4" width="12.109375" style="1" customWidth="1"/>
  </cols>
  <sheetData>
    <row r="1" spans="1:6" ht="18">
      <c r="A1" s="9" t="s">
        <v>0</v>
      </c>
      <c r="B1" s="84" t="s">
        <v>27</v>
      </c>
      <c r="C1" s="84"/>
      <c r="D1" s="84"/>
      <c r="E1" s="84"/>
      <c r="F1" s="84"/>
    </row>
    <row r="2" spans="1:6">
      <c r="A2" s="2"/>
      <c r="B2" s="2"/>
      <c r="C2" s="2"/>
      <c r="D2" s="2"/>
    </row>
    <row r="3" spans="1:6">
      <c r="A3" s="4" t="s">
        <v>1</v>
      </c>
      <c r="B3" s="13">
        <f>'ER Calculation Summary'!$B$3</f>
        <v>45788</v>
      </c>
    </row>
    <row r="4" spans="1:6">
      <c r="A4" s="4"/>
      <c r="B4" s="5"/>
    </row>
    <row r="5" spans="1:6">
      <c r="A5" s="4" t="s">
        <v>2</v>
      </c>
      <c r="B5" s="5">
        <f>'ER Calculation Summary'!$B$5</f>
        <v>9</v>
      </c>
    </row>
    <row r="6" spans="1:6">
      <c r="A6" s="4"/>
      <c r="B6" s="5"/>
    </row>
    <row r="7" spans="1:6">
      <c r="A7" s="4" t="s">
        <v>3</v>
      </c>
      <c r="B7" s="22">
        <v>0.48580000000000001</v>
      </c>
      <c r="C7" s="3"/>
      <c r="D7" s="3"/>
    </row>
    <row r="8" spans="1:6">
      <c r="A8" s="4"/>
      <c r="B8" s="4"/>
      <c r="C8" s="4"/>
      <c r="D8" s="4"/>
    </row>
    <row r="9" spans="1:6" ht="15.75">
      <c r="A9" s="10" t="s">
        <v>4</v>
      </c>
      <c r="B9" s="11">
        <f>B31</f>
        <v>6852</v>
      </c>
      <c r="C9" s="12" t="s">
        <v>13</v>
      </c>
      <c r="D9" s="12"/>
    </row>
    <row r="11" spans="1:6">
      <c r="A11" s="4" t="s">
        <v>8</v>
      </c>
      <c r="B11" s="4"/>
      <c r="C11" s="4"/>
      <c r="D11" s="4"/>
    </row>
    <row r="14" spans="1:6" s="63" customFormat="1" ht="57.75">
      <c r="A14" s="77" t="s">
        <v>5</v>
      </c>
      <c r="B14" s="76" t="s">
        <v>57</v>
      </c>
      <c r="C14" s="76" t="s">
        <v>14</v>
      </c>
      <c r="D14" s="76" t="s">
        <v>58</v>
      </c>
      <c r="E14" s="76" t="s">
        <v>15</v>
      </c>
    </row>
    <row r="15" spans="1:6">
      <c r="A15" s="16">
        <v>43831</v>
      </c>
      <c r="B15" s="25">
        <f>1525.996694</f>
        <v>1525.9966939999999</v>
      </c>
      <c r="C15" s="25">
        <f>1525.996694</f>
        <v>1525.9966939999999</v>
      </c>
      <c r="D15" s="25">
        <f>8.853455</f>
        <v>8.8534550000000003</v>
      </c>
      <c r="E15" s="25">
        <f>8.853455</f>
        <v>8.8534550000000003</v>
      </c>
    </row>
    <row r="16" spans="1:6">
      <c r="A16" s="16">
        <v>43862</v>
      </c>
      <c r="B16" s="25">
        <v>1611.050755</v>
      </c>
      <c r="C16" s="25">
        <v>1611.050755</v>
      </c>
      <c r="D16" s="25">
        <v>8.9433919999999993</v>
      </c>
      <c r="E16" s="25">
        <v>8.9433919999999993</v>
      </c>
    </row>
    <row r="17" spans="1:5">
      <c r="A17" s="16">
        <v>43891</v>
      </c>
      <c r="B17" s="25">
        <v>1753.01331</v>
      </c>
      <c r="C17" s="25">
        <v>1753.01331</v>
      </c>
      <c r="D17" s="25">
        <v>9.5029719999999998</v>
      </c>
      <c r="E17" s="25">
        <v>9.5029719999999998</v>
      </c>
    </row>
    <row r="18" spans="1:5">
      <c r="A18" s="16">
        <v>43922</v>
      </c>
      <c r="B18" s="25">
        <v>1347.072741</v>
      </c>
      <c r="C18" s="25">
        <v>1347.072741</v>
      </c>
      <c r="D18" s="25">
        <v>8.8259539999999994</v>
      </c>
      <c r="E18" s="25">
        <v>8.8259539999999994</v>
      </c>
    </row>
    <row r="19" spans="1:5">
      <c r="A19" s="16">
        <v>43952</v>
      </c>
      <c r="B19" s="78">
        <f>822.706866</f>
        <v>822.70686599999999</v>
      </c>
      <c r="C19" s="60">
        <f>B19*$C$33</f>
        <v>802.13919435000003</v>
      </c>
      <c r="D19" s="25">
        <f>7.995369</f>
        <v>7.9953690000000002</v>
      </c>
      <c r="E19" s="59">
        <f>D19*$C$34</f>
        <v>8.1952532250000001</v>
      </c>
    </row>
    <row r="20" spans="1:5">
      <c r="A20" s="16">
        <v>43983</v>
      </c>
      <c r="B20" s="78">
        <f>836.875962</f>
        <v>836.87596199999996</v>
      </c>
      <c r="C20" s="60">
        <f>B20*$C$33</f>
        <v>815.95406294999998</v>
      </c>
      <c r="D20" s="25">
        <f>8.682101</f>
        <v>8.6821009999999994</v>
      </c>
      <c r="E20" s="59">
        <f t="shared" ref="E20:E22" si="0">D20*$C$34</f>
        <v>8.8991535249999991</v>
      </c>
    </row>
    <row r="21" spans="1:5">
      <c r="A21" s="16">
        <v>44013</v>
      </c>
      <c r="B21" s="78">
        <f>894.310611</f>
        <v>894.31061099999999</v>
      </c>
      <c r="C21" s="60">
        <f>B21*C33</f>
        <v>871.95284572499997</v>
      </c>
      <c r="D21" s="25">
        <f>8.732714</f>
        <v>8.7327139999999996</v>
      </c>
      <c r="E21" s="59">
        <f t="shared" si="0"/>
        <v>8.9510318499999997</v>
      </c>
    </row>
    <row r="22" spans="1:5">
      <c r="A22" s="16">
        <v>44044</v>
      </c>
      <c r="B22" s="78">
        <f>825.305552</f>
        <v>825.30555200000003</v>
      </c>
      <c r="C22" s="60">
        <f>B22*C33</f>
        <v>804.67291320000004</v>
      </c>
      <c r="D22" s="25">
        <f>8.607764</f>
        <v>8.6077639999999995</v>
      </c>
      <c r="E22" s="59">
        <f t="shared" si="0"/>
        <v>8.8229580999999992</v>
      </c>
    </row>
    <row r="23" spans="1:5">
      <c r="A23" s="16">
        <v>44075</v>
      </c>
      <c r="B23" s="26">
        <v>1043.430194</v>
      </c>
      <c r="C23" s="26">
        <v>1043.430194</v>
      </c>
      <c r="D23" s="26">
        <v>10.295182</v>
      </c>
      <c r="E23" s="26">
        <v>10.295182</v>
      </c>
    </row>
    <row r="24" spans="1:5">
      <c r="A24" s="16">
        <v>44105</v>
      </c>
      <c r="B24" s="26">
        <v>1205.1195640000001</v>
      </c>
      <c r="C24" s="26">
        <v>1205.1195640000001</v>
      </c>
      <c r="D24" s="26">
        <v>10.493171999999999</v>
      </c>
      <c r="E24" s="26">
        <v>10.493171999999999</v>
      </c>
    </row>
    <row r="25" spans="1:5">
      <c r="A25" s="16">
        <v>44136</v>
      </c>
      <c r="B25" s="26">
        <v>1061.715547</v>
      </c>
      <c r="C25" s="26">
        <v>1061.715547</v>
      </c>
      <c r="D25" s="26">
        <v>9.9244240000000001</v>
      </c>
      <c r="E25" s="26">
        <v>9.9244240000000001</v>
      </c>
    </row>
    <row r="26" spans="1:5">
      <c r="A26" s="16">
        <v>44166</v>
      </c>
      <c r="B26" s="26">
        <v>1374.8181500000001</v>
      </c>
      <c r="C26" s="26">
        <v>1374.8181500000001</v>
      </c>
      <c r="D26" s="26">
        <v>10.385589</v>
      </c>
      <c r="E26" s="26">
        <v>10.385589</v>
      </c>
    </row>
    <row r="27" spans="1:5">
      <c r="A27" s="27" t="s">
        <v>9</v>
      </c>
      <c r="B27" s="28">
        <f>SUM(B15:B26)</f>
        <v>14301.415946000001</v>
      </c>
      <c r="C27" s="28">
        <f>SUM(C15:C26)</f>
        <v>14216.935971225001</v>
      </c>
      <c r="D27" s="28">
        <f>SUM(D15:D26)</f>
        <v>111.242088</v>
      </c>
      <c r="E27" s="28">
        <f>SUM(E15:E26)</f>
        <v>112.0925367</v>
      </c>
    </row>
    <row r="28" spans="1:5" ht="15.75" thickBot="1">
      <c r="A28" s="29"/>
      <c r="B28" s="29"/>
      <c r="C28" s="29"/>
      <c r="D28" s="29"/>
    </row>
    <row r="29" spans="1:5" ht="15.75" thickBot="1">
      <c r="A29" s="8" t="s">
        <v>6</v>
      </c>
      <c r="B29" s="7">
        <f>+C27-E27</f>
        <v>14104.843434525001</v>
      </c>
    </row>
    <row r="30" spans="1:5" ht="15.75" thickBot="1"/>
    <row r="31" spans="1:5" ht="15.75" thickBot="1">
      <c r="A31" s="14" t="s">
        <v>7</v>
      </c>
      <c r="B31" s="15">
        <f>ROUNDDOWN(B29*B7,0)</f>
        <v>6852</v>
      </c>
      <c r="C31" s="6"/>
      <c r="D31" s="6"/>
    </row>
    <row r="32" spans="1:5">
      <c r="A32" s="6"/>
      <c r="B32" s="17"/>
      <c r="C32" s="6"/>
      <c r="D32" s="6"/>
    </row>
    <row r="33" spans="1:4">
      <c r="A33" s="18" t="s">
        <v>11</v>
      </c>
      <c r="B33" s="19"/>
      <c r="C33" s="20">
        <f>1-0.025</f>
        <v>0.97499999999999998</v>
      </c>
      <c r="D33" s="20"/>
    </row>
    <row r="34" spans="1:4">
      <c r="A34" s="21" t="s">
        <v>12</v>
      </c>
      <c r="B34" s="21"/>
      <c r="C34" s="20">
        <v>1.0249999999999999</v>
      </c>
      <c r="D34" s="20"/>
    </row>
  </sheetData>
  <mergeCells count="1">
    <mergeCell ref="B1:F1"/>
  </mergeCells>
  <phoneticPr fontId="17" type="noConversion"/>
  <pageMargins left="0.78739999999999999" right="0.78739999999999999" top="1.1232" bottom="1.1232" header="0.78739999999999999" footer="0.78739999999999999"/>
  <pageSetup paperSize="0" fitToWidth="0" fitToHeight="0" orientation="portrait" horizontalDpi="0" verticalDpi="0" copies="0"/>
  <headerFooter alignWithMargins="0">
    <oddHeader>&amp;C&amp;10&amp;A</oddHeader>
    <oddFooter>&amp;C&amp;10Page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DC0F9-6244-44F9-B08B-EFDDBE785972}">
  <dimension ref="A1:F34"/>
  <sheetViews>
    <sheetView zoomScale="83" workbookViewId="0">
      <selection activeCell="B9" sqref="B9"/>
    </sheetView>
  </sheetViews>
  <sheetFormatPr baseColWidth="10" defaultColWidth="10.6640625" defaultRowHeight="15"/>
  <cols>
    <col min="1" max="1" width="19" style="1" customWidth="1"/>
    <col min="2" max="2" width="14.109375" style="1" customWidth="1"/>
    <col min="3" max="4" width="12.109375" style="1" customWidth="1"/>
  </cols>
  <sheetData>
    <row r="1" spans="1:6" ht="18">
      <c r="A1" s="9" t="s">
        <v>0</v>
      </c>
      <c r="B1" s="84" t="s">
        <v>27</v>
      </c>
      <c r="C1" s="84"/>
      <c r="D1" s="84"/>
      <c r="E1" s="84"/>
      <c r="F1" s="84"/>
    </row>
    <row r="2" spans="1:6">
      <c r="A2" s="2"/>
      <c r="B2" s="2"/>
      <c r="C2" s="2"/>
      <c r="D2" s="2"/>
    </row>
    <row r="3" spans="1:6">
      <c r="A3" s="4" t="s">
        <v>1</v>
      </c>
      <c r="B3" s="13">
        <f>'ER Calculation Summary'!$B$3</f>
        <v>45788</v>
      </c>
    </row>
    <row r="4" spans="1:6">
      <c r="A4" s="4"/>
      <c r="B4" s="5"/>
    </row>
    <row r="5" spans="1:6">
      <c r="A5" s="4" t="s">
        <v>2</v>
      </c>
      <c r="B5" s="5">
        <f>'ER Calculation Summary'!$B$5</f>
        <v>9</v>
      </c>
    </row>
    <row r="6" spans="1:6">
      <c r="A6" s="4"/>
      <c r="B6" s="5"/>
    </row>
    <row r="7" spans="1:6">
      <c r="A7" s="4" t="s">
        <v>3</v>
      </c>
      <c r="B7" s="22">
        <v>0.42930000000000001</v>
      </c>
      <c r="C7" s="3"/>
      <c r="D7" s="3"/>
    </row>
    <row r="8" spans="1:6">
      <c r="A8" s="4"/>
      <c r="B8" s="4"/>
      <c r="C8" s="4"/>
      <c r="D8" s="4"/>
    </row>
    <row r="9" spans="1:6" ht="15.75">
      <c r="A9" s="10" t="s">
        <v>4</v>
      </c>
      <c r="B9" s="11">
        <f>B31</f>
        <v>6352</v>
      </c>
      <c r="C9" s="12" t="s">
        <v>13</v>
      </c>
      <c r="D9" s="12"/>
    </row>
    <row r="11" spans="1:6">
      <c r="A11" s="4" t="s">
        <v>8</v>
      </c>
      <c r="B11" s="4"/>
      <c r="C11" s="4"/>
      <c r="D11" s="4"/>
    </row>
    <row r="14" spans="1:6" s="63" customFormat="1" ht="57.75">
      <c r="A14" s="77" t="s">
        <v>5</v>
      </c>
      <c r="B14" s="76" t="s">
        <v>57</v>
      </c>
      <c r="C14" s="76" t="s">
        <v>14</v>
      </c>
      <c r="D14" s="76" t="s">
        <v>58</v>
      </c>
      <c r="E14" s="76" t="s">
        <v>15</v>
      </c>
    </row>
    <row r="15" spans="1:6">
      <c r="A15" s="16">
        <v>44197</v>
      </c>
      <c r="B15" s="25">
        <f>1471.595796</f>
        <v>1471.5957960000001</v>
      </c>
      <c r="C15" s="25">
        <f>1471.595796</f>
        <v>1471.5957960000001</v>
      </c>
      <c r="D15" s="25">
        <f>10.214166</f>
        <v>10.214166000000001</v>
      </c>
      <c r="E15" s="25">
        <f>10.214166</f>
        <v>10.214166000000001</v>
      </c>
    </row>
    <row r="16" spans="1:6">
      <c r="A16" s="16">
        <v>44228</v>
      </c>
      <c r="B16" s="25">
        <f>1536.389511</f>
        <v>1536.3895110000001</v>
      </c>
      <c r="C16" s="25">
        <f>1536.389511</f>
        <v>1536.3895110000001</v>
      </c>
      <c r="D16" s="25">
        <f>9.084729</f>
        <v>9.0847289999999994</v>
      </c>
      <c r="E16" s="25">
        <f>9.084729</f>
        <v>9.0847289999999994</v>
      </c>
    </row>
    <row r="17" spans="1:5">
      <c r="A17" s="16">
        <v>44256</v>
      </c>
      <c r="B17" s="25">
        <f>1820.056997</f>
        <v>1820.0569969999999</v>
      </c>
      <c r="C17" s="25">
        <f>1820.056997</f>
        <v>1820.0569969999999</v>
      </c>
      <c r="D17" s="25">
        <f>10.260302</f>
        <v>10.260301999999999</v>
      </c>
      <c r="E17" s="25">
        <f>10.260302</f>
        <v>10.260301999999999</v>
      </c>
    </row>
    <row r="18" spans="1:5">
      <c r="A18" s="16">
        <v>44287</v>
      </c>
      <c r="B18" s="25">
        <f>1450.882649</f>
        <v>1450.8826489999999</v>
      </c>
      <c r="C18" s="25">
        <f>1450.882649</f>
        <v>1450.8826489999999</v>
      </c>
      <c r="D18" s="25">
        <f>10.374836</f>
        <v>10.374836</v>
      </c>
      <c r="E18" s="25">
        <f>10.374836</f>
        <v>10.374836</v>
      </c>
    </row>
    <row r="19" spans="1:5">
      <c r="A19" s="16">
        <v>44317</v>
      </c>
      <c r="B19" s="25">
        <f>1346.377907</f>
        <v>1346.3779070000001</v>
      </c>
      <c r="C19" s="25">
        <f>1346.377907</f>
        <v>1346.3779070000001</v>
      </c>
      <c r="D19" s="25">
        <f>10.515644</f>
        <v>10.515644</v>
      </c>
      <c r="E19" s="25">
        <f>10.515644</f>
        <v>10.515644</v>
      </c>
    </row>
    <row r="20" spans="1:5">
      <c r="A20" s="16">
        <v>44348</v>
      </c>
      <c r="B20" s="25">
        <f>1296.335147</f>
        <v>1296.335147</v>
      </c>
      <c r="C20" s="25">
        <f>1296.335147</f>
        <v>1296.335147</v>
      </c>
      <c r="D20" s="25">
        <f>9.6032</f>
        <v>9.6031999999999993</v>
      </c>
      <c r="E20" s="25">
        <f>9.6032</f>
        <v>9.6031999999999993</v>
      </c>
    </row>
    <row r="21" spans="1:5">
      <c r="A21" s="16">
        <v>44378</v>
      </c>
      <c r="B21" s="25">
        <f>1145.973654</f>
        <v>1145.9736539999999</v>
      </c>
      <c r="C21" s="25">
        <f>1145.973654</f>
        <v>1145.9736539999999</v>
      </c>
      <c r="D21" s="25">
        <f>9.501718</f>
        <v>9.5017180000000003</v>
      </c>
      <c r="E21" s="25">
        <f>9.501718</f>
        <v>9.5017180000000003</v>
      </c>
    </row>
    <row r="22" spans="1:5">
      <c r="A22" s="16">
        <v>44409</v>
      </c>
      <c r="B22" s="25">
        <f>1278.56324</f>
        <v>1278.56324</v>
      </c>
      <c r="C22" s="23">
        <f>B22*$C$33</f>
        <v>1246.5991589999999</v>
      </c>
      <c r="D22" s="25">
        <f>9.825252</f>
        <v>9.8252520000000008</v>
      </c>
      <c r="E22" s="24">
        <f>D22*$C$34</f>
        <v>10.0708833</v>
      </c>
    </row>
    <row r="23" spans="1:5">
      <c r="A23" s="16">
        <v>44440</v>
      </c>
      <c r="B23" s="25">
        <f>1055.312057</f>
        <v>1055.3120570000001</v>
      </c>
      <c r="C23" s="23">
        <f t="shared" ref="C23:C26" si="0">B23*$C$33</f>
        <v>1028.9292555750001</v>
      </c>
      <c r="D23" s="25">
        <f>8.172152</f>
        <v>8.1721520000000005</v>
      </c>
      <c r="E23" s="24">
        <f t="shared" ref="E23:E26" si="1">D23*$C$34</f>
        <v>8.3764558000000005</v>
      </c>
    </row>
    <row r="24" spans="1:5">
      <c r="A24" s="16">
        <v>44470</v>
      </c>
      <c r="B24" s="25">
        <f>753.268247</f>
        <v>753.26824699999997</v>
      </c>
      <c r="C24" s="23">
        <f t="shared" si="0"/>
        <v>734.43654082499995</v>
      </c>
      <c r="D24" s="25">
        <f>6.607634</f>
        <v>6.607634</v>
      </c>
      <c r="E24" s="24">
        <f t="shared" si="1"/>
        <v>6.7728248499999992</v>
      </c>
    </row>
    <row r="25" spans="1:5">
      <c r="A25" s="16">
        <v>44501</v>
      </c>
      <c r="B25" s="25">
        <f>734.437995</f>
        <v>734.437995</v>
      </c>
      <c r="C25" s="23">
        <f t="shared" si="0"/>
        <v>716.07704512500004</v>
      </c>
      <c r="D25" s="25">
        <f>7.12492</f>
        <v>7.1249200000000004</v>
      </c>
      <c r="E25" s="24">
        <f t="shared" si="1"/>
        <v>7.3030429999999997</v>
      </c>
    </row>
    <row r="26" spans="1:5">
      <c r="A26" s="16">
        <v>44531</v>
      </c>
      <c r="B26" s="25">
        <f>1142.336949</f>
        <v>1142.336949</v>
      </c>
      <c r="C26" s="23">
        <f t="shared" si="0"/>
        <v>1113.778525275</v>
      </c>
      <c r="D26" s="25">
        <f>8.708362</f>
        <v>8.7083619999999993</v>
      </c>
      <c r="E26" s="24">
        <f t="shared" si="1"/>
        <v>8.9260710499999991</v>
      </c>
    </row>
    <row r="27" spans="1:5">
      <c r="A27" s="27" t="s">
        <v>9</v>
      </c>
      <c r="B27" s="28">
        <f>SUM(B15:B26)</f>
        <v>15031.530148999998</v>
      </c>
      <c r="C27" s="28">
        <f>SUM(C15:C26)</f>
        <v>14907.432186799997</v>
      </c>
      <c r="D27" s="28">
        <f>SUM(D15:D26)</f>
        <v>109.99291500000001</v>
      </c>
      <c r="E27" s="28">
        <f>SUM(E15:E26)</f>
        <v>111.00387300000001</v>
      </c>
    </row>
    <row r="28" spans="1:5" ht="15.75" thickBot="1"/>
    <row r="29" spans="1:5" ht="15.75" thickBot="1">
      <c r="A29" s="8" t="s">
        <v>6</v>
      </c>
      <c r="B29" s="7">
        <f>+C27-E27</f>
        <v>14796.428313799997</v>
      </c>
    </row>
    <row r="30" spans="1:5" ht="15.75" thickBot="1"/>
    <row r="31" spans="1:5" ht="15.75" thickBot="1">
      <c r="A31" s="14" t="s">
        <v>7</v>
      </c>
      <c r="B31" s="15">
        <f>ROUNDDOWN(B29*B7,0)</f>
        <v>6352</v>
      </c>
      <c r="C31" s="6"/>
      <c r="D31" s="6"/>
    </row>
    <row r="32" spans="1:5">
      <c r="A32" s="6"/>
      <c r="B32" s="17"/>
      <c r="C32" s="6"/>
      <c r="D32" s="6"/>
    </row>
    <row r="33" spans="1:4">
      <c r="A33" s="18" t="s">
        <v>11</v>
      </c>
      <c r="B33" s="19"/>
      <c r="C33" s="20">
        <f>1-0.025</f>
        <v>0.97499999999999998</v>
      </c>
      <c r="D33" s="20"/>
    </row>
    <row r="34" spans="1:4">
      <c r="A34" s="21" t="s">
        <v>12</v>
      </c>
      <c r="B34" s="21"/>
      <c r="C34" s="20">
        <v>1.0249999999999999</v>
      </c>
      <c r="D34" s="20"/>
    </row>
  </sheetData>
  <mergeCells count="1">
    <mergeCell ref="B1:F1"/>
  </mergeCells>
  <phoneticPr fontId="17" type="noConversion"/>
  <pageMargins left="0.78739999999999999" right="0.78739999999999999" top="1.1232" bottom="1.1232" header="0.78739999999999999" footer="0.78739999999999999"/>
  <pageSetup paperSize="0" fitToWidth="0" fitToHeight="0" orientation="portrait" horizontalDpi="0" verticalDpi="0" copies="0"/>
  <headerFooter alignWithMargins="0">
    <oddHeader>&amp;C&amp;10&amp;A</oddHeader>
    <oddFooter>&amp;C&amp;10Page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E9FD3-ECFA-4AE6-918E-9C5D2A2364DD}">
  <dimension ref="A1:F34"/>
  <sheetViews>
    <sheetView zoomScale="79" workbookViewId="0">
      <selection activeCell="B9" sqref="B9"/>
    </sheetView>
  </sheetViews>
  <sheetFormatPr baseColWidth="10" defaultColWidth="10.6640625" defaultRowHeight="15"/>
  <cols>
    <col min="1" max="1" width="19" style="1" customWidth="1"/>
    <col min="2" max="2" width="14.109375" style="1" customWidth="1"/>
    <col min="3" max="4" width="12.109375" style="1" customWidth="1"/>
  </cols>
  <sheetData>
    <row r="1" spans="1:6" ht="18">
      <c r="A1" s="9" t="s">
        <v>0</v>
      </c>
      <c r="B1" s="84" t="s">
        <v>27</v>
      </c>
      <c r="C1" s="84"/>
      <c r="D1" s="84"/>
      <c r="E1" s="84"/>
      <c r="F1" s="84"/>
    </row>
    <row r="2" spans="1:6">
      <c r="A2" s="2"/>
      <c r="B2" s="2"/>
      <c r="C2" s="2"/>
      <c r="D2" s="2"/>
    </row>
    <row r="3" spans="1:6">
      <c r="A3" s="4" t="s">
        <v>1</v>
      </c>
      <c r="B3" s="13">
        <f>'ER Calculation Summary'!$B$3</f>
        <v>45788</v>
      </c>
    </row>
    <row r="4" spans="1:6">
      <c r="A4" s="4"/>
      <c r="B4" s="5"/>
    </row>
    <row r="5" spans="1:6">
      <c r="A5" s="4" t="s">
        <v>2</v>
      </c>
      <c r="B5" s="5">
        <f>'ER Calculation Summary'!$B$5</f>
        <v>9</v>
      </c>
    </row>
    <row r="6" spans="1:6">
      <c r="A6" s="4"/>
      <c r="B6" s="5"/>
    </row>
    <row r="7" spans="1:6">
      <c r="A7" s="4" t="s">
        <v>3</v>
      </c>
      <c r="B7" s="22">
        <v>0.41849999999999998</v>
      </c>
      <c r="C7" s="3"/>
      <c r="D7" s="3"/>
    </row>
    <row r="8" spans="1:6">
      <c r="A8" s="4"/>
      <c r="B8" s="4"/>
      <c r="C8" s="4"/>
      <c r="D8" s="4"/>
    </row>
    <row r="9" spans="1:6" ht="15.75">
      <c r="A9" s="10" t="s">
        <v>4</v>
      </c>
      <c r="B9" s="11">
        <f>B31</f>
        <v>5910</v>
      </c>
      <c r="C9" s="12" t="s">
        <v>13</v>
      </c>
      <c r="D9" s="12"/>
    </row>
    <row r="11" spans="1:6">
      <c r="A11" s="4" t="s">
        <v>8</v>
      </c>
      <c r="B11" s="4"/>
      <c r="C11" s="4"/>
      <c r="D11" s="4"/>
    </row>
    <row r="14" spans="1:6" s="63" customFormat="1" ht="57.75">
      <c r="A14" s="77" t="s">
        <v>5</v>
      </c>
      <c r="B14" s="76" t="s">
        <v>57</v>
      </c>
      <c r="C14" s="76" t="s">
        <v>14</v>
      </c>
      <c r="D14" s="76" t="s">
        <v>58</v>
      </c>
      <c r="E14" s="76" t="s">
        <v>15</v>
      </c>
    </row>
    <row r="15" spans="1:6">
      <c r="A15" s="16">
        <v>44562</v>
      </c>
      <c r="B15" s="25">
        <f>1691.20571</f>
        <v>1691.20571</v>
      </c>
      <c r="C15" s="23">
        <f>B15*$C$33</f>
        <v>1648.9255672499999</v>
      </c>
      <c r="D15" s="25">
        <f>9.888254</f>
        <v>9.8882539999999999</v>
      </c>
      <c r="E15" s="24">
        <f>D15*$C$34</f>
        <v>10.135460349999999</v>
      </c>
    </row>
    <row r="16" spans="1:6">
      <c r="A16" s="16">
        <v>44593</v>
      </c>
      <c r="B16" s="25">
        <f>1544.198361</f>
        <v>1544.198361</v>
      </c>
      <c r="C16" s="23">
        <f t="shared" ref="C16:C17" si="0">B16*$C$33</f>
        <v>1505.593401975</v>
      </c>
      <c r="D16" s="25">
        <f>8.226433</f>
        <v>8.2264330000000001</v>
      </c>
      <c r="E16" s="24">
        <f t="shared" ref="E16:E17" si="1">D16*$C$34</f>
        <v>8.432093824999999</v>
      </c>
    </row>
    <row r="17" spans="1:5">
      <c r="A17" s="16">
        <v>44621</v>
      </c>
      <c r="B17" s="25">
        <f>1680.108439</f>
        <v>1680.1084390000001</v>
      </c>
      <c r="C17" s="23">
        <f t="shared" si="0"/>
        <v>1638.105728025</v>
      </c>
      <c r="D17" s="25">
        <f>9.678641</f>
        <v>9.6786410000000007</v>
      </c>
      <c r="E17" s="24">
        <f t="shared" si="1"/>
        <v>9.9206070250000007</v>
      </c>
    </row>
    <row r="18" spans="1:5">
      <c r="A18" s="16">
        <v>44652</v>
      </c>
      <c r="B18" s="25">
        <v>1330.4079819999999</v>
      </c>
      <c r="C18" s="25">
        <v>1330.4079819999999</v>
      </c>
      <c r="D18" s="25">
        <v>9.8549249999999997</v>
      </c>
      <c r="E18" s="25">
        <v>9.8549249999999997</v>
      </c>
    </row>
    <row r="19" spans="1:5">
      <c r="A19" s="16">
        <v>44682</v>
      </c>
      <c r="B19" s="25">
        <v>927.24655299999995</v>
      </c>
      <c r="C19" s="25">
        <v>927.24655299999995</v>
      </c>
      <c r="D19" s="25">
        <v>10.23263</v>
      </c>
      <c r="E19" s="25">
        <v>10.23263</v>
      </c>
    </row>
    <row r="20" spans="1:5">
      <c r="A20" s="16">
        <v>44713</v>
      </c>
      <c r="B20" s="25">
        <v>860.31921699999998</v>
      </c>
      <c r="C20" s="25">
        <v>860.31921699999998</v>
      </c>
      <c r="D20" s="25">
        <v>9.9954999999999998</v>
      </c>
      <c r="E20" s="25">
        <v>9.9954999999999998</v>
      </c>
    </row>
    <row r="21" spans="1:5">
      <c r="A21" s="16">
        <v>44743</v>
      </c>
      <c r="B21" s="25">
        <v>825.56566999999995</v>
      </c>
      <c r="C21" s="25">
        <v>825.56566999999995</v>
      </c>
      <c r="D21" s="25">
        <v>10.097104</v>
      </c>
      <c r="E21" s="25">
        <v>10.097104</v>
      </c>
    </row>
    <row r="22" spans="1:5">
      <c r="A22" s="16">
        <v>44774</v>
      </c>
      <c r="B22" s="25">
        <v>990.74807199999964</v>
      </c>
      <c r="C22" s="25">
        <v>990.74807199999964</v>
      </c>
      <c r="D22" s="25">
        <v>10.212854999999999</v>
      </c>
      <c r="E22" s="25">
        <v>10.212854999999999</v>
      </c>
    </row>
    <row r="23" spans="1:5">
      <c r="A23" s="16">
        <v>44805</v>
      </c>
      <c r="B23" s="25">
        <v>963.32570399999997</v>
      </c>
      <c r="C23" s="25">
        <v>963.32570399999997</v>
      </c>
      <c r="D23" s="25">
        <v>10.136308</v>
      </c>
      <c r="E23" s="25">
        <v>10.136308</v>
      </c>
    </row>
    <row r="24" spans="1:5">
      <c r="A24" s="16">
        <v>44835</v>
      </c>
      <c r="B24" s="25">
        <v>1128.4808969999999</v>
      </c>
      <c r="C24" s="25">
        <v>1128.4808969999999</v>
      </c>
      <c r="D24" s="25">
        <v>10.408695</v>
      </c>
      <c r="E24" s="25">
        <v>10.408695</v>
      </c>
    </row>
    <row r="25" spans="1:5">
      <c r="A25" s="16">
        <v>44866</v>
      </c>
      <c r="B25" s="25">
        <v>948.52551400000004</v>
      </c>
      <c r="C25" s="25">
        <v>948.52551400000004</v>
      </c>
      <c r="D25" s="25">
        <v>10.484299999999999</v>
      </c>
      <c r="E25" s="25">
        <v>10.484299999999999</v>
      </c>
    </row>
    <row r="26" spans="1:5">
      <c r="A26" s="16">
        <v>44896</v>
      </c>
      <c r="B26" s="25">
        <v>1475.4777059999999</v>
      </c>
      <c r="C26" s="25">
        <v>1475.4777059999999</v>
      </c>
      <c r="D26" s="25">
        <v>10.537509</v>
      </c>
      <c r="E26" s="25">
        <v>10.537509</v>
      </c>
    </row>
    <row r="27" spans="1:5">
      <c r="A27" s="27" t="s">
        <v>9</v>
      </c>
      <c r="B27" s="28">
        <f>SUM(B15:B26)</f>
        <v>14365.609825000001</v>
      </c>
      <c r="C27" s="28">
        <f>SUM(C15:C26)</f>
        <v>14242.72201225</v>
      </c>
      <c r="D27" s="28">
        <f>SUM(D15:D26)</f>
        <v>119.75315400000001</v>
      </c>
      <c r="E27" s="28">
        <f>SUM(E15:E26)</f>
        <v>120.4479872</v>
      </c>
    </row>
    <row r="28" spans="1:5" ht="15.75" thickBot="1"/>
    <row r="29" spans="1:5" ht="15.75" thickBot="1">
      <c r="A29" s="8" t="s">
        <v>6</v>
      </c>
      <c r="B29" s="7">
        <f>+C27-E27</f>
        <v>14122.274025050001</v>
      </c>
    </row>
    <row r="30" spans="1:5" ht="15.75" thickBot="1"/>
    <row r="31" spans="1:5" ht="15.75" thickBot="1">
      <c r="A31" s="14" t="s">
        <v>7</v>
      </c>
      <c r="B31" s="15">
        <f>ROUNDDOWN(B29*B7,0)</f>
        <v>5910</v>
      </c>
      <c r="C31" s="6"/>
      <c r="D31" s="6"/>
    </row>
    <row r="32" spans="1:5">
      <c r="A32" s="6"/>
      <c r="B32" s="17"/>
      <c r="C32" s="6"/>
      <c r="D32" s="6"/>
    </row>
    <row r="33" spans="1:4">
      <c r="A33" s="18" t="s">
        <v>11</v>
      </c>
      <c r="B33" s="19"/>
      <c r="C33" s="20">
        <f>1-0.025</f>
        <v>0.97499999999999998</v>
      </c>
      <c r="D33" s="20"/>
    </row>
    <row r="34" spans="1:4">
      <c r="A34" s="21" t="s">
        <v>12</v>
      </c>
      <c r="B34" s="21"/>
      <c r="C34" s="20">
        <v>1.0249999999999999</v>
      </c>
      <c r="D34" s="20"/>
    </row>
  </sheetData>
  <mergeCells count="1">
    <mergeCell ref="B1:F1"/>
  </mergeCells>
  <phoneticPr fontId="17" type="noConversion"/>
  <pageMargins left="0.78739999999999999" right="0.78739999999999999" top="1.1232" bottom="1.1232" header="0.78739999999999999" footer="0.78739999999999999"/>
  <pageSetup paperSize="0" fitToWidth="0" fitToHeight="0" orientation="portrait" horizontalDpi="0" verticalDpi="0" copies="0"/>
  <headerFooter alignWithMargins="0">
    <oddHeader>&amp;C&amp;10&amp;A</oddHeader>
    <oddFooter>&amp;C&amp;10Page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9A485-86B0-4D88-88DD-3893090130D2}">
  <dimension ref="A1:F33"/>
  <sheetViews>
    <sheetView topLeftCell="A5" zoomScale="83" workbookViewId="0">
      <selection activeCell="B7" sqref="B7"/>
    </sheetView>
  </sheetViews>
  <sheetFormatPr baseColWidth="10" defaultColWidth="10.6640625" defaultRowHeight="15"/>
  <cols>
    <col min="1" max="1" width="19" style="1" customWidth="1"/>
    <col min="2" max="2" width="14.109375" style="1" customWidth="1"/>
    <col min="3" max="4" width="12.109375" style="1" customWidth="1"/>
    <col min="5" max="5" width="13.44140625" style="1" customWidth="1"/>
  </cols>
  <sheetData>
    <row r="1" spans="1:6" ht="18">
      <c r="A1" s="9" t="s">
        <v>0</v>
      </c>
      <c r="B1" s="84" t="s">
        <v>27</v>
      </c>
      <c r="C1" s="84"/>
      <c r="D1" s="84"/>
      <c r="E1" s="84"/>
      <c r="F1" s="84"/>
    </row>
    <row r="2" spans="1:6">
      <c r="A2" s="2"/>
      <c r="B2" s="2"/>
      <c r="C2" s="2"/>
      <c r="D2" s="2"/>
      <c r="E2" s="2"/>
    </row>
    <row r="3" spans="1:6">
      <c r="A3" s="4" t="s">
        <v>1</v>
      </c>
      <c r="B3" s="13">
        <f>'ER Calculation Summary'!$B$3</f>
        <v>45788</v>
      </c>
    </row>
    <row r="4" spans="1:6">
      <c r="A4" s="4"/>
      <c r="B4" s="5"/>
    </row>
    <row r="5" spans="1:6">
      <c r="A5" s="4" t="s">
        <v>2</v>
      </c>
      <c r="B5" s="5">
        <f>'ER Calculation Summary'!$B$5</f>
        <v>9</v>
      </c>
    </row>
    <row r="6" spans="1:6">
      <c r="A6" s="4"/>
      <c r="B6" s="5"/>
    </row>
    <row r="7" spans="1:6">
      <c r="A7" s="4" t="s">
        <v>3</v>
      </c>
      <c r="B7" s="22">
        <v>0.42809999999999998</v>
      </c>
      <c r="C7" s="3"/>
      <c r="D7" s="3"/>
    </row>
    <row r="8" spans="1:6">
      <c r="A8" s="4"/>
      <c r="B8" s="4"/>
      <c r="C8" s="4"/>
      <c r="D8" s="4"/>
      <c r="E8" s="4"/>
    </row>
    <row r="9" spans="1:6" ht="15.75">
      <c r="A9" s="10" t="s">
        <v>4</v>
      </c>
      <c r="B9" s="11">
        <f>B30</f>
        <v>6306</v>
      </c>
      <c r="C9" s="12" t="s">
        <v>13</v>
      </c>
      <c r="D9" s="12"/>
    </row>
    <row r="11" spans="1:6">
      <c r="A11" s="4" t="s">
        <v>8</v>
      </c>
      <c r="B11" s="4"/>
      <c r="C11" s="4"/>
      <c r="D11" s="4"/>
      <c r="E11" s="4"/>
    </row>
    <row r="14" spans="1:6" s="63" customFormat="1" ht="57.75">
      <c r="A14" s="77" t="s">
        <v>5</v>
      </c>
      <c r="B14" s="76" t="s">
        <v>57</v>
      </c>
      <c r="C14" s="76" t="s">
        <v>14</v>
      </c>
      <c r="D14" s="76" t="s">
        <v>58</v>
      </c>
      <c r="E14" s="76" t="s">
        <v>15</v>
      </c>
    </row>
    <row r="15" spans="1:6">
      <c r="A15" s="16">
        <v>44927</v>
      </c>
      <c r="B15" s="25">
        <v>1552.0616829999999</v>
      </c>
      <c r="C15" s="25">
        <v>1552.0616829999999</v>
      </c>
      <c r="D15" s="25">
        <v>10.605866000000001</v>
      </c>
      <c r="E15" s="25">
        <v>10.605866000000001</v>
      </c>
    </row>
    <row r="16" spans="1:6">
      <c r="A16" s="16">
        <v>44958</v>
      </c>
      <c r="B16" s="25">
        <v>1623.0012690000001</v>
      </c>
      <c r="C16" s="25">
        <v>1623.0012690000001</v>
      </c>
      <c r="D16" s="25">
        <v>9.5680259999999997</v>
      </c>
      <c r="E16" s="25">
        <v>9.5680259999999997</v>
      </c>
    </row>
    <row r="17" spans="1:5">
      <c r="A17" s="16">
        <v>44986</v>
      </c>
      <c r="B17" s="25">
        <f>1620.025651</f>
        <v>1620.0256509999999</v>
      </c>
      <c r="C17" s="23">
        <f>B17*C32</f>
        <v>1579.5250097249998</v>
      </c>
      <c r="D17" s="24">
        <f>12.299176</f>
        <v>12.299175999999999</v>
      </c>
      <c r="E17" s="24">
        <f>D17*$C$33</f>
        <v>12.606655399999998</v>
      </c>
    </row>
    <row r="18" spans="1:5">
      <c r="A18" s="16">
        <v>45017</v>
      </c>
      <c r="B18" s="25">
        <v>1525.0061820000001</v>
      </c>
      <c r="C18" s="25">
        <v>1525.0061820000001</v>
      </c>
      <c r="D18" s="25">
        <v>12.643102499999999</v>
      </c>
      <c r="E18" s="25">
        <v>12.643102499999999</v>
      </c>
    </row>
    <row r="19" spans="1:5">
      <c r="A19" s="16">
        <v>45047</v>
      </c>
      <c r="B19" s="25">
        <v>1427.351864</v>
      </c>
      <c r="C19" s="25">
        <v>1427.351864</v>
      </c>
      <c r="D19" s="25">
        <v>9.5841665000000003</v>
      </c>
      <c r="E19" s="25">
        <v>9.5841665000000003</v>
      </c>
    </row>
    <row r="20" spans="1:5">
      <c r="A20" s="16">
        <v>45078</v>
      </c>
      <c r="B20" s="25">
        <v>1259.491381</v>
      </c>
      <c r="C20" s="25">
        <v>1259.491381</v>
      </c>
      <c r="D20" s="25">
        <v>10.3498</v>
      </c>
      <c r="E20" s="25">
        <v>10.3498</v>
      </c>
    </row>
    <row r="21" spans="1:5">
      <c r="A21" s="16">
        <v>45108</v>
      </c>
      <c r="B21" s="25">
        <v>1245.5718959999999</v>
      </c>
      <c r="C21" s="25">
        <v>1245.5718959999999</v>
      </c>
      <c r="D21" s="25">
        <v>10.675772800000001</v>
      </c>
      <c r="E21" s="25">
        <v>10.675772800000001</v>
      </c>
    </row>
    <row r="22" spans="1:5">
      <c r="A22" s="16">
        <v>45139</v>
      </c>
      <c r="B22" s="25">
        <v>1208.9750094000001</v>
      </c>
      <c r="C22" s="25">
        <v>1208.9750094000001</v>
      </c>
      <c r="D22" s="25">
        <v>10.375339100000009</v>
      </c>
      <c r="E22" s="25">
        <v>10.375339100000009</v>
      </c>
    </row>
    <row r="23" spans="1:5">
      <c r="A23" s="16">
        <v>45170</v>
      </c>
      <c r="B23" s="25">
        <v>1211.3698114999997</v>
      </c>
      <c r="C23" s="25">
        <v>1211.3698114999997</v>
      </c>
      <c r="D23" s="25">
        <v>9.5243363000000052</v>
      </c>
      <c r="E23" s="25">
        <v>9.5243363000000052</v>
      </c>
    </row>
    <row r="24" spans="1:5">
      <c r="A24" s="16">
        <v>45200</v>
      </c>
      <c r="B24" s="25">
        <v>1139.4260285</v>
      </c>
      <c r="C24" s="25">
        <v>1139.4260285</v>
      </c>
      <c r="D24" s="25">
        <v>9.4225324000000032</v>
      </c>
      <c r="E24" s="25">
        <v>9.4225324000000032</v>
      </c>
    </row>
    <row r="25" spans="1:5">
      <c r="A25" s="16">
        <v>45231</v>
      </c>
      <c r="B25" s="25">
        <f>1077.1018619</f>
        <v>1077.1018618999999</v>
      </c>
      <c r="C25" s="25">
        <f>1077.1018619</f>
        <v>1077.1018618999999</v>
      </c>
      <c r="D25" s="25">
        <f>11.0023473</f>
        <v>11.0023473</v>
      </c>
      <c r="E25" s="25">
        <f>11.0023473</f>
        <v>11.0023473</v>
      </c>
    </row>
    <row r="26" spans="1:5">
      <c r="A26" s="27" t="s">
        <v>9</v>
      </c>
      <c r="B26" s="28">
        <f>SUM(B15:B25)</f>
        <v>14889.382637300001</v>
      </c>
      <c r="C26" s="28">
        <f>SUM(C15:C25)</f>
        <v>14848.881996025</v>
      </c>
      <c r="D26" s="28">
        <f>SUM(D15:D25)</f>
        <v>116.05046490000001</v>
      </c>
      <c r="E26" s="28">
        <f>SUM(E15:E25)</f>
        <v>116.35794430000001</v>
      </c>
    </row>
    <row r="27" spans="1:5" ht="15.75" thickBot="1"/>
    <row r="28" spans="1:5" ht="15.75" thickBot="1">
      <c r="A28" s="8" t="s">
        <v>6</v>
      </c>
      <c r="B28" s="7">
        <f>+C26-E26</f>
        <v>14732.524051725</v>
      </c>
    </row>
    <row r="29" spans="1:5" ht="15.75" thickBot="1"/>
    <row r="30" spans="1:5" ht="15.75" thickBot="1">
      <c r="A30" s="14" t="s">
        <v>7</v>
      </c>
      <c r="B30" s="15">
        <f>ROUNDDOWN(B28*B7,0)</f>
        <v>6306</v>
      </c>
      <c r="C30" s="6"/>
      <c r="D30" s="6"/>
      <c r="E30" s="6"/>
    </row>
    <row r="31" spans="1:5">
      <c r="A31" s="6"/>
      <c r="B31" s="17"/>
      <c r="C31" s="6"/>
      <c r="D31" s="6"/>
      <c r="E31" s="6"/>
    </row>
    <row r="32" spans="1:5">
      <c r="A32" s="18" t="s">
        <v>11</v>
      </c>
      <c r="B32" s="19"/>
      <c r="C32" s="20">
        <f>1-0.025</f>
        <v>0.97499999999999998</v>
      </c>
      <c r="D32" s="20"/>
    </row>
    <row r="33" spans="1:4">
      <c r="A33" s="21" t="s">
        <v>12</v>
      </c>
      <c r="B33" s="21"/>
      <c r="C33" s="20">
        <v>1.0249999999999999</v>
      </c>
      <c r="D33" s="20"/>
    </row>
  </sheetData>
  <mergeCells count="1">
    <mergeCell ref="B1:F1"/>
  </mergeCells>
  <phoneticPr fontId="17" type="noConversion"/>
  <pageMargins left="0.78739999999999999" right="0.78739999999999999" top="1.1232" bottom="1.1232" header="0.78739999999999999" footer="0.78739999999999999"/>
  <pageSetup paperSize="0" fitToWidth="0" fitToHeight="0" orientation="portrait" horizontalDpi="0" verticalDpi="0" copies="0"/>
  <headerFooter alignWithMargins="0">
    <oddHeader>&amp;C&amp;10&amp;A</oddHeader>
    <oddFooter>&amp;C&amp;10Page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Calculation Ex-Ante</vt:lpstr>
      <vt:lpstr>ER Calculation Summary</vt:lpstr>
      <vt:lpstr>ER Calculation 2019</vt:lpstr>
      <vt:lpstr>ER Calculation 2020</vt:lpstr>
      <vt:lpstr>ER Calculation 2021</vt:lpstr>
      <vt:lpstr>ER Calculation 2022</vt:lpstr>
      <vt:lpstr>ER Calculation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Larios</dc:creator>
  <cp:lastModifiedBy>Paola Larios</cp:lastModifiedBy>
  <dcterms:created xsi:type="dcterms:W3CDTF">2019-12-04T03:33:13Z</dcterms:created>
  <dcterms:modified xsi:type="dcterms:W3CDTF">2025-05-11T22:00:45Z</dcterms:modified>
</cp:coreProperties>
</file>