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3594db1b17a3548/Área de Trabalho/CDM/Applus/VCS Pichacay 4th Verification/"/>
    </mc:Choice>
  </mc:AlternateContent>
  <xr:revisionPtr revIDLastSave="92" documentId="8_{73629CC3-59B2-4017-8B1D-FEADA0D03E6D}" xr6:coauthVersionLast="47" xr6:coauthVersionMax="47" xr10:uidLastSave="{3AF089D8-2F7A-4745-B365-1DB8779FEBE6}"/>
  <bookViews>
    <workbookView xWindow="-120" yWindow="-120" windowWidth="20730" windowHeight="11160" tabRatio="817" xr2:uid="{D2A368DF-A3A7-4B8F-A017-4C080990A2FF}"/>
  </bookViews>
  <sheets>
    <sheet name="ER calc 1Jan2023 to 31Dec 2023" sheetId="10" r:id="rId1"/>
    <sheet name="Electricity generation 2023" sheetId="1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7" l="1"/>
  <c r="G32" i="17"/>
  <c r="J14" i="17"/>
  <c r="J13" i="17"/>
  <c r="J12" i="17"/>
  <c r="J11" i="17"/>
  <c r="J10" i="17"/>
  <c r="J9" i="17"/>
  <c r="J8" i="17"/>
  <c r="J7" i="17"/>
  <c r="J6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6" i="17"/>
  <c r="G36" i="17"/>
  <c r="G35" i="17"/>
  <c r="G34" i="17"/>
  <c r="G33" i="17"/>
  <c r="N75" i="17"/>
  <c r="M75" i="17"/>
  <c r="L75" i="17"/>
  <c r="K75" i="17"/>
  <c r="J75" i="17"/>
  <c r="I75" i="17"/>
  <c r="H75" i="17"/>
  <c r="G75" i="17"/>
  <c r="F75" i="17"/>
  <c r="E75" i="17"/>
  <c r="D75" i="17"/>
  <c r="C75" i="17"/>
  <c r="D210" i="10"/>
  <c r="E13" i="10" l="1"/>
  <c r="E12" i="10"/>
  <c r="E11" i="10"/>
  <c r="E10" i="10"/>
  <c r="N37" i="17"/>
  <c r="E21" i="10" s="1"/>
  <c r="M37" i="17"/>
  <c r="E20" i="10" s="1"/>
  <c r="L37" i="17"/>
  <c r="E19" i="10" s="1"/>
  <c r="K37" i="17"/>
  <c r="E18" i="10" s="1"/>
  <c r="J37" i="17"/>
  <c r="E17" i="10" s="1"/>
  <c r="I37" i="17"/>
  <c r="E16" i="10" s="1"/>
  <c r="H37" i="17"/>
  <c r="E15" i="10" s="1"/>
  <c r="G37" i="17"/>
  <c r="E14" i="10" s="1"/>
  <c r="F37" i="17"/>
  <c r="E37" i="17"/>
  <c r="D37" i="17"/>
  <c r="C37" i="17"/>
  <c r="F202" i="10"/>
  <c r="E65" i="10"/>
  <c r="H43" i="10"/>
  <c r="I43" i="10" s="1"/>
  <c r="H42" i="10"/>
  <c r="I42" i="10" s="1"/>
  <c r="H41" i="10"/>
  <c r="I41" i="10" s="1"/>
  <c r="H40" i="10"/>
  <c r="I40" i="10" s="1"/>
  <c r="E22" i="10" l="1"/>
  <c r="F21" i="10"/>
  <c r="F20" i="10"/>
  <c r="F19" i="10"/>
  <c r="F18" i="10"/>
  <c r="D134" i="10"/>
  <c r="F17" i="10" l="1"/>
  <c r="F16" i="10"/>
  <c r="F15" i="10"/>
  <c r="F14" i="10"/>
  <c r="F13" i="10"/>
  <c r="F12" i="10"/>
  <c r="F11" i="10"/>
  <c r="F10" i="10"/>
  <c r="H33" i="10"/>
  <c r="I33" i="10" s="1"/>
  <c r="H34" i="10"/>
  <c r="I34" i="10" s="1"/>
  <c r="H32" i="10"/>
  <c r="I32" i="10" s="1"/>
  <c r="H37" i="10"/>
  <c r="I37" i="10" s="1"/>
  <c r="H35" i="10"/>
  <c r="I35" i="10" s="1"/>
  <c r="F22" i="10" l="1"/>
  <c r="D109" i="10" s="1"/>
  <c r="H36" i="10"/>
  <c r="I36" i="10" s="1"/>
  <c r="E189" i="10"/>
  <c r="E138" i="10"/>
  <c r="H38" i="10" l="1"/>
  <c r="I38" i="10" s="1"/>
  <c r="H39" i="10"/>
  <c r="I39" i="10" s="1"/>
  <c r="H44" i="10" l="1"/>
  <c r="D72" i="10" l="1"/>
  <c r="D138" i="10" s="1"/>
  <c r="I44" i="10"/>
  <c r="F138" i="10"/>
  <c r="E148" i="10" l="1"/>
  <c r="E201" i="10" s="1"/>
  <c r="E202" i="10" s="1"/>
  <c r="F141" i="10"/>
  <c r="D141" i="10"/>
  <c r="E173" i="10" l="1"/>
  <c r="D173" i="10" l="1"/>
  <c r="F173" i="10" s="1"/>
  <c r="D189" i="10" s="1"/>
  <c r="E109" i="10" l="1"/>
  <c r="F109" i="10" s="1"/>
  <c r="D176" i="10"/>
  <c r="D192" i="10"/>
  <c r="F189" i="10"/>
  <c r="F192" i="10" s="1"/>
  <c r="D112" i="10"/>
  <c r="F176" i="10"/>
  <c r="D148" i="10" l="1"/>
  <c r="D201" i="10" s="1"/>
  <c r="F112" i="10"/>
  <c r="D151" i="10" l="1"/>
  <c r="D202" i="10"/>
  <c r="F148" i="10"/>
  <c r="F151" i="10" s="1"/>
  <c r="G201" i="10" l="1"/>
  <c r="G202" i="10" l="1"/>
  <c r="I202" i="10" s="1"/>
  <c r="I201" i="10"/>
  <c r="E209" i="10" s="1"/>
  <c r="F209" i="10" l="1"/>
  <c r="F210" i="10" s="1"/>
  <c r="E210" i="10"/>
</calcChain>
</file>

<file path=xl/sharedStrings.xml><?xml version="1.0" encoding="utf-8"?>
<sst xmlns="http://schemas.openxmlformats.org/spreadsheetml/2006/main" count="212" uniqueCount="128">
  <si>
    <t>Year</t>
  </si>
  <si>
    <t>Total</t>
  </si>
  <si>
    <t>Value</t>
  </si>
  <si>
    <t>Unit</t>
  </si>
  <si>
    <t>-</t>
  </si>
  <si>
    <t>Source</t>
  </si>
  <si>
    <t>OX</t>
  </si>
  <si>
    <t>Default value</t>
  </si>
  <si>
    <t>kWh</t>
  </si>
  <si>
    <t>MWh</t>
  </si>
  <si>
    <t>Aug</t>
  </si>
  <si>
    <t>Apr</t>
  </si>
  <si>
    <t>May</t>
  </si>
  <si>
    <t>Jun</t>
  </si>
  <si>
    <t>Jul</t>
  </si>
  <si>
    <t>EEy</t>
  </si>
  <si>
    <t>ACM0001</t>
  </si>
  <si>
    <t>Parameter</t>
  </si>
  <si>
    <r>
      <t>EG</t>
    </r>
    <r>
      <rPr>
        <vertAlign val="subscript"/>
        <sz val="11"/>
        <color theme="1"/>
        <rFont val="Calibri"/>
        <family val="2"/>
        <scheme val="minor"/>
      </rPr>
      <t>PJ,facility</t>
    </r>
  </si>
  <si>
    <r>
      <t>EF</t>
    </r>
    <r>
      <rPr>
        <vertAlign val="subscript"/>
        <sz val="11"/>
        <color theme="1"/>
        <rFont val="Calibri"/>
        <family val="2"/>
        <scheme val="minor"/>
      </rPr>
      <t>grid,y</t>
    </r>
  </si>
  <si>
    <t>Monitoring data</t>
  </si>
  <si>
    <t>Emission reduction landfill methane recovery</t>
  </si>
  <si>
    <r>
      <t>F</t>
    </r>
    <r>
      <rPr>
        <b/>
        <vertAlign val="subscript"/>
        <sz val="11"/>
        <color theme="1"/>
        <rFont val="Calibri"/>
        <family val="2"/>
        <scheme val="minor"/>
      </rPr>
      <t>CH4,PJ</t>
    </r>
  </si>
  <si>
    <r>
      <t>EG</t>
    </r>
    <r>
      <rPr>
        <b/>
        <vertAlign val="subscript"/>
        <sz val="11"/>
        <color theme="1"/>
        <rFont val="Calibri"/>
        <family val="2"/>
        <scheme val="minor"/>
      </rPr>
      <t>PJ,facility</t>
    </r>
  </si>
  <si>
    <r>
      <t>EF</t>
    </r>
    <r>
      <rPr>
        <b/>
        <vertAlign val="subscript"/>
        <sz val="11"/>
        <color theme="1"/>
        <rFont val="Calibri"/>
        <family val="2"/>
        <scheme val="minor"/>
      </rPr>
      <t>grid,y</t>
    </r>
  </si>
  <si>
    <r>
      <t>BE</t>
    </r>
    <r>
      <rPr>
        <b/>
        <vertAlign val="subscript"/>
        <sz val="11"/>
        <color theme="1"/>
        <rFont val="Calibri"/>
        <family val="2"/>
        <scheme val="minor"/>
      </rPr>
      <t>electricity,y</t>
    </r>
  </si>
  <si>
    <r>
      <t>PE</t>
    </r>
    <r>
      <rPr>
        <b/>
        <vertAlign val="subscript"/>
        <sz val="11"/>
        <color theme="1"/>
        <rFont val="Calibri"/>
        <family val="2"/>
        <scheme val="minor"/>
      </rPr>
      <t>electricity,y</t>
    </r>
  </si>
  <si>
    <r>
      <t>ER</t>
    </r>
    <r>
      <rPr>
        <b/>
        <vertAlign val="subscript"/>
        <sz val="11"/>
        <color theme="1"/>
        <rFont val="Calibri"/>
        <family val="2"/>
        <scheme val="minor"/>
      </rPr>
      <t>electricity,y</t>
    </r>
  </si>
  <si>
    <r>
      <t>PE</t>
    </r>
    <r>
      <rPr>
        <b/>
        <vertAlign val="subscript"/>
        <sz val="11"/>
        <color theme="1"/>
        <rFont val="Calibri"/>
        <family val="2"/>
        <scheme val="minor"/>
      </rPr>
      <t>CH4,y</t>
    </r>
  </si>
  <si>
    <r>
      <t>EC</t>
    </r>
    <r>
      <rPr>
        <vertAlign val="subscript"/>
        <sz val="11"/>
        <color theme="1"/>
        <rFont val="Calibri"/>
        <family val="2"/>
        <scheme val="minor"/>
      </rPr>
      <t>project</t>
    </r>
  </si>
  <si>
    <t>Parameters determined at validation not monitored</t>
  </si>
  <si>
    <r>
      <t>Baseline emissions or removals (tCO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e)</t>
    </r>
  </si>
  <si>
    <r>
      <t>Project emissions or removals (tCO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e)</t>
    </r>
  </si>
  <si>
    <r>
      <t>Leakage emissions (tCO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e)</t>
    </r>
  </si>
  <si>
    <t xml:space="preserve">Total </t>
  </si>
  <si>
    <t>B (18h00 - 22h00)</t>
  </si>
  <si>
    <t>Baseline emissions landfill methane recovery</t>
  </si>
  <si>
    <t>3.1</t>
  </si>
  <si>
    <t>3.3</t>
  </si>
  <si>
    <t>3.2</t>
  </si>
  <si>
    <r>
      <t>EC</t>
    </r>
    <r>
      <rPr>
        <b/>
        <vertAlign val="subscript"/>
        <sz val="11"/>
        <color theme="1"/>
        <rFont val="Calibri"/>
        <family val="2"/>
        <scheme val="minor"/>
      </rPr>
      <t>project,y</t>
    </r>
  </si>
  <si>
    <r>
      <t>PE</t>
    </r>
    <r>
      <rPr>
        <b/>
        <vertAlign val="subscript"/>
        <sz val="11"/>
        <color theme="1"/>
        <rFont val="Calibri"/>
        <family val="2"/>
        <scheme val="minor"/>
      </rPr>
      <t>power,y</t>
    </r>
  </si>
  <si>
    <r>
      <t>ER</t>
    </r>
    <r>
      <rPr>
        <b/>
        <vertAlign val="subscript"/>
        <sz val="11"/>
        <color theme="1"/>
        <rFont val="Calibri"/>
        <family val="2"/>
        <scheme val="minor"/>
      </rPr>
      <t>CH4,y</t>
    </r>
  </si>
  <si>
    <t>t CO2e/MWh</t>
  </si>
  <si>
    <t>t CO2e</t>
  </si>
  <si>
    <r>
      <t>PE</t>
    </r>
    <r>
      <rPr>
        <vertAlign val="subscript"/>
        <sz val="11"/>
        <color theme="1"/>
        <rFont val="Calibri"/>
        <family val="2"/>
        <scheme val="minor"/>
      </rPr>
      <t>flare,y</t>
    </r>
    <r>
      <rPr>
        <sz val="11"/>
        <color theme="1"/>
        <rFont val="Calibri"/>
        <family val="2"/>
        <scheme val="minor"/>
      </rPr>
      <t>=0</t>
    </r>
  </si>
  <si>
    <t>Emission reduction calculation - landfill methane recovery</t>
  </si>
  <si>
    <t>4.</t>
  </si>
  <si>
    <t>Project emissions landfill methane recovery</t>
  </si>
  <si>
    <t>4.1</t>
  </si>
  <si>
    <t>Emission reduction calculation - grid connected renewable electricity generation</t>
  </si>
  <si>
    <t>Baseline emissions - grid connected renewable electricity generation</t>
  </si>
  <si>
    <t>4.2</t>
  </si>
  <si>
    <t>Project emissions - grid connected renewable electricity generation</t>
  </si>
  <si>
    <t>=</t>
  </si>
  <si>
    <t>4.3</t>
  </si>
  <si>
    <t>Emission reduction - grid connected renewable electricity generation</t>
  </si>
  <si>
    <t>Total emission reduction calculation</t>
  </si>
  <si>
    <r>
      <t>The quantity of electricity used for the operation of the installed facilities (EC</t>
    </r>
    <r>
      <rPr>
        <b/>
        <vertAlign val="subscript"/>
        <sz val="10"/>
        <color theme="1"/>
        <rFont val="Arial"/>
        <family val="2"/>
      </rPr>
      <t>project,y</t>
    </r>
    <r>
      <rPr>
        <b/>
        <sz val="10"/>
        <color theme="1"/>
        <rFont val="Arial"/>
        <family val="2"/>
      </rPr>
      <t>)</t>
    </r>
  </si>
  <si>
    <t>Source: monthly electricity bills of Empresa Eléctrica Regional Centro Sur C.A.</t>
  </si>
  <si>
    <t>TDL,j,y</t>
  </si>
  <si>
    <t xml:space="preserve">               MONTH                     DAY</t>
  </si>
  <si>
    <t>APRIL</t>
  </si>
  <si>
    <t>MAY</t>
  </si>
  <si>
    <t>JUNE</t>
  </si>
  <si>
    <t>JULY</t>
  </si>
  <si>
    <t>AUGUST</t>
  </si>
  <si>
    <t>Summary electricity consumption</t>
  </si>
  <si>
    <t>File</t>
  </si>
  <si>
    <t>Total (kWh)</t>
  </si>
  <si>
    <t>* Please note that all monthly bills start on the third day of the month and end on the second day of the next month.</t>
  </si>
  <si>
    <t>Month</t>
  </si>
  <si>
    <t>Month*</t>
  </si>
  <si>
    <t>Electricity consumed by the genset in mid voltage (22.000 V: substation and 480 V equipment)</t>
  </si>
  <si>
    <t>* Please note that all monthly bills start on the second day of the month and end on the first day of the next month.</t>
  </si>
  <si>
    <t>Jan</t>
  </si>
  <si>
    <t>Feb</t>
  </si>
  <si>
    <t>March</t>
  </si>
  <si>
    <t>JANUARY</t>
  </si>
  <si>
    <t>FEBRUARY</t>
  </si>
  <si>
    <t>MARCH</t>
  </si>
  <si>
    <t xml:space="preserve">Technical distribution losses </t>
  </si>
  <si>
    <t>https://www.controlrecursosyenergia.gob.ec/estadisticas-del-sector-electrico-ecuatoriano-buscar/</t>
  </si>
  <si>
    <t>Transmission losses</t>
  </si>
  <si>
    <t>See details Engine-generator-1 (SFGM560, with electrical efficiency of 36.0%) and Engine-generator 2 (SGE-565SM, with electrical efficiency of 36.1%). Higest value selected as conservative approach.</t>
  </si>
  <si>
    <t>Engine-generator 1 &amp; 2</t>
  </si>
  <si>
    <t>Calculated combination of technical and transmission losses</t>
  </si>
  <si>
    <r>
      <t>BE</t>
    </r>
    <r>
      <rPr>
        <b/>
        <vertAlign val="subscript"/>
        <sz val="11"/>
        <color theme="1"/>
        <rFont val="Calibri"/>
        <family val="2"/>
        <scheme val="minor"/>
      </rPr>
      <t>CH4,PJ,y</t>
    </r>
  </si>
  <si>
    <r>
      <t>D</t>
    </r>
    <r>
      <rPr>
        <vertAlign val="subscript"/>
        <sz val="11"/>
        <color theme="1"/>
        <rFont val="Calibri"/>
        <family val="2"/>
        <scheme val="minor"/>
      </rPr>
      <t>CH4</t>
    </r>
  </si>
  <si>
    <r>
      <t>NCV</t>
    </r>
    <r>
      <rPr>
        <vertAlign val="subscript"/>
        <sz val="11"/>
        <color theme="1"/>
        <rFont val="Calibri"/>
        <family val="2"/>
        <scheme val="minor"/>
      </rPr>
      <t>CH4</t>
    </r>
  </si>
  <si>
    <r>
      <t>GWP</t>
    </r>
    <r>
      <rPr>
        <vertAlign val="subscript"/>
        <sz val="11"/>
        <color theme="1"/>
        <rFont val="Calibri"/>
        <family val="2"/>
        <scheme val="minor"/>
      </rPr>
      <t>CH4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</si>
  <si>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=EC</t>
    </r>
    <r>
      <rPr>
        <vertAlign val="subscript"/>
        <sz val="11"/>
        <color theme="1"/>
        <rFont val="Calibri"/>
        <family val="2"/>
        <scheme val="minor"/>
      </rPr>
      <t>project,y</t>
    </r>
    <r>
      <rPr>
        <sz val="11"/>
        <color theme="1"/>
        <rFont val="Calibri"/>
        <family val="2"/>
        <scheme val="minor"/>
      </rPr>
      <t xml:space="preserve"> x EF</t>
    </r>
    <r>
      <rPr>
        <vertAlign val="subscript"/>
        <sz val="11"/>
        <color theme="1"/>
        <rFont val="Calibri"/>
        <family val="2"/>
        <scheme val="minor"/>
      </rPr>
      <t>grid,y</t>
    </r>
  </si>
  <si>
    <r>
      <t>Quantity of net electricity that is generated and exported through the electricity grid (EG</t>
    </r>
    <r>
      <rPr>
        <b/>
        <vertAlign val="subscript"/>
        <sz val="11"/>
        <color theme="1"/>
        <rFont val="Calibri"/>
        <family val="2"/>
        <scheme val="minor"/>
      </rPr>
      <t>PJ, facility</t>
    </r>
    <r>
      <rPr>
        <b/>
        <sz val="11"/>
        <color theme="1"/>
        <rFont val="Calibri"/>
        <family val="2"/>
        <scheme val="minor"/>
      </rPr>
      <t>)</t>
    </r>
  </si>
  <si>
    <r>
      <t>CO</t>
    </r>
    <r>
      <rPr>
        <vertAlign val="subscript"/>
        <sz val="11"/>
        <color theme="1"/>
        <rFont val="Abadi"/>
        <family val="2"/>
      </rPr>
      <t xml:space="preserve">2 </t>
    </r>
    <r>
      <rPr>
        <sz val="11"/>
        <color theme="1"/>
        <rFont val="Calibri"/>
        <family val="2"/>
        <scheme val="minor"/>
      </rPr>
      <t>emission factor of the national Interconnected system determined by the Technical Commission for Determination of Greenhouse Gas Emission Factors.</t>
    </r>
  </si>
  <si>
    <t>GWP_ch4 IPCC AR5 value</t>
  </si>
  <si>
    <t>Sept</t>
  </si>
  <si>
    <t xml:space="preserve">Oct </t>
  </si>
  <si>
    <t>Nov</t>
  </si>
  <si>
    <t>Dec</t>
  </si>
  <si>
    <t>Oct</t>
  </si>
  <si>
    <t>1 Jan 2023 - 31 Dec 2023</t>
  </si>
  <si>
    <r>
      <t>EC</t>
    </r>
    <r>
      <rPr>
        <vertAlign val="subscript"/>
        <sz val="11"/>
        <color theme="1"/>
        <rFont val="Calibri"/>
        <family val="2"/>
        <scheme val="minor"/>
      </rPr>
      <t>project, 2023</t>
    </r>
  </si>
  <si>
    <t>2023 (1 Jan - 31 Dec)</t>
  </si>
  <si>
    <t>SEPTEMBER</t>
  </si>
  <si>
    <t>OCTOBER</t>
  </si>
  <si>
    <t>NOVEMBER</t>
  </si>
  <si>
    <t>DECEMBER</t>
  </si>
  <si>
    <t>A (08h00 - 18h00)</t>
  </si>
  <si>
    <t>C (22h00 - 08h00)</t>
  </si>
  <si>
    <t>Mar</t>
  </si>
  <si>
    <t>Comparison with ex-ante determined emission reductions</t>
  </si>
  <si>
    <t>Vintage period</t>
  </si>
  <si>
    <r>
      <t>Reduction VCUs (tCO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e)</t>
    </r>
  </si>
  <si>
    <r>
      <t>Removal VCUs (tCO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e)</t>
    </r>
  </si>
  <si>
    <r>
      <t>Total VCUs (tCO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e)</t>
    </r>
  </si>
  <si>
    <t>Ex-ante estimated reductions/</t>
  </si>
  <si>
    <t>Achieved reductions/</t>
  </si>
  <si>
    <t>Percent difference</t>
  </si>
  <si>
    <t>Achieved GHG emission reductions in the monitoring period: 1 Jan 2023 - 31 Dec 2023</t>
  </si>
  <si>
    <t>Electricity consumed from the grid (low voltage)</t>
  </si>
  <si>
    <t>Unit: kWh</t>
  </si>
  <si>
    <t>Table 4 page 22 of Estadistica del sector electrico Ecuatoriano, 2023, Agencia de Rugulacion y Control de Energia y Recursos naturales No Renovables</t>
  </si>
  <si>
    <t>Total (MWh)</t>
  </si>
  <si>
    <t>DATA AS MEASURED</t>
  </si>
  <si>
    <t xml:space="preserve">Discount rate </t>
  </si>
  <si>
    <t>Electricity production data with discount of 0.5% during the period 27-May-2023 to 9-August-2023 in order to adjust for period that was more than 2 years after the previous calibration (of 27 May 2021), and prior to the next calibration (of 10 August 2023) (see row 42 and below for data before discount)</t>
  </si>
  <si>
    <t>Version 1.7</t>
  </si>
  <si>
    <t>Dated: 07-February-2025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</si>
</sst>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15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vertAlign val="subscript"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Abadi"/>
      <family val="2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2D7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0" fontId="0" fillId="0" borderId="0" xfId="0" quotePrefix="1"/>
    <xf numFmtId="17" fontId="0" fillId="0" borderId="0" xfId="0" applyNumberFormat="1"/>
    <xf numFmtId="4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right"/>
    </xf>
    <xf numFmtId="17" fontId="2" fillId="0" borderId="0" xfId="0" applyNumberFormat="1" applyFont="1"/>
    <xf numFmtId="3" fontId="2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4" fontId="2" fillId="0" borderId="0" xfId="0" applyNumberFormat="1" applyFont="1"/>
    <xf numFmtId="0" fontId="0" fillId="0" borderId="0" xfId="0" quotePrefix="1" applyAlignment="1">
      <alignment horizontal="left"/>
    </xf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right" vertical="center" wrapText="1"/>
    </xf>
    <xf numFmtId="0" fontId="9" fillId="0" borderId="0" xfId="0" applyFont="1"/>
    <xf numFmtId="0" fontId="5" fillId="0" borderId="0" xfId="0" applyFont="1" applyAlignment="1">
      <alignment horizontal="right"/>
    </xf>
    <xf numFmtId="165" fontId="0" fillId="0" borderId="0" xfId="0" applyNumberFormat="1"/>
    <xf numFmtId="0" fontId="0" fillId="3" borderId="0" xfId="0" applyFill="1"/>
    <xf numFmtId="10" fontId="0" fillId="0" borderId="0" xfId="0" applyNumberFormat="1"/>
    <xf numFmtId="0" fontId="0" fillId="0" borderId="0" xfId="0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5" borderId="11" xfId="0" applyFill="1" applyBorder="1" applyAlignment="1">
      <alignment horizontal="center"/>
    </xf>
    <xf numFmtId="4" fontId="2" fillId="6" borderId="12" xfId="0" applyNumberFormat="1" applyFont="1" applyFill="1" applyBorder="1"/>
    <xf numFmtId="4" fontId="0" fillId="0" borderId="0" xfId="0" applyNumberFormat="1" applyAlignment="1">
      <alignment horizontal="right"/>
    </xf>
    <xf numFmtId="0" fontId="11" fillId="0" borderId="0" xfId="1"/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2" fontId="0" fillId="0" borderId="0" xfId="0" applyNumberFormat="1" applyAlignment="1">
      <alignment horizontal="right"/>
    </xf>
    <xf numFmtId="1" fontId="6" fillId="0" borderId="4" xfId="0" applyNumberFormat="1" applyFont="1" applyBorder="1" applyAlignment="1">
      <alignment horizontal="right" vertical="center" wrapText="1"/>
    </xf>
    <xf numFmtId="164" fontId="0" fillId="0" borderId="0" xfId="2" applyNumberFormat="1" applyFont="1"/>
    <xf numFmtId="10" fontId="0" fillId="0" borderId="0" xfId="2" applyNumberFormat="1" applyFont="1"/>
    <xf numFmtId="1" fontId="2" fillId="0" borderId="0" xfId="0" applyNumberFormat="1" applyFont="1" applyAlignment="1">
      <alignment horizontal="right"/>
    </xf>
    <xf numFmtId="166" fontId="0" fillId="0" borderId="0" xfId="0" applyNumberFormat="1"/>
    <xf numFmtId="9" fontId="0" fillId="0" borderId="0" xfId="0" applyNumberFormat="1"/>
    <xf numFmtId="1" fontId="3" fillId="0" borderId="3" xfId="0" applyNumberFormat="1" applyFont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/>
    </xf>
    <xf numFmtId="4" fontId="2" fillId="6" borderId="16" xfId="0" applyNumberFormat="1" applyFont="1" applyFill="1" applyBorder="1"/>
    <xf numFmtId="4" fontId="2" fillId="6" borderId="17" xfId="0" applyNumberFormat="1" applyFont="1" applyFill="1" applyBorder="1"/>
    <xf numFmtId="9" fontId="6" fillId="0" borderId="4" xfId="2" applyFont="1" applyBorder="1" applyAlignment="1">
      <alignment horizontal="right" vertical="center" wrapText="1"/>
    </xf>
    <xf numFmtId="9" fontId="3" fillId="0" borderId="4" xfId="2" applyFont="1" applyBorder="1" applyAlignment="1">
      <alignment horizontal="right" vertical="center" wrapText="1"/>
    </xf>
    <xf numFmtId="0" fontId="14" fillId="0" borderId="0" xfId="0" applyFont="1"/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2" fontId="0" fillId="0" borderId="0" xfId="0" quotePrefix="1" applyNumberFormat="1" applyAlignment="1">
      <alignment horizontal="right"/>
    </xf>
    <xf numFmtId="2" fontId="2" fillId="0" borderId="0" xfId="0" quotePrefix="1" applyNumberFormat="1" applyFont="1" applyAlignment="1">
      <alignment horizontal="right"/>
    </xf>
    <xf numFmtId="4" fontId="0" fillId="7" borderId="9" xfId="0" applyNumberFormat="1" applyFill="1" applyBorder="1" applyAlignment="1">
      <alignment horizontal="center"/>
    </xf>
    <xf numFmtId="10" fontId="0" fillId="7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Hiperlink" xfId="1" builtinId="8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158</xdr:row>
      <xdr:rowOff>57150</xdr:rowOff>
    </xdr:from>
    <xdr:to>
      <xdr:col>2</xdr:col>
      <xdr:colOff>1618912</xdr:colOff>
      <xdr:row>159</xdr:row>
      <xdr:rowOff>114270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43C881-7F7E-400A-B5DE-9D701F6EE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26812875"/>
          <a:ext cx="1580952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160</xdr:row>
      <xdr:rowOff>1</xdr:rowOff>
    </xdr:from>
    <xdr:to>
      <xdr:col>5</xdr:col>
      <xdr:colOff>1833</xdr:colOff>
      <xdr:row>168</xdr:row>
      <xdr:rowOff>35022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6837F2-8B8B-42B2-AD67-2E13D518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6026" y="27117676"/>
          <a:ext cx="4953000" cy="1517109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</xdr:colOff>
      <xdr:row>85</xdr:row>
      <xdr:rowOff>57150</xdr:rowOff>
    </xdr:from>
    <xdr:to>
      <xdr:col>3</xdr:col>
      <xdr:colOff>1847355</xdr:colOff>
      <xdr:row>87</xdr:row>
      <xdr:rowOff>18182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45EBEBC-CEC1-427F-8632-5BE20F546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11425" y="13563600"/>
          <a:ext cx="3547885" cy="333142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92</xdr:row>
      <xdr:rowOff>133350</xdr:rowOff>
    </xdr:from>
    <xdr:to>
      <xdr:col>4</xdr:col>
      <xdr:colOff>666043</xdr:colOff>
      <xdr:row>102</xdr:row>
      <xdr:rowOff>149454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49FB39E-41AF-4E8E-AD3A-9AF184B96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43175" y="14744700"/>
          <a:ext cx="4448175" cy="179664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114</xdr:row>
      <xdr:rowOff>63501</xdr:rowOff>
    </xdr:from>
    <xdr:to>
      <xdr:col>3</xdr:col>
      <xdr:colOff>189796</xdr:colOff>
      <xdr:row>116</xdr:row>
      <xdr:rowOff>72487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16637F-736F-45BA-8D91-DD20B468F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5551" y="19465926"/>
          <a:ext cx="1901824" cy="3480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118</xdr:row>
      <xdr:rowOff>38100</xdr:rowOff>
    </xdr:from>
    <xdr:to>
      <xdr:col>4</xdr:col>
      <xdr:colOff>113947</xdr:colOff>
      <xdr:row>130</xdr:row>
      <xdr:rowOff>151186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DE084E9-9937-4CA1-94AA-9B3BF72EE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14601" y="19364325"/>
          <a:ext cx="3921125" cy="228478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88</xdr:row>
      <xdr:rowOff>47625</xdr:rowOff>
    </xdr:from>
    <xdr:to>
      <xdr:col>3</xdr:col>
      <xdr:colOff>339090</xdr:colOff>
      <xdr:row>90</xdr:row>
      <xdr:rowOff>132732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E4D5A1-4923-4FD0-86EF-5462D2A4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95550" y="14097000"/>
          <a:ext cx="2025650" cy="448962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123</xdr:row>
      <xdr:rowOff>63500</xdr:rowOff>
    </xdr:from>
    <xdr:to>
      <xdr:col>9</xdr:col>
      <xdr:colOff>1413053</xdr:colOff>
      <xdr:row>148</xdr:row>
      <xdr:rowOff>111124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2F32E4-EB91-7667-FB7A-E69149C50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32813" y="24026813"/>
          <a:ext cx="3889553" cy="4889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13578</xdr:colOff>
      <xdr:row>4</xdr:row>
      <xdr:rowOff>4053</xdr:rowOff>
    </xdr:from>
    <xdr:to>
      <xdr:col>1</xdr:col>
      <xdr:colOff>1090613</xdr:colOff>
      <xdr:row>4</xdr:row>
      <xdr:rowOff>378619</xdr:rowOff>
    </xdr:to>
    <xdr:sp macro="" textlink="">
      <xdr:nvSpPr>
        <xdr:cNvPr id="2" name="Triángulo rectángulo 1">
          <a:extLst>
            <a:ext uri="{FF2B5EF4-FFF2-40B4-BE49-F238E27FC236}">
              <a16:creationId xmlns:a16="http://schemas.microsoft.com/office/drawing/2014/main" id="{FD9BD3CC-DF93-4138-8DF0-EA06E62D6BAA}"/>
            </a:ext>
          </a:extLst>
        </xdr:cNvPr>
        <xdr:cNvSpPr/>
      </xdr:nvSpPr>
      <xdr:spPr>
        <a:xfrm>
          <a:off x="628893" y="202173"/>
          <a:ext cx="1080845" cy="374566"/>
        </a:xfrm>
        <a:prstGeom prst="rtTriangle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</xdr:col>
      <xdr:colOff>8110</xdr:colOff>
      <xdr:row>4</xdr:row>
      <xdr:rowOff>149968</xdr:rowOff>
    </xdr:from>
    <xdr:to>
      <xdr:col>1</xdr:col>
      <xdr:colOff>447675</xdr:colOff>
      <xdr:row>4</xdr:row>
      <xdr:rowOff>361950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CD8B4E6-7E67-4B3B-A1E6-732FC45CA715}"/>
            </a:ext>
          </a:extLst>
        </xdr:cNvPr>
        <xdr:cNvSpPr txBox="1"/>
      </xdr:nvSpPr>
      <xdr:spPr>
        <a:xfrm>
          <a:off x="623425" y="348088"/>
          <a:ext cx="443375" cy="21579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C" sz="1100" b="1"/>
            <a:t>DAY</a:t>
          </a:r>
        </a:p>
      </xdr:txBody>
    </xdr:sp>
    <xdr:clientData/>
  </xdr:twoCellAnchor>
  <xdr:twoCellAnchor>
    <xdr:from>
      <xdr:col>1</xdr:col>
      <xdr:colOff>13578</xdr:colOff>
      <xdr:row>42</xdr:row>
      <xdr:rowOff>4053</xdr:rowOff>
    </xdr:from>
    <xdr:to>
      <xdr:col>1</xdr:col>
      <xdr:colOff>1090613</xdr:colOff>
      <xdr:row>42</xdr:row>
      <xdr:rowOff>378619</xdr:rowOff>
    </xdr:to>
    <xdr:sp macro="" textlink="">
      <xdr:nvSpPr>
        <xdr:cNvPr id="4" name="Triángulo rectángulo 1">
          <a:extLst>
            <a:ext uri="{FF2B5EF4-FFF2-40B4-BE49-F238E27FC236}">
              <a16:creationId xmlns:a16="http://schemas.microsoft.com/office/drawing/2014/main" id="{FFFDBC5E-1E3C-40C0-ADD3-CC38E5B93B6F}"/>
            </a:ext>
          </a:extLst>
        </xdr:cNvPr>
        <xdr:cNvSpPr/>
      </xdr:nvSpPr>
      <xdr:spPr>
        <a:xfrm>
          <a:off x="632703" y="204078"/>
          <a:ext cx="1077035" cy="374566"/>
        </a:xfrm>
        <a:prstGeom prst="rtTriangle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</xdr:col>
      <xdr:colOff>8110</xdr:colOff>
      <xdr:row>42</xdr:row>
      <xdr:rowOff>149968</xdr:rowOff>
    </xdr:from>
    <xdr:to>
      <xdr:col>1</xdr:col>
      <xdr:colOff>447675</xdr:colOff>
      <xdr:row>42</xdr:row>
      <xdr:rowOff>361950</xdr:rowOff>
    </xdr:to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id="{95BDA001-E072-4A2D-83D7-67BBC1375793}"/>
            </a:ext>
          </a:extLst>
        </xdr:cNvPr>
        <xdr:cNvSpPr txBox="1"/>
      </xdr:nvSpPr>
      <xdr:spPr>
        <a:xfrm>
          <a:off x="627235" y="349993"/>
          <a:ext cx="439565" cy="21198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C" sz="1100" b="1"/>
            <a:t>DAY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trolrecursosyenergia.gob.ec/estadisticas-del-sector-electrico-ecuatoriano-buscar/" TargetMode="External"/><Relationship Id="rId1" Type="http://schemas.openxmlformats.org/officeDocument/2006/relationships/hyperlink" Target="https://www.controlrecursosyenergia.gob.ec/estadisticas-del-sector-electrico-ecuatoriano-buscar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8F6C-7C35-4DD9-82C3-4FA39A82AFFD}">
  <dimension ref="B2:T210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8.7109375" customWidth="1"/>
    <col min="3" max="3" width="24.7109375" customWidth="1"/>
    <col min="4" max="4" width="30.28515625" customWidth="1"/>
    <col min="5" max="5" width="16.5703125" customWidth="1"/>
    <col min="6" max="6" width="19" customWidth="1"/>
    <col min="7" max="7" width="18.5703125" customWidth="1"/>
    <col min="8" max="8" width="13.28515625" customWidth="1"/>
    <col min="9" max="9" width="24.7109375" customWidth="1"/>
    <col min="10" max="10" width="21.28515625" customWidth="1"/>
    <col min="14" max="14" width="22.42578125" customWidth="1"/>
    <col min="20" max="20" width="11" bestFit="1" customWidth="1"/>
  </cols>
  <sheetData>
    <row r="2" spans="2:20" ht="26.25" x14ac:dyDescent="0.4">
      <c r="C2" s="25" t="s">
        <v>118</v>
      </c>
    </row>
    <row r="3" spans="2:20" x14ac:dyDescent="0.25">
      <c r="C3" t="s">
        <v>126</v>
      </c>
      <c r="D3" t="s">
        <v>127</v>
      </c>
    </row>
    <row r="5" spans="2:20" ht="18.75" x14ac:dyDescent="0.3">
      <c r="B5" s="18">
        <v>1</v>
      </c>
      <c r="C5" s="18" t="s">
        <v>20</v>
      </c>
    </row>
    <row r="6" spans="2:20" ht="18" x14ac:dyDescent="0.35">
      <c r="C6" s="7" t="s">
        <v>92</v>
      </c>
    </row>
    <row r="7" spans="2:20" x14ac:dyDescent="0.25">
      <c r="C7" s="7"/>
      <c r="E7" t="s">
        <v>85</v>
      </c>
    </row>
    <row r="8" spans="2:20" ht="18" x14ac:dyDescent="0.35">
      <c r="E8" t="s">
        <v>18</v>
      </c>
      <c r="F8" s="1" t="s">
        <v>18</v>
      </c>
    </row>
    <row r="9" spans="2:20" x14ac:dyDescent="0.25">
      <c r="C9" s="11" t="s">
        <v>0</v>
      </c>
      <c r="D9" s="10" t="s">
        <v>71</v>
      </c>
      <c r="E9" s="9" t="s">
        <v>8</v>
      </c>
      <c r="F9" s="9" t="s">
        <v>9</v>
      </c>
      <c r="H9" s="47"/>
    </row>
    <row r="10" spans="2:20" x14ac:dyDescent="0.25">
      <c r="C10" s="12">
        <v>2023</v>
      </c>
      <c r="D10" s="5" t="s">
        <v>75</v>
      </c>
      <c r="E10" s="39">
        <f>+'Electricity generation 2023'!C37</f>
        <v>440474.46499999991</v>
      </c>
      <c r="F10" s="17">
        <f t="shared" ref="F10:F22" si="0">+E10/1000</f>
        <v>440.4744649999999</v>
      </c>
    </row>
    <row r="11" spans="2:20" x14ac:dyDescent="0.25">
      <c r="C11" s="12">
        <v>2023</v>
      </c>
      <c r="D11" s="5" t="s">
        <v>76</v>
      </c>
      <c r="E11" s="39">
        <f>+'Electricity generation 2023'!D37</f>
        <v>438604.69200000004</v>
      </c>
      <c r="F11" s="17">
        <f t="shared" si="0"/>
        <v>438.60469200000006</v>
      </c>
    </row>
    <row r="12" spans="2:20" x14ac:dyDescent="0.25">
      <c r="C12" s="12">
        <v>2023</v>
      </c>
      <c r="D12" s="5" t="s">
        <v>77</v>
      </c>
      <c r="E12" s="39">
        <f>+'Electricity generation 2023'!E37</f>
        <v>318758.47199999995</v>
      </c>
      <c r="F12" s="17">
        <f t="shared" si="0"/>
        <v>318.75847199999993</v>
      </c>
    </row>
    <row r="13" spans="2:20" x14ac:dyDescent="0.25">
      <c r="C13" s="12">
        <v>2023</v>
      </c>
      <c r="D13" s="5" t="s">
        <v>11</v>
      </c>
      <c r="E13" s="39">
        <f>+'Electricity generation 2023'!F37</f>
        <v>418022.33600000001</v>
      </c>
      <c r="F13" s="17">
        <f t="shared" si="0"/>
        <v>418.022336</v>
      </c>
    </row>
    <row r="14" spans="2:20" x14ac:dyDescent="0.25">
      <c r="C14" s="12">
        <v>2023</v>
      </c>
      <c r="D14" s="5" t="s">
        <v>12</v>
      </c>
      <c r="E14" s="39">
        <f>+'Electricity generation 2023'!G37</f>
        <v>145931.10900000003</v>
      </c>
      <c r="F14" s="17">
        <f t="shared" si="0"/>
        <v>145.93110900000002</v>
      </c>
    </row>
    <row r="15" spans="2:20" x14ac:dyDescent="0.25">
      <c r="C15" s="12">
        <v>2023</v>
      </c>
      <c r="D15" s="5" t="s">
        <v>13</v>
      </c>
      <c r="E15" s="39">
        <f>+'Electricity generation 2023'!H37</f>
        <v>342253.07131999993</v>
      </c>
      <c r="F15" s="17">
        <f t="shared" si="0"/>
        <v>342.25307131999995</v>
      </c>
      <c r="I15" s="4"/>
    </row>
    <row r="16" spans="2:20" x14ac:dyDescent="0.25">
      <c r="C16" s="12">
        <v>2023</v>
      </c>
      <c r="D16" s="5" t="s">
        <v>14</v>
      </c>
      <c r="E16" s="39">
        <f>+'Electricity generation 2023'!I37</f>
        <v>413698.1199750001</v>
      </c>
      <c r="F16" s="17">
        <f t="shared" si="0"/>
        <v>413.69811997500011</v>
      </c>
      <c r="T16" s="6"/>
    </row>
    <row r="17" spans="3:14" x14ac:dyDescent="0.25">
      <c r="C17" s="12">
        <v>2023</v>
      </c>
      <c r="D17" s="5" t="s">
        <v>10</v>
      </c>
      <c r="E17" s="39">
        <f>+'Electricity generation 2023'!J37</f>
        <v>535805.47179500002</v>
      </c>
      <c r="F17" s="17">
        <f t="shared" si="0"/>
        <v>535.80547179500002</v>
      </c>
    </row>
    <row r="18" spans="3:14" x14ac:dyDescent="0.25">
      <c r="C18" s="12">
        <v>2023</v>
      </c>
      <c r="D18" s="5" t="s">
        <v>95</v>
      </c>
      <c r="E18" s="39">
        <f>+'Electricity generation 2023'!K37</f>
        <v>470545.83600000013</v>
      </c>
      <c r="F18" s="17">
        <f t="shared" si="0"/>
        <v>470.54583600000012</v>
      </c>
    </row>
    <row r="19" spans="3:14" x14ac:dyDescent="0.25">
      <c r="C19" s="12">
        <v>2023</v>
      </c>
      <c r="D19" s="5" t="s">
        <v>99</v>
      </c>
      <c r="E19" s="39">
        <f>+'Electricity generation 2023'!L37</f>
        <v>424028.76500000019</v>
      </c>
      <c r="F19" s="17">
        <f t="shared" si="0"/>
        <v>424.02876500000019</v>
      </c>
      <c r="J19" s="3"/>
      <c r="K19" s="48"/>
    </row>
    <row r="20" spans="3:14" x14ac:dyDescent="0.25">
      <c r="C20" s="12">
        <v>2023</v>
      </c>
      <c r="D20" s="5" t="s">
        <v>97</v>
      </c>
      <c r="E20" s="39">
        <f>+'Electricity generation 2023'!M37</f>
        <v>373207.55300000001</v>
      </c>
      <c r="F20" s="17">
        <f t="shared" si="0"/>
        <v>373.20755300000002</v>
      </c>
      <c r="J20" s="3"/>
      <c r="K20" s="3"/>
    </row>
    <row r="21" spans="3:14" x14ac:dyDescent="0.25">
      <c r="C21" s="12">
        <v>2023</v>
      </c>
      <c r="D21" s="5" t="s">
        <v>98</v>
      </c>
      <c r="E21" s="39">
        <f>+'Electricity generation 2023'!N37</f>
        <v>322981.56999999995</v>
      </c>
      <c r="F21" s="17">
        <f t="shared" si="0"/>
        <v>322.98156999999998</v>
      </c>
      <c r="J21" s="3"/>
      <c r="K21" s="3"/>
    </row>
    <row r="22" spans="3:14" x14ac:dyDescent="0.25">
      <c r="C22" s="7" t="s">
        <v>1</v>
      </c>
      <c r="D22" s="7"/>
      <c r="E22" s="15">
        <f>SUM(E10:E21)</f>
        <v>4644311.4610900003</v>
      </c>
      <c r="F22" s="17">
        <f t="shared" si="0"/>
        <v>4644.3114610900002</v>
      </c>
      <c r="H22" s="8"/>
      <c r="N22" s="6"/>
    </row>
    <row r="23" spans="3:14" x14ac:dyDescent="0.25">
      <c r="E23" s="6"/>
    </row>
    <row r="24" spans="3:14" x14ac:dyDescent="0.25">
      <c r="N24" s="15"/>
    </row>
    <row r="25" spans="3:14" x14ac:dyDescent="0.25">
      <c r="N25" s="17"/>
    </row>
    <row r="26" spans="3:14" x14ac:dyDescent="0.25">
      <c r="C26" s="19" t="s">
        <v>58</v>
      </c>
      <c r="G26" s="56"/>
    </row>
    <row r="27" spans="3:14" x14ac:dyDescent="0.25">
      <c r="C27" t="s">
        <v>59</v>
      </c>
    </row>
    <row r="28" spans="3:14" x14ac:dyDescent="0.25">
      <c r="I28" s="4"/>
    </row>
    <row r="29" spans="3:14" x14ac:dyDescent="0.25">
      <c r="C29" s="7" t="s">
        <v>119</v>
      </c>
      <c r="N29" s="3"/>
    </row>
    <row r="30" spans="3:14" x14ac:dyDescent="0.25">
      <c r="I30" s="1"/>
    </row>
    <row r="31" spans="3:14" x14ac:dyDescent="0.25">
      <c r="C31" s="11" t="s">
        <v>0</v>
      </c>
      <c r="D31" s="10" t="s">
        <v>72</v>
      </c>
      <c r="E31" s="9" t="s">
        <v>107</v>
      </c>
      <c r="F31" s="9" t="s">
        <v>35</v>
      </c>
      <c r="G31" s="9" t="s">
        <v>108</v>
      </c>
      <c r="H31" s="9" t="s">
        <v>69</v>
      </c>
      <c r="I31" s="9" t="s">
        <v>122</v>
      </c>
      <c r="J31" s="9"/>
      <c r="K31" s="9"/>
    </row>
    <row r="32" spans="3:14" x14ac:dyDescent="0.25">
      <c r="C32" s="12">
        <v>2023</v>
      </c>
      <c r="D32" s="5" t="s">
        <v>75</v>
      </c>
      <c r="E32" s="17">
        <v>5829.3</v>
      </c>
      <c r="F32" s="17">
        <v>2388.84</v>
      </c>
      <c r="G32" s="17">
        <v>5909.88</v>
      </c>
      <c r="H32" s="43">
        <f>SUM(E32:G32)</f>
        <v>14128.02</v>
      </c>
      <c r="I32" s="59">
        <f>+H32/1000</f>
        <v>14.128020000000001</v>
      </c>
      <c r="J32" s="9"/>
      <c r="K32" s="9"/>
      <c r="N32" s="49"/>
    </row>
    <row r="33" spans="3:14" x14ac:dyDescent="0.25">
      <c r="C33" s="12">
        <v>2023</v>
      </c>
      <c r="D33" s="5" t="s">
        <v>76</v>
      </c>
      <c r="E33" s="17">
        <v>4556.34</v>
      </c>
      <c r="F33" s="17">
        <v>1924.74</v>
      </c>
      <c r="G33" s="17">
        <v>4624.68</v>
      </c>
      <c r="H33" s="43">
        <f>SUM(E33:G33)</f>
        <v>11105.76</v>
      </c>
      <c r="I33" s="59">
        <f t="shared" ref="I33:I44" si="1">+H33/1000</f>
        <v>11.10576</v>
      </c>
      <c r="J33" s="9"/>
      <c r="K33" s="9"/>
    </row>
    <row r="34" spans="3:14" x14ac:dyDescent="0.25">
      <c r="C34" s="12">
        <v>2023</v>
      </c>
      <c r="D34" s="5" t="s">
        <v>109</v>
      </c>
      <c r="E34" s="17">
        <v>4612.4399999999996</v>
      </c>
      <c r="F34" s="17">
        <v>1935.96</v>
      </c>
      <c r="G34" s="17">
        <v>4852.1400000000003</v>
      </c>
      <c r="H34" s="1">
        <f>SUM(E34:G34)</f>
        <v>11400.54</v>
      </c>
      <c r="I34" s="59">
        <f t="shared" si="1"/>
        <v>11.400540000000001</v>
      </c>
      <c r="J34" s="9"/>
      <c r="K34" s="9"/>
    </row>
    <row r="35" spans="3:14" x14ac:dyDescent="0.25">
      <c r="C35" s="12">
        <v>2023</v>
      </c>
      <c r="D35" s="5" t="s">
        <v>11</v>
      </c>
      <c r="E35" s="17">
        <v>4851.12</v>
      </c>
      <c r="F35" s="17">
        <v>1974.72</v>
      </c>
      <c r="G35" s="17">
        <v>4890.8999999999996</v>
      </c>
      <c r="H35" s="1">
        <f t="shared" ref="H35:H37" si="2">SUM(E35:G35)</f>
        <v>11716.74</v>
      </c>
      <c r="I35" s="59">
        <f t="shared" si="1"/>
        <v>11.71674</v>
      </c>
      <c r="J35" s="4"/>
      <c r="N35" s="48"/>
    </row>
    <row r="36" spans="3:14" x14ac:dyDescent="0.25">
      <c r="C36" s="12">
        <v>2023</v>
      </c>
      <c r="D36" s="5" t="s">
        <v>12</v>
      </c>
      <c r="E36" s="17">
        <v>2078.7600000000002</v>
      </c>
      <c r="F36" s="17">
        <v>834.36</v>
      </c>
      <c r="G36" s="17">
        <v>2061.42</v>
      </c>
      <c r="H36" s="6">
        <f t="shared" si="2"/>
        <v>4974.5400000000009</v>
      </c>
      <c r="I36" s="59">
        <f t="shared" si="1"/>
        <v>4.9745400000000011</v>
      </c>
      <c r="J36" s="12"/>
    </row>
    <row r="37" spans="3:14" x14ac:dyDescent="0.25">
      <c r="C37" s="12">
        <v>2023</v>
      </c>
      <c r="D37" s="5" t="s">
        <v>13</v>
      </c>
      <c r="E37" s="17">
        <v>4293.18</v>
      </c>
      <c r="F37" s="17">
        <v>1915.56</v>
      </c>
      <c r="G37" s="17">
        <v>4563.4799999999996</v>
      </c>
      <c r="H37" s="6">
        <f t="shared" si="2"/>
        <v>10772.22</v>
      </c>
      <c r="I37" s="59">
        <f t="shared" si="1"/>
        <v>10.772219999999999</v>
      </c>
      <c r="J37" s="4"/>
      <c r="N37" s="3"/>
    </row>
    <row r="38" spans="3:14" x14ac:dyDescent="0.25">
      <c r="C38" s="12">
        <v>2023</v>
      </c>
      <c r="D38" s="5" t="s">
        <v>14</v>
      </c>
      <c r="E38" s="17">
        <v>5141.82</v>
      </c>
      <c r="F38" s="17">
        <v>2221.56</v>
      </c>
      <c r="G38" s="17">
        <v>5367.24</v>
      </c>
      <c r="H38" s="6">
        <f>SUM(E38:G38)</f>
        <v>12730.619999999999</v>
      </c>
      <c r="I38" s="59">
        <f t="shared" si="1"/>
        <v>12.730619999999998</v>
      </c>
      <c r="J38" s="4"/>
      <c r="N38" s="3"/>
    </row>
    <row r="39" spans="3:14" x14ac:dyDescent="0.25">
      <c r="C39" s="12">
        <v>2023</v>
      </c>
      <c r="D39" s="5" t="s">
        <v>10</v>
      </c>
      <c r="E39" s="17">
        <v>5872.14</v>
      </c>
      <c r="F39" s="17">
        <v>2477.58</v>
      </c>
      <c r="G39" s="17">
        <v>5880.3</v>
      </c>
      <c r="H39" s="6">
        <f>SUM(E39:G39)</f>
        <v>14230.02</v>
      </c>
      <c r="I39" s="59">
        <f t="shared" si="1"/>
        <v>14.23002</v>
      </c>
      <c r="J39" s="4"/>
      <c r="N39" s="3"/>
    </row>
    <row r="40" spans="3:14" x14ac:dyDescent="0.25">
      <c r="C40" s="12">
        <v>2023</v>
      </c>
      <c r="D40" s="5" t="s">
        <v>95</v>
      </c>
      <c r="E40" s="17">
        <v>5910.9</v>
      </c>
      <c r="F40" s="17">
        <v>2543.88</v>
      </c>
      <c r="G40" s="17">
        <v>6266.88</v>
      </c>
      <c r="H40" s="6">
        <f t="shared" ref="H40:H43" si="3">SUM(E40:G40)</f>
        <v>14721.66</v>
      </c>
      <c r="I40" s="59">
        <f t="shared" si="1"/>
        <v>14.72166</v>
      </c>
      <c r="J40" s="4"/>
    </row>
    <row r="41" spans="3:14" x14ac:dyDescent="0.25">
      <c r="C41" s="12">
        <v>2023</v>
      </c>
      <c r="D41" s="5" t="s">
        <v>99</v>
      </c>
      <c r="E41" s="17">
        <v>5902.74</v>
      </c>
      <c r="F41" s="17">
        <v>2539.8000000000002</v>
      </c>
      <c r="G41" s="17">
        <v>6486.18</v>
      </c>
      <c r="H41" s="6">
        <f t="shared" si="3"/>
        <v>14928.720000000001</v>
      </c>
      <c r="I41" s="59">
        <f t="shared" si="1"/>
        <v>14.928720000000002</v>
      </c>
      <c r="J41" s="4"/>
    </row>
    <row r="42" spans="3:14" x14ac:dyDescent="0.25">
      <c r="C42" s="12">
        <v>2023</v>
      </c>
      <c r="D42" s="5" t="s">
        <v>97</v>
      </c>
      <c r="E42" s="17">
        <v>5019.42</v>
      </c>
      <c r="F42" s="17">
        <v>2119.56</v>
      </c>
      <c r="G42" s="17">
        <v>5200.9799999999996</v>
      </c>
      <c r="H42" s="6">
        <f t="shared" si="3"/>
        <v>12339.96</v>
      </c>
      <c r="I42" s="59">
        <f t="shared" si="1"/>
        <v>12.33996</v>
      </c>
      <c r="J42" s="4"/>
    </row>
    <row r="43" spans="3:14" x14ac:dyDescent="0.25">
      <c r="C43" s="12">
        <v>2023</v>
      </c>
      <c r="D43" s="5" t="s">
        <v>98</v>
      </c>
      <c r="E43" s="17">
        <v>5441.7</v>
      </c>
      <c r="F43" s="17">
        <v>2339.88</v>
      </c>
      <c r="G43" s="17">
        <v>5716.08</v>
      </c>
      <c r="H43" s="6">
        <f t="shared" si="3"/>
        <v>13497.66</v>
      </c>
      <c r="I43" s="59">
        <f t="shared" si="1"/>
        <v>13.49766</v>
      </c>
      <c r="J43" s="4"/>
    </row>
    <row r="44" spans="3:14" x14ac:dyDescent="0.25">
      <c r="C44" s="7" t="s">
        <v>1</v>
      </c>
      <c r="D44" s="7"/>
      <c r="H44" s="15">
        <f>SUM(H32:H43)</f>
        <v>146546.46000000002</v>
      </c>
      <c r="I44" s="60">
        <f t="shared" si="1"/>
        <v>146.54646000000002</v>
      </c>
      <c r="J44" s="4"/>
    </row>
    <row r="45" spans="3:14" x14ac:dyDescent="0.25">
      <c r="C45" t="s">
        <v>70</v>
      </c>
      <c r="D45" s="7"/>
      <c r="H45" s="14"/>
      <c r="J45" s="6"/>
    </row>
    <row r="46" spans="3:14" x14ac:dyDescent="0.25">
      <c r="D46" s="7"/>
      <c r="H46" s="14"/>
    </row>
    <row r="47" spans="3:14" x14ac:dyDescent="0.25">
      <c r="C47" s="4"/>
      <c r="D47" s="7"/>
      <c r="H47" s="14"/>
    </row>
    <row r="48" spans="3:14" x14ac:dyDescent="0.25">
      <c r="D48" s="7"/>
      <c r="H48" s="14"/>
    </row>
    <row r="49" spans="3:9" x14ac:dyDescent="0.25">
      <c r="D49" s="7"/>
      <c r="H49" s="14"/>
    </row>
    <row r="50" spans="3:9" x14ac:dyDescent="0.25">
      <c r="C50" s="7" t="s">
        <v>73</v>
      </c>
    </row>
    <row r="51" spans="3:9" ht="18" x14ac:dyDescent="0.35">
      <c r="E51" t="s">
        <v>29</v>
      </c>
    </row>
    <row r="52" spans="3:9" x14ac:dyDescent="0.25">
      <c r="C52" s="11" t="s">
        <v>0</v>
      </c>
      <c r="D52" s="10" t="s">
        <v>72</v>
      </c>
      <c r="E52" s="9" t="s">
        <v>69</v>
      </c>
      <c r="F52" s="7" t="s">
        <v>68</v>
      </c>
      <c r="G52" s="4"/>
    </row>
    <row r="53" spans="3:9" x14ac:dyDescent="0.25">
      <c r="C53" s="12">
        <v>2023</v>
      </c>
      <c r="D53" s="5" t="s">
        <v>75</v>
      </c>
      <c r="E53" s="6">
        <v>882</v>
      </c>
      <c r="I53" s="17"/>
    </row>
    <row r="54" spans="3:9" x14ac:dyDescent="0.25">
      <c r="C54" s="12">
        <v>2023</v>
      </c>
      <c r="D54" s="5" t="s">
        <v>76</v>
      </c>
      <c r="E54" s="6">
        <v>430</v>
      </c>
      <c r="F54" s="4"/>
      <c r="I54" s="17"/>
    </row>
    <row r="55" spans="3:9" x14ac:dyDescent="0.25">
      <c r="C55" s="12">
        <v>2023</v>
      </c>
      <c r="D55" s="5" t="s">
        <v>77</v>
      </c>
      <c r="E55" s="6">
        <v>1723</v>
      </c>
      <c r="I55" s="17"/>
    </row>
    <row r="56" spans="3:9" x14ac:dyDescent="0.25">
      <c r="C56" s="12">
        <v>2023</v>
      </c>
      <c r="D56" s="5" t="s">
        <v>11</v>
      </c>
      <c r="E56" s="6">
        <v>1074</v>
      </c>
      <c r="F56" s="4"/>
      <c r="I56" s="17"/>
    </row>
    <row r="57" spans="3:9" x14ac:dyDescent="0.25">
      <c r="C57" s="12">
        <v>2023</v>
      </c>
      <c r="D57" s="5" t="s">
        <v>12</v>
      </c>
      <c r="E57" s="6">
        <v>1012</v>
      </c>
      <c r="F57" s="4"/>
      <c r="I57" s="17"/>
    </row>
    <row r="58" spans="3:9" x14ac:dyDescent="0.25">
      <c r="C58" s="12">
        <v>2023</v>
      </c>
      <c r="D58" s="5" t="s">
        <v>13</v>
      </c>
      <c r="E58" s="6">
        <v>902</v>
      </c>
      <c r="F58" s="4"/>
      <c r="I58" s="17"/>
    </row>
    <row r="59" spans="3:9" x14ac:dyDescent="0.25">
      <c r="C59" s="12">
        <v>2023</v>
      </c>
      <c r="D59" s="5" t="s">
        <v>14</v>
      </c>
      <c r="E59" s="6">
        <v>312</v>
      </c>
      <c r="F59" s="4"/>
      <c r="I59" s="17"/>
    </row>
    <row r="60" spans="3:9" x14ac:dyDescent="0.25">
      <c r="C60" s="12">
        <v>2023</v>
      </c>
      <c r="D60" s="5" t="s">
        <v>10</v>
      </c>
      <c r="E60" s="6">
        <v>134</v>
      </c>
      <c r="F60" s="4"/>
      <c r="I60" s="17"/>
    </row>
    <row r="61" spans="3:9" x14ac:dyDescent="0.25">
      <c r="C61" s="12">
        <v>2023</v>
      </c>
      <c r="D61" s="5" t="s">
        <v>95</v>
      </c>
      <c r="E61" s="6">
        <v>442</v>
      </c>
      <c r="F61" s="4"/>
      <c r="I61" s="17"/>
    </row>
    <row r="62" spans="3:9" x14ac:dyDescent="0.25">
      <c r="C62" s="12">
        <v>2023</v>
      </c>
      <c r="D62" s="5" t="s">
        <v>96</v>
      </c>
      <c r="E62" s="6">
        <v>672</v>
      </c>
      <c r="F62" s="4"/>
      <c r="I62" s="17"/>
    </row>
    <row r="63" spans="3:9" x14ac:dyDescent="0.25">
      <c r="C63" s="12">
        <v>2023</v>
      </c>
      <c r="D63" s="5" t="s">
        <v>97</v>
      </c>
      <c r="E63" s="6">
        <v>588</v>
      </c>
      <c r="F63" s="4"/>
      <c r="I63" s="17"/>
    </row>
    <row r="64" spans="3:9" x14ac:dyDescent="0.25">
      <c r="C64" s="12">
        <v>2023</v>
      </c>
      <c r="D64" s="5" t="s">
        <v>98</v>
      </c>
      <c r="E64" s="6">
        <v>1159</v>
      </c>
      <c r="F64" s="4"/>
      <c r="I64" s="17"/>
    </row>
    <row r="65" spans="2:8" x14ac:dyDescent="0.25">
      <c r="B65" s="7"/>
      <c r="C65" s="7" t="s">
        <v>1</v>
      </c>
      <c r="E65" s="15">
        <f>SUM(E53:E64)</f>
        <v>9330</v>
      </c>
    </row>
    <row r="66" spans="2:8" x14ac:dyDescent="0.25">
      <c r="B66" s="7"/>
      <c r="C66" t="s">
        <v>74</v>
      </c>
      <c r="E66" s="15"/>
    </row>
    <row r="67" spans="2:8" x14ac:dyDescent="0.25">
      <c r="B67" s="7"/>
      <c r="E67" s="15"/>
    </row>
    <row r="68" spans="2:8" x14ac:dyDescent="0.25">
      <c r="C68" s="4"/>
      <c r="D68" s="7"/>
      <c r="H68" s="15"/>
    </row>
    <row r="69" spans="2:8" x14ac:dyDescent="0.25">
      <c r="D69" s="7"/>
      <c r="E69" s="15"/>
    </row>
    <row r="70" spans="2:8" x14ac:dyDescent="0.25">
      <c r="C70" s="10"/>
      <c r="D70" s="7"/>
      <c r="H70" s="15"/>
    </row>
    <row r="71" spans="2:8" x14ac:dyDescent="0.25">
      <c r="C71" s="10" t="s">
        <v>67</v>
      </c>
      <c r="D71" s="7"/>
      <c r="H71" s="15"/>
    </row>
    <row r="72" spans="2:8" ht="18" x14ac:dyDescent="0.35">
      <c r="C72" t="s">
        <v>101</v>
      </c>
      <c r="D72" s="17">
        <f>(H44+E65)/1000</f>
        <v>155.87646000000001</v>
      </c>
      <c r="E72" t="s">
        <v>9</v>
      </c>
      <c r="H72" s="15"/>
    </row>
    <row r="73" spans="2:8" x14ac:dyDescent="0.25">
      <c r="D73" s="17"/>
    </row>
    <row r="75" spans="2:8" ht="18.75" x14ac:dyDescent="0.3">
      <c r="B75" s="18">
        <v>2</v>
      </c>
      <c r="C75" s="18" t="s">
        <v>30</v>
      </c>
    </row>
    <row r="76" spans="2:8" x14ac:dyDescent="0.25">
      <c r="C76" t="s">
        <v>17</v>
      </c>
      <c r="D76" t="s">
        <v>2</v>
      </c>
      <c r="E76" t="s">
        <v>3</v>
      </c>
      <c r="F76" t="s">
        <v>5</v>
      </c>
    </row>
    <row r="77" spans="2:8" x14ac:dyDescent="0.25">
      <c r="C77" t="s">
        <v>6</v>
      </c>
      <c r="D77">
        <v>0.1</v>
      </c>
      <c r="E77" t="s">
        <v>4</v>
      </c>
      <c r="F77" t="s">
        <v>7</v>
      </c>
    </row>
    <row r="78" spans="2:8" ht="18" x14ac:dyDescent="0.35">
      <c r="C78" t="s">
        <v>90</v>
      </c>
      <c r="D78">
        <v>28</v>
      </c>
      <c r="F78" t="s">
        <v>94</v>
      </c>
    </row>
    <row r="79" spans="2:8" ht="18" x14ac:dyDescent="0.35">
      <c r="C79" t="s">
        <v>89</v>
      </c>
      <c r="D79">
        <v>35.9</v>
      </c>
      <c r="F79" t="s">
        <v>7</v>
      </c>
    </row>
    <row r="80" spans="2:8" x14ac:dyDescent="0.25">
      <c r="C80" t="s">
        <v>15</v>
      </c>
      <c r="D80" s="2">
        <v>0.36099999999999999</v>
      </c>
      <c r="F80" t="s">
        <v>84</v>
      </c>
    </row>
    <row r="81" spans="2:14" ht="18" x14ac:dyDescent="0.35">
      <c r="C81" t="s">
        <v>88</v>
      </c>
      <c r="D81">
        <v>7.1679999999999997E-4</v>
      </c>
      <c r="F81" t="s">
        <v>16</v>
      </c>
      <c r="H81" s="28"/>
      <c r="I81" s="28"/>
      <c r="J81" s="28"/>
      <c r="K81" s="28"/>
      <c r="L81" s="28"/>
      <c r="M81" s="28"/>
      <c r="N81" s="28"/>
    </row>
    <row r="82" spans="2:14" ht="18" x14ac:dyDescent="0.35">
      <c r="C82" s="12" t="s">
        <v>19</v>
      </c>
      <c r="D82">
        <v>0.33489999999999998</v>
      </c>
      <c r="F82" t="s">
        <v>93</v>
      </c>
    </row>
    <row r="85" spans="2:14" ht="18.75" x14ac:dyDescent="0.3">
      <c r="B85" s="18">
        <v>3</v>
      </c>
      <c r="C85" s="18" t="s">
        <v>46</v>
      </c>
    </row>
    <row r="87" spans="2:14" x14ac:dyDescent="0.25">
      <c r="C87" s="7"/>
    </row>
    <row r="104" spans="2:9" ht="18" x14ac:dyDescent="0.35">
      <c r="C104" t="s">
        <v>91</v>
      </c>
    </row>
    <row r="107" spans="2:9" x14ac:dyDescent="0.25">
      <c r="B107" s="9" t="s">
        <v>37</v>
      </c>
      <c r="C107" s="7" t="s">
        <v>36</v>
      </c>
    </row>
    <row r="108" spans="2:9" ht="18" x14ac:dyDescent="0.35">
      <c r="C108" s="7" t="s">
        <v>0</v>
      </c>
      <c r="D108" s="9" t="s">
        <v>23</v>
      </c>
      <c r="E108" s="9" t="s">
        <v>22</v>
      </c>
      <c r="F108" s="9" t="s">
        <v>87</v>
      </c>
      <c r="I108" s="17"/>
    </row>
    <row r="109" spans="2:9" x14ac:dyDescent="0.25">
      <c r="C109" s="16" t="s">
        <v>100</v>
      </c>
      <c r="D109" s="17">
        <f>+F22</f>
        <v>4644.3114610900002</v>
      </c>
      <c r="E109" s="3">
        <f>+(D109*3600)/($D$79*$D$80)*$D$81</f>
        <v>924.74115071208291</v>
      </c>
      <c r="F109" s="3">
        <f>+(1-$D$77)*E109*$D$78</f>
        <v>23303.47699794449</v>
      </c>
    </row>
    <row r="110" spans="2:9" x14ac:dyDescent="0.25">
      <c r="C110" s="16"/>
      <c r="D110" s="3"/>
      <c r="E110" s="3"/>
      <c r="F110" s="3"/>
    </row>
    <row r="111" spans="2:9" x14ac:dyDescent="0.25">
      <c r="C111" s="16"/>
      <c r="D111" s="3"/>
      <c r="E111" s="3"/>
      <c r="F111" s="3"/>
      <c r="I111" s="27"/>
    </row>
    <row r="112" spans="2:9" x14ac:dyDescent="0.25">
      <c r="C112" s="13" t="s">
        <v>1</v>
      </c>
      <c r="D112" s="14">
        <f>SUM(D109:D111)</f>
        <v>4644.3114610900002</v>
      </c>
      <c r="F112" s="8">
        <f>SUM(F109:F111)</f>
        <v>23303.47699794449</v>
      </c>
      <c r="I112" s="27"/>
    </row>
    <row r="113" spans="2:9" x14ac:dyDescent="0.25">
      <c r="I113" s="27"/>
    </row>
    <row r="114" spans="2:9" x14ac:dyDescent="0.25">
      <c r="B114" s="9" t="s">
        <v>39</v>
      </c>
      <c r="C114" s="7" t="s">
        <v>48</v>
      </c>
    </row>
    <row r="118" spans="2:9" ht="18" x14ac:dyDescent="0.35">
      <c r="C118" t="s">
        <v>45</v>
      </c>
    </row>
    <row r="122" spans="2:9" x14ac:dyDescent="0.25">
      <c r="G122" s="29"/>
    </row>
    <row r="124" spans="2:9" x14ac:dyDescent="0.25">
      <c r="G124" s="29"/>
      <c r="H124" s="29"/>
    </row>
    <row r="125" spans="2:9" x14ac:dyDescent="0.25">
      <c r="G125" s="29"/>
    </row>
    <row r="127" spans="2:9" x14ac:dyDescent="0.25">
      <c r="H127" s="29"/>
    </row>
    <row r="130" spans="2:10" x14ac:dyDescent="0.25">
      <c r="G130" s="29"/>
      <c r="H130" s="29"/>
      <c r="J130" s="29"/>
    </row>
    <row r="131" spans="2:10" x14ac:dyDescent="0.25">
      <c r="G131" s="29"/>
      <c r="H131" s="29"/>
      <c r="J131" s="29"/>
    </row>
    <row r="132" spans="2:10" x14ac:dyDescent="0.25">
      <c r="C132" t="s">
        <v>81</v>
      </c>
      <c r="D132" s="29">
        <v>6.4000000000000001E-2</v>
      </c>
      <c r="E132" t="s">
        <v>121</v>
      </c>
      <c r="F132" s="40" t="s">
        <v>82</v>
      </c>
      <c r="G132" s="29"/>
      <c r="H132" s="29"/>
      <c r="J132" s="29"/>
    </row>
    <row r="133" spans="2:10" x14ac:dyDescent="0.25">
      <c r="C133" t="s">
        <v>83</v>
      </c>
      <c r="D133" s="29">
        <v>4.53E-2</v>
      </c>
      <c r="E133" t="s">
        <v>121</v>
      </c>
      <c r="F133" s="40" t="s">
        <v>82</v>
      </c>
      <c r="G133" s="29"/>
      <c r="H133" s="29"/>
      <c r="J133" s="29"/>
    </row>
    <row r="134" spans="2:10" x14ac:dyDescent="0.25">
      <c r="C134" t="s">
        <v>60</v>
      </c>
      <c r="D134" s="29">
        <f>1-((1-D132)*(1-D133))</f>
        <v>0.10640080000000007</v>
      </c>
      <c r="E134" t="s">
        <v>86</v>
      </c>
      <c r="F134" s="40"/>
      <c r="G134" s="29"/>
      <c r="H134" s="46"/>
      <c r="J134" s="17"/>
    </row>
    <row r="135" spans="2:10" x14ac:dyDescent="0.25">
      <c r="J135" s="45"/>
    </row>
    <row r="136" spans="2:10" ht="18" x14ac:dyDescent="0.35">
      <c r="D136" s="9" t="s">
        <v>40</v>
      </c>
      <c r="E136" s="9" t="s">
        <v>24</v>
      </c>
      <c r="F136" s="9" t="s">
        <v>41</v>
      </c>
      <c r="G136" s="9"/>
      <c r="I136" s="27"/>
    </row>
    <row r="137" spans="2:10" x14ac:dyDescent="0.25">
      <c r="C137" s="7" t="s">
        <v>0</v>
      </c>
      <c r="D137" s="1" t="s">
        <v>9</v>
      </c>
      <c r="E137" s="1" t="s">
        <v>43</v>
      </c>
      <c r="F137" s="1" t="s">
        <v>44</v>
      </c>
      <c r="G137" s="1"/>
    </row>
    <row r="138" spans="2:10" x14ac:dyDescent="0.25">
      <c r="C138" s="16" t="s">
        <v>100</v>
      </c>
      <c r="D138" s="17">
        <f>+D72</f>
        <v>155.87646000000001</v>
      </c>
      <c r="E138">
        <f>+$D$82</f>
        <v>0.33489999999999998</v>
      </c>
      <c r="F138" s="3">
        <f>+D138*E138*(1+$D$134)</f>
        <v>57.75747023112676</v>
      </c>
      <c r="G138" s="3"/>
    </row>
    <row r="139" spans="2:10" x14ac:dyDescent="0.25">
      <c r="C139" s="16"/>
      <c r="D139" s="17"/>
      <c r="F139" s="3"/>
      <c r="G139" s="3"/>
    </row>
    <row r="140" spans="2:10" x14ac:dyDescent="0.25">
      <c r="C140" s="16"/>
      <c r="D140" s="17"/>
      <c r="F140" s="3"/>
      <c r="G140" s="3"/>
    </row>
    <row r="141" spans="2:10" x14ac:dyDescent="0.25">
      <c r="C141" s="13" t="s">
        <v>1</v>
      </c>
      <c r="D141" s="14">
        <f>SUM(D138:D140)</f>
        <v>155.87646000000001</v>
      </c>
      <c r="F141" s="8">
        <f>SUM(F138:F140)</f>
        <v>57.75747023112676</v>
      </c>
      <c r="G141" s="3"/>
    </row>
    <row r="144" spans="2:10" x14ac:dyDescent="0.25">
      <c r="B144" s="9" t="s">
        <v>38</v>
      </c>
      <c r="C144" s="7" t="s">
        <v>21</v>
      </c>
    </row>
    <row r="147" spans="2:6" ht="18" x14ac:dyDescent="0.35">
      <c r="C147" s="7" t="s">
        <v>0</v>
      </c>
      <c r="D147" s="9" t="s">
        <v>87</v>
      </c>
      <c r="E147" s="9" t="s">
        <v>28</v>
      </c>
      <c r="F147" s="9" t="s">
        <v>42</v>
      </c>
    </row>
    <row r="148" spans="2:6" x14ac:dyDescent="0.25">
      <c r="C148" s="16" t="s">
        <v>100</v>
      </c>
      <c r="D148" s="3">
        <f>+F109</f>
        <v>23303.47699794449</v>
      </c>
      <c r="E148" s="3">
        <f>+F138</f>
        <v>57.75747023112676</v>
      </c>
      <c r="F148" s="3">
        <f>+D148-E148</f>
        <v>23245.719527713361</v>
      </c>
    </row>
    <row r="149" spans="2:6" x14ac:dyDescent="0.25">
      <c r="C149" s="16"/>
      <c r="D149" s="3"/>
      <c r="E149" s="3"/>
      <c r="F149" s="3"/>
    </row>
    <row r="150" spans="2:6" x14ac:dyDescent="0.25">
      <c r="C150" s="16"/>
      <c r="D150" s="3"/>
      <c r="E150" s="3"/>
      <c r="F150" s="3"/>
    </row>
    <row r="151" spans="2:6" x14ac:dyDescent="0.25">
      <c r="C151" s="13" t="s">
        <v>1</v>
      </c>
      <c r="D151" s="8">
        <f>SUM(D148:D150)</f>
        <v>23303.47699794449</v>
      </c>
      <c r="E151" s="7"/>
      <c r="F151" s="8">
        <f>SUM(F148:F150)</f>
        <v>23245.719527713361</v>
      </c>
    </row>
    <row r="155" spans="2:6" ht="18.75" x14ac:dyDescent="0.3">
      <c r="B155" s="26" t="s">
        <v>47</v>
      </c>
      <c r="C155" s="18" t="s">
        <v>50</v>
      </c>
    </row>
    <row r="157" spans="2:6" x14ac:dyDescent="0.25">
      <c r="B157" s="9" t="s">
        <v>49</v>
      </c>
      <c r="C157" s="7" t="s">
        <v>51</v>
      </c>
    </row>
    <row r="166" spans="2:6" ht="18.75" x14ac:dyDescent="0.3">
      <c r="B166" s="18"/>
      <c r="C166" s="18"/>
    </row>
    <row r="171" spans="2:6" x14ac:dyDescent="0.25">
      <c r="C171" s="7"/>
    </row>
    <row r="172" spans="2:6" ht="18" x14ac:dyDescent="0.35">
      <c r="C172" s="13" t="s">
        <v>0</v>
      </c>
      <c r="D172" s="9" t="s">
        <v>23</v>
      </c>
      <c r="E172" s="9" t="s">
        <v>24</v>
      </c>
      <c r="F172" s="9" t="s">
        <v>25</v>
      </c>
    </row>
    <row r="173" spans="2:6" x14ac:dyDescent="0.25">
      <c r="C173" s="16" t="s">
        <v>100</v>
      </c>
      <c r="D173" s="17">
        <f>+F22</f>
        <v>4644.3114610900002</v>
      </c>
      <c r="E173">
        <f>+$D$82</f>
        <v>0.33489999999999998</v>
      </c>
      <c r="F173" s="3">
        <f>+D173*E173</f>
        <v>1555.3799083190409</v>
      </c>
    </row>
    <row r="174" spans="2:6" x14ac:dyDescent="0.25">
      <c r="C174" s="16"/>
      <c r="D174" s="3"/>
      <c r="F174" s="3"/>
    </row>
    <row r="175" spans="2:6" x14ac:dyDescent="0.25">
      <c r="C175" s="16"/>
      <c r="D175" s="3"/>
      <c r="F175" s="3"/>
    </row>
    <row r="176" spans="2:6" x14ac:dyDescent="0.25">
      <c r="C176" s="13" t="s">
        <v>1</v>
      </c>
      <c r="D176" s="14">
        <f>SUM(D173:D175)</f>
        <v>4644.3114610900002</v>
      </c>
      <c r="E176" s="7"/>
      <c r="F176" s="8">
        <f>SUM(F173:F175)</f>
        <v>1555.3799083190409</v>
      </c>
    </row>
    <row r="178" spans="2:12" x14ac:dyDescent="0.25">
      <c r="I178" s="4"/>
    </row>
    <row r="179" spans="2:12" x14ac:dyDescent="0.25">
      <c r="B179" s="9" t="s">
        <v>52</v>
      </c>
      <c r="C179" s="7" t="s">
        <v>53</v>
      </c>
    </row>
    <row r="181" spans="2:12" ht="18" x14ac:dyDescent="0.35">
      <c r="C181" s="7" t="s">
        <v>26</v>
      </c>
      <c r="D181" t="s">
        <v>54</v>
      </c>
      <c r="E181">
        <v>0</v>
      </c>
    </row>
    <row r="185" spans="2:12" x14ac:dyDescent="0.25">
      <c r="B185" s="9" t="s">
        <v>55</v>
      </c>
      <c r="C185" s="7" t="s">
        <v>56</v>
      </c>
      <c r="L185" s="3"/>
    </row>
    <row r="186" spans="2:12" x14ac:dyDescent="0.25">
      <c r="L186" s="3"/>
    </row>
    <row r="188" spans="2:12" ht="18" x14ac:dyDescent="0.35">
      <c r="C188" s="13" t="s">
        <v>0</v>
      </c>
      <c r="D188" s="9" t="s">
        <v>25</v>
      </c>
      <c r="E188" s="9" t="s">
        <v>26</v>
      </c>
      <c r="F188" s="9" t="s">
        <v>27</v>
      </c>
    </row>
    <row r="189" spans="2:12" x14ac:dyDescent="0.25">
      <c r="C189" s="16" t="s">
        <v>100</v>
      </c>
      <c r="D189" s="3">
        <f>+F173</f>
        <v>1555.3799083190409</v>
      </c>
      <c r="E189">
        <f>+$E$181</f>
        <v>0</v>
      </c>
      <c r="F189" s="3">
        <f>+D189-E189</f>
        <v>1555.3799083190409</v>
      </c>
    </row>
    <row r="190" spans="2:12" x14ac:dyDescent="0.25">
      <c r="C190" s="16"/>
      <c r="D190" s="3"/>
      <c r="F190" s="3"/>
    </row>
    <row r="191" spans="2:12" x14ac:dyDescent="0.25">
      <c r="C191" s="16"/>
      <c r="D191" s="3"/>
      <c r="F191" s="3"/>
    </row>
    <row r="192" spans="2:12" x14ac:dyDescent="0.25">
      <c r="C192" s="13" t="s">
        <v>1</v>
      </c>
      <c r="D192" s="8">
        <f>SUM(D189:D191)</f>
        <v>1555.3799083190409</v>
      </c>
      <c r="E192" s="7"/>
      <c r="F192" s="8">
        <f>SUM(F189:F191)</f>
        <v>1555.3799083190409</v>
      </c>
    </row>
    <row r="195" spans="2:9" ht="18.75" x14ac:dyDescent="0.3">
      <c r="B195" s="18">
        <v>5</v>
      </c>
      <c r="C195" s="18" t="s">
        <v>57</v>
      </c>
    </row>
    <row r="197" spans="2:9" x14ac:dyDescent="0.25">
      <c r="C197" s="13"/>
      <c r="D197" s="8"/>
      <c r="E197" s="8"/>
      <c r="F197" s="8"/>
    </row>
    <row r="199" spans="2:9" ht="15.75" thickBot="1" x14ac:dyDescent="0.3"/>
    <row r="200" spans="2:9" ht="62.25" thickBot="1" x14ac:dyDescent="0.3">
      <c r="C200" s="20" t="s">
        <v>0</v>
      </c>
      <c r="D200" s="21" t="s">
        <v>31</v>
      </c>
      <c r="E200" s="21" t="s">
        <v>32</v>
      </c>
      <c r="F200" s="21" t="s">
        <v>33</v>
      </c>
      <c r="G200" s="21" t="s">
        <v>112</v>
      </c>
      <c r="H200" s="21" t="s">
        <v>113</v>
      </c>
      <c r="I200" s="21" t="s">
        <v>114</v>
      </c>
    </row>
    <row r="201" spans="2:9" ht="16.899999999999999" customHeight="1" thickBot="1" x14ac:dyDescent="0.3">
      <c r="C201" s="50" t="s">
        <v>102</v>
      </c>
      <c r="D201" s="24">
        <f>+D148+F173</f>
        <v>24858.856906263532</v>
      </c>
      <c r="E201" s="24">
        <f>+E148+E189</f>
        <v>57.75747023112676</v>
      </c>
      <c r="F201" s="22">
        <v>0</v>
      </c>
      <c r="G201" s="24">
        <f>+D201-E201-F201</f>
        <v>24801.099436032404</v>
      </c>
      <c r="H201" s="24">
        <v>0</v>
      </c>
      <c r="I201" s="24">
        <f>+G201-H201</f>
        <v>24801.099436032404</v>
      </c>
    </row>
    <row r="202" spans="2:9" ht="15.75" thickBot="1" x14ac:dyDescent="0.3">
      <c r="C202" s="23" t="s">
        <v>34</v>
      </c>
      <c r="D202" s="44">
        <f>SUM(D201:D201)</f>
        <v>24858.856906263532</v>
      </c>
      <c r="E202" s="44">
        <f>SUM(E201:E201)</f>
        <v>57.75747023112676</v>
      </c>
      <c r="F202" s="44">
        <f>SUM(F201:F201)</f>
        <v>0</v>
      </c>
      <c r="G202" s="44">
        <f>SUM(G201:G201)</f>
        <v>24801.099436032404</v>
      </c>
      <c r="H202" s="44">
        <v>0</v>
      </c>
      <c r="I202" s="44">
        <f>+G202-H202</f>
        <v>24801.099436032404</v>
      </c>
    </row>
    <row r="206" spans="2:9" ht="18.75" x14ac:dyDescent="0.3">
      <c r="B206" s="18">
        <v>7</v>
      </c>
      <c r="C206" s="18" t="s">
        <v>110</v>
      </c>
    </row>
    <row r="207" spans="2:9" ht="15.75" thickBot="1" x14ac:dyDescent="0.3"/>
    <row r="208" spans="2:9" ht="46.5" customHeight="1" thickBot="1" x14ac:dyDescent="0.3">
      <c r="C208" s="20" t="s">
        <v>111</v>
      </c>
      <c r="D208" s="21" t="s">
        <v>115</v>
      </c>
      <c r="E208" s="21" t="s">
        <v>116</v>
      </c>
      <c r="F208" s="21" t="s">
        <v>117</v>
      </c>
    </row>
    <row r="209" spans="3:6" ht="15.75" thickBot="1" x14ac:dyDescent="0.3">
      <c r="C209" s="57" t="s">
        <v>100</v>
      </c>
      <c r="D209" s="24">
        <v>36755</v>
      </c>
      <c r="E209" s="24">
        <f>+I201</f>
        <v>24801.099436032404</v>
      </c>
      <c r="F209" s="55">
        <f>+(E209-D209)/D209</f>
        <v>-0.32523195657645482</v>
      </c>
    </row>
    <row r="210" spans="3:6" ht="15.75" thickBot="1" x14ac:dyDescent="0.3">
      <c r="C210" s="23" t="s">
        <v>1</v>
      </c>
      <c r="D210" s="44">
        <f>+D209</f>
        <v>36755</v>
      </c>
      <c r="E210" s="44">
        <f>+E209</f>
        <v>24801.099436032404</v>
      </c>
      <c r="F210" s="54">
        <f>+F209</f>
        <v>-0.32523195657645482</v>
      </c>
    </row>
  </sheetData>
  <hyperlinks>
    <hyperlink ref="F133" r:id="rId1" xr:uid="{E0C622A7-7CCA-48E6-9087-0EBAB5A03082}"/>
    <hyperlink ref="F132" r:id="rId2" xr:uid="{F75B8C0C-C290-408B-A415-EADB5E08EE09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F644-B329-40E7-84F1-F45764AA8D6E}">
  <dimension ref="B2:O93"/>
  <sheetViews>
    <sheetView workbookViewId="0">
      <selection activeCell="J14" sqref="J14"/>
    </sheetView>
  </sheetViews>
  <sheetFormatPr defaultColWidth="10.85546875" defaultRowHeight="15" x14ac:dyDescent="0.25"/>
  <cols>
    <col min="1" max="1" width="9.28515625" customWidth="1"/>
    <col min="2" max="2" width="16.42578125" style="30" customWidth="1"/>
    <col min="3" max="3" width="14.140625" style="30" customWidth="1"/>
    <col min="4" max="5" width="11.7109375" style="30" customWidth="1"/>
    <col min="6" max="10" width="11.7109375" customWidth="1"/>
    <col min="12" max="12" width="11.28515625" bestFit="1" customWidth="1"/>
    <col min="15" max="15" width="11.85546875" bestFit="1" customWidth="1"/>
  </cols>
  <sheetData>
    <row r="2" spans="2:14" x14ac:dyDescent="0.25">
      <c r="C2" s="12" t="s">
        <v>125</v>
      </c>
    </row>
    <row r="3" spans="2:14" x14ac:dyDescent="0.25">
      <c r="C3" s="12" t="s">
        <v>124</v>
      </c>
      <c r="D3" s="62">
        <v>5.0000000000000001E-3</v>
      </c>
    </row>
    <row r="4" spans="2:14" ht="15.75" thickBot="1" x14ac:dyDescent="0.3">
      <c r="B4" s="58" t="s">
        <v>120</v>
      </c>
    </row>
    <row r="5" spans="2:14" ht="30" x14ac:dyDescent="0.25">
      <c r="B5" s="31" t="s">
        <v>61</v>
      </c>
      <c r="C5" s="32" t="s">
        <v>78</v>
      </c>
      <c r="D5" s="32" t="s">
        <v>79</v>
      </c>
      <c r="E5" s="32" t="s">
        <v>80</v>
      </c>
      <c r="F5" s="32" t="s">
        <v>62</v>
      </c>
      <c r="G5" s="32" t="s">
        <v>63</v>
      </c>
      <c r="H5" s="32" t="s">
        <v>64</v>
      </c>
      <c r="I5" s="32" t="s">
        <v>65</v>
      </c>
      <c r="J5" s="32" t="s">
        <v>66</v>
      </c>
      <c r="K5" s="51" t="s">
        <v>103</v>
      </c>
      <c r="L5" s="32" t="s">
        <v>104</v>
      </c>
      <c r="M5" s="32" t="s">
        <v>105</v>
      </c>
      <c r="N5" s="33" t="s">
        <v>106</v>
      </c>
    </row>
    <row r="6" spans="2:14" x14ac:dyDescent="0.25">
      <c r="B6" s="34">
        <v>1</v>
      </c>
      <c r="C6" s="35">
        <v>18018.96</v>
      </c>
      <c r="D6" s="35">
        <v>17764.738000000001</v>
      </c>
      <c r="E6" s="35">
        <v>18176.717000000001</v>
      </c>
      <c r="F6" s="35">
        <v>19275.509999999998</v>
      </c>
      <c r="G6" s="35">
        <v>8485.2780000000002</v>
      </c>
      <c r="H6" s="61">
        <f>+H44*(1-$D$3)</f>
        <v>0</v>
      </c>
      <c r="I6" s="61">
        <f>+I44*(1-$D$3)</f>
        <v>14067.633375000003</v>
      </c>
      <c r="J6" s="61">
        <f>+J44*(1-$D$3)</f>
        <v>16056.641360000003</v>
      </c>
      <c r="K6" s="35">
        <v>19713.536</v>
      </c>
      <c r="L6" s="35">
        <v>11587.27</v>
      </c>
      <c r="M6" s="35">
        <v>15516.329000000002</v>
      </c>
      <c r="N6" s="36">
        <v>15291.909</v>
      </c>
    </row>
    <row r="7" spans="2:14" x14ac:dyDescent="0.25">
      <c r="B7" s="34">
        <v>2</v>
      </c>
      <c r="C7" s="35">
        <v>18340.14</v>
      </c>
      <c r="D7" s="35">
        <v>17565.102999999996</v>
      </c>
      <c r="E7" s="35">
        <v>17899.25</v>
      </c>
      <c r="F7" s="35">
        <v>19160.68</v>
      </c>
      <c r="G7" s="35">
        <v>18228.375</v>
      </c>
      <c r="H7" s="61">
        <f t="shared" ref="H7:J35" si="0">+H45*(1-$D$3)</f>
        <v>0</v>
      </c>
      <c r="I7" s="61">
        <f t="shared" si="0"/>
        <v>14000.050984999998</v>
      </c>
      <c r="J7" s="61">
        <f t="shared" si="0"/>
        <v>13214.383065</v>
      </c>
      <c r="K7" s="35">
        <v>19661.519999999997</v>
      </c>
      <c r="L7" s="35">
        <v>13147.538999999999</v>
      </c>
      <c r="M7" s="35">
        <v>15660.471999999998</v>
      </c>
      <c r="N7" s="36">
        <v>14321.616</v>
      </c>
    </row>
    <row r="8" spans="2:14" x14ac:dyDescent="0.25">
      <c r="B8" s="34">
        <v>3</v>
      </c>
      <c r="C8" s="35">
        <v>18907.36</v>
      </c>
      <c r="D8" s="35">
        <v>17937.975999999999</v>
      </c>
      <c r="E8" s="35">
        <v>17820.150999999998</v>
      </c>
      <c r="F8" s="35">
        <v>18142.580999999998</v>
      </c>
      <c r="G8" s="35">
        <v>18823.733</v>
      </c>
      <c r="H8" s="61">
        <f t="shared" si="0"/>
        <v>0</v>
      </c>
      <c r="I8" s="61">
        <f t="shared" si="0"/>
        <v>14139.235565000001</v>
      </c>
      <c r="J8" s="61">
        <f t="shared" si="0"/>
        <v>14152.553639999996</v>
      </c>
      <c r="K8" s="35">
        <v>19247.404999999999</v>
      </c>
      <c r="L8" s="35">
        <v>12276.015000000001</v>
      </c>
      <c r="M8" s="35">
        <v>5606.3539999999994</v>
      </c>
      <c r="N8" s="36">
        <v>15088.181999999999</v>
      </c>
    </row>
    <row r="9" spans="2:14" x14ac:dyDescent="0.25">
      <c r="B9" s="34">
        <v>4</v>
      </c>
      <c r="C9" s="35">
        <v>18967.64</v>
      </c>
      <c r="D9" s="35">
        <v>16281.637999999999</v>
      </c>
      <c r="E9" s="35">
        <v>18847.43</v>
      </c>
      <c r="F9" s="35">
        <v>19215.313999999998</v>
      </c>
      <c r="G9" s="35">
        <v>17764.573000000004</v>
      </c>
      <c r="H9" s="61">
        <f t="shared" si="0"/>
        <v>0</v>
      </c>
      <c r="I9" s="61">
        <f t="shared" si="0"/>
        <v>11952.96883</v>
      </c>
      <c r="J9" s="61">
        <f t="shared" si="0"/>
        <v>16297.717920000005</v>
      </c>
      <c r="K9" s="35">
        <v>19439.111000000001</v>
      </c>
      <c r="L9" s="35">
        <v>19294.12</v>
      </c>
      <c r="M9" s="35">
        <v>0</v>
      </c>
      <c r="N9" s="36">
        <v>15252.616000000002</v>
      </c>
    </row>
    <row r="10" spans="2:14" x14ac:dyDescent="0.25">
      <c r="B10" s="34">
        <v>5</v>
      </c>
      <c r="C10" s="35">
        <v>19233.835000000003</v>
      </c>
      <c r="D10" s="35">
        <v>12950.284</v>
      </c>
      <c r="E10" s="35">
        <v>18856.623999999996</v>
      </c>
      <c r="F10" s="35">
        <v>18643.438999999998</v>
      </c>
      <c r="G10" s="35">
        <v>19320.689999999999</v>
      </c>
      <c r="H10" s="61">
        <f t="shared" si="0"/>
        <v>167.19979999999998</v>
      </c>
      <c r="I10" s="61">
        <f t="shared" si="0"/>
        <v>11555.784729999998</v>
      </c>
      <c r="J10" s="61">
        <f t="shared" si="0"/>
        <v>16135.869230000004</v>
      </c>
      <c r="K10" s="35">
        <v>19598.046999999999</v>
      </c>
      <c r="L10" s="35">
        <v>18206.212</v>
      </c>
      <c r="M10" s="35">
        <v>0</v>
      </c>
      <c r="N10" s="36">
        <v>14999.739</v>
      </c>
    </row>
    <row r="11" spans="2:14" x14ac:dyDescent="0.25">
      <c r="B11" s="34">
        <v>6</v>
      </c>
      <c r="C11" s="35">
        <v>19009.740000000002</v>
      </c>
      <c r="D11" s="35">
        <v>17287.345000000001</v>
      </c>
      <c r="E11" s="35">
        <v>18473.081000000002</v>
      </c>
      <c r="F11" s="35">
        <v>17986.021000000001</v>
      </c>
      <c r="G11" s="35">
        <v>19774.82</v>
      </c>
      <c r="H11" s="61">
        <f t="shared" si="0"/>
        <v>125.41378</v>
      </c>
      <c r="I11" s="61">
        <f t="shared" si="0"/>
        <v>3198.414565</v>
      </c>
      <c r="J11" s="61">
        <f t="shared" si="0"/>
        <v>16441.341195000001</v>
      </c>
      <c r="K11" s="35">
        <v>12088.29</v>
      </c>
      <c r="L11" s="35">
        <v>17978.510999999999</v>
      </c>
      <c r="M11" s="35">
        <v>2888.6550000000002</v>
      </c>
      <c r="N11" s="36">
        <v>15337.378999999999</v>
      </c>
    </row>
    <row r="12" spans="2:14" x14ac:dyDescent="0.25">
      <c r="B12" s="34">
        <v>7</v>
      </c>
      <c r="C12" s="35">
        <v>19113.377</v>
      </c>
      <c r="D12" s="35">
        <v>18170.046999999999</v>
      </c>
      <c r="E12" s="35">
        <v>18440.282999999999</v>
      </c>
      <c r="F12" s="35">
        <v>19194.816999999995</v>
      </c>
      <c r="G12" s="35">
        <v>19036.86</v>
      </c>
      <c r="H12" s="61">
        <f t="shared" si="0"/>
        <v>1009.90709</v>
      </c>
      <c r="I12" s="61">
        <f t="shared" si="0"/>
        <v>8442.2884400000003</v>
      </c>
      <c r="J12" s="61">
        <f t="shared" si="0"/>
        <v>15868.568450000001</v>
      </c>
      <c r="K12" s="35">
        <v>16609.499</v>
      </c>
      <c r="L12" s="35">
        <v>17649.668000000001</v>
      </c>
      <c r="M12" s="35">
        <v>4615.1979999999994</v>
      </c>
      <c r="N12" s="36">
        <v>15100.4</v>
      </c>
    </row>
    <row r="13" spans="2:14" x14ac:dyDescent="0.25">
      <c r="B13" s="34">
        <v>8</v>
      </c>
      <c r="C13" s="35">
        <v>15685.573000000002</v>
      </c>
      <c r="D13" s="35">
        <v>17805.571</v>
      </c>
      <c r="E13" s="35">
        <v>18594.46</v>
      </c>
      <c r="F13" s="35">
        <v>19437.894</v>
      </c>
      <c r="G13" s="35">
        <v>19391.14</v>
      </c>
      <c r="H13" s="61">
        <f t="shared" si="0"/>
        <v>7270.9246900000007</v>
      </c>
      <c r="I13" s="61">
        <f t="shared" si="0"/>
        <v>14534.421704999999</v>
      </c>
      <c r="J13" s="61">
        <f t="shared" si="0"/>
        <v>16441.665564999999</v>
      </c>
      <c r="K13" s="35">
        <v>12008.522999999999</v>
      </c>
      <c r="L13" s="35">
        <v>18380.488000000001</v>
      </c>
      <c r="M13" s="35">
        <v>9409.9489999999987</v>
      </c>
      <c r="N13" s="36">
        <v>11403.007999999998</v>
      </c>
    </row>
    <row r="14" spans="2:14" x14ac:dyDescent="0.25">
      <c r="B14" s="34">
        <v>9</v>
      </c>
      <c r="C14" s="35">
        <v>19189.366000000002</v>
      </c>
      <c r="D14" s="35">
        <v>18383.816999999999</v>
      </c>
      <c r="E14" s="35">
        <v>17358.29</v>
      </c>
      <c r="F14" s="35">
        <v>18993.030999999999</v>
      </c>
      <c r="G14" s="35">
        <v>5105.6400000000003</v>
      </c>
      <c r="H14" s="61">
        <f t="shared" si="0"/>
        <v>15257.710089999997</v>
      </c>
      <c r="I14" s="61">
        <f t="shared" si="0"/>
        <v>14374.059544999998</v>
      </c>
      <c r="J14" s="61">
        <f t="shared" si="0"/>
        <v>16336.632369999999</v>
      </c>
      <c r="K14" s="35">
        <v>0</v>
      </c>
      <c r="L14" s="35">
        <v>9795.0210000000006</v>
      </c>
      <c r="M14" s="35">
        <v>14701.602000000001</v>
      </c>
      <c r="N14" s="36">
        <v>14150.728000000001</v>
      </c>
    </row>
    <row r="15" spans="2:14" x14ac:dyDescent="0.25">
      <c r="B15" s="34">
        <v>10</v>
      </c>
      <c r="C15" s="35">
        <v>18987.059000000001</v>
      </c>
      <c r="D15" s="35">
        <v>17107.675999999999</v>
      </c>
      <c r="E15" s="35">
        <v>18415.689999999999</v>
      </c>
      <c r="F15" s="35">
        <v>19766.22</v>
      </c>
      <c r="G15" s="35">
        <v>0</v>
      </c>
      <c r="H15" s="61">
        <f t="shared" si="0"/>
        <v>15034.466914999999</v>
      </c>
      <c r="I15" s="61">
        <f t="shared" si="0"/>
        <v>14871.215274999999</v>
      </c>
      <c r="J15" s="35">
        <v>17705.083000000002</v>
      </c>
      <c r="K15" s="35">
        <v>5246.4259999999995</v>
      </c>
      <c r="L15" s="35">
        <v>7862.0020000000004</v>
      </c>
      <c r="M15" s="35">
        <v>14270.047999999999</v>
      </c>
      <c r="N15" s="36">
        <v>4548.3710000000001</v>
      </c>
    </row>
    <row r="16" spans="2:14" x14ac:dyDescent="0.25">
      <c r="B16" s="34">
        <v>11</v>
      </c>
      <c r="C16" s="35">
        <v>19196.689999999999</v>
      </c>
      <c r="D16" s="35">
        <v>16795.439999999999</v>
      </c>
      <c r="E16" s="35">
        <v>19181.385999999995</v>
      </c>
      <c r="F16" s="35">
        <v>18843.259999999998</v>
      </c>
      <c r="G16" s="35">
        <v>0</v>
      </c>
      <c r="H16" s="61">
        <f t="shared" si="0"/>
        <v>15055.926080000001</v>
      </c>
      <c r="I16" s="61">
        <f t="shared" si="0"/>
        <v>14999.458834999999</v>
      </c>
      <c r="J16" s="35">
        <v>18074.364000000001</v>
      </c>
      <c r="K16" s="35">
        <v>15910.831000000004</v>
      </c>
      <c r="L16" s="35">
        <v>11980.580000000002</v>
      </c>
      <c r="M16" s="35">
        <v>14978.284000000005</v>
      </c>
      <c r="N16" s="36">
        <v>0</v>
      </c>
    </row>
    <row r="17" spans="2:14" x14ac:dyDescent="0.25">
      <c r="B17" s="34">
        <v>12</v>
      </c>
      <c r="C17" s="35">
        <v>19198.607</v>
      </c>
      <c r="D17" s="35">
        <v>16764.2</v>
      </c>
      <c r="E17" s="35">
        <v>18362.800000000003</v>
      </c>
      <c r="F17" s="35">
        <v>19541.62</v>
      </c>
      <c r="G17" s="35">
        <v>0</v>
      </c>
      <c r="H17" s="61">
        <f t="shared" si="0"/>
        <v>15259.068265</v>
      </c>
      <c r="I17" s="61">
        <f t="shared" si="0"/>
        <v>14930.99388</v>
      </c>
      <c r="J17" s="35">
        <v>15635.826000000005</v>
      </c>
      <c r="K17" s="35">
        <v>17300.825000000004</v>
      </c>
      <c r="L17" s="35">
        <v>2687.1200000000003</v>
      </c>
      <c r="M17" s="35">
        <v>14966.616999999998</v>
      </c>
      <c r="N17" s="36">
        <v>0</v>
      </c>
    </row>
    <row r="18" spans="2:14" x14ac:dyDescent="0.25">
      <c r="B18" s="34">
        <v>13</v>
      </c>
      <c r="C18" s="35">
        <v>18652.190000000002</v>
      </c>
      <c r="D18" s="35">
        <v>16454.689999999999</v>
      </c>
      <c r="E18" s="35">
        <v>14644.628999999999</v>
      </c>
      <c r="F18" s="35">
        <v>19771.45</v>
      </c>
      <c r="G18" s="35">
        <v>0</v>
      </c>
      <c r="H18" s="61">
        <f t="shared" si="0"/>
        <v>16021.470099999999</v>
      </c>
      <c r="I18" s="61">
        <f t="shared" si="0"/>
        <v>13571.741294999996</v>
      </c>
      <c r="J18" s="35">
        <v>17736.901000000002</v>
      </c>
      <c r="K18" s="35">
        <v>17280.803000000004</v>
      </c>
      <c r="L18" s="35">
        <v>16200.535000000002</v>
      </c>
      <c r="M18" s="35">
        <v>14803.569999999996</v>
      </c>
      <c r="N18" s="36">
        <v>7401.1970000000001</v>
      </c>
    </row>
    <row r="19" spans="2:14" x14ac:dyDescent="0.25">
      <c r="B19" s="34">
        <v>14</v>
      </c>
      <c r="C19" s="35">
        <v>18557.466</v>
      </c>
      <c r="D19" s="35">
        <v>15876.835000000003</v>
      </c>
      <c r="E19" s="35">
        <v>0</v>
      </c>
      <c r="F19" s="35">
        <v>19470.990000000002</v>
      </c>
      <c r="G19" s="35">
        <v>0</v>
      </c>
      <c r="H19" s="61">
        <f t="shared" si="0"/>
        <v>13335.660629999998</v>
      </c>
      <c r="I19" s="61">
        <f t="shared" si="0"/>
        <v>14882.675684999998</v>
      </c>
      <c r="J19" s="35">
        <v>17426.894</v>
      </c>
      <c r="K19" s="35">
        <v>18187.241000000002</v>
      </c>
      <c r="L19" s="35">
        <v>16844.371999999999</v>
      </c>
      <c r="M19" s="35">
        <v>14492.742999999999</v>
      </c>
      <c r="N19" s="36">
        <v>11295.826999999999</v>
      </c>
    </row>
    <row r="20" spans="2:14" x14ac:dyDescent="0.25">
      <c r="B20" s="34">
        <v>15</v>
      </c>
      <c r="C20" s="35">
        <v>18205.617000000002</v>
      </c>
      <c r="D20" s="35">
        <v>16271.358000000002</v>
      </c>
      <c r="E20" s="35">
        <v>0</v>
      </c>
      <c r="F20" s="35">
        <v>19749.07</v>
      </c>
      <c r="G20" s="35">
        <v>0</v>
      </c>
      <c r="H20" s="61">
        <f t="shared" si="0"/>
        <v>7821.555699999999</v>
      </c>
      <c r="I20" s="61">
        <f t="shared" si="0"/>
        <v>14071.980530000001</v>
      </c>
      <c r="J20" s="35">
        <v>15166.317999999996</v>
      </c>
      <c r="K20" s="35">
        <v>16515.596000000001</v>
      </c>
      <c r="L20" s="35">
        <v>17645.067999999996</v>
      </c>
      <c r="M20" s="35">
        <v>14751.310999999998</v>
      </c>
      <c r="N20" s="36">
        <v>2105.701</v>
      </c>
    </row>
    <row r="21" spans="2:14" x14ac:dyDescent="0.25">
      <c r="B21" s="34">
        <v>16</v>
      </c>
      <c r="C21" s="35">
        <v>18593.255000000001</v>
      </c>
      <c r="D21" s="35">
        <v>14541.608999999999</v>
      </c>
      <c r="E21" s="35">
        <v>0</v>
      </c>
      <c r="F21" s="35">
        <v>19697.73</v>
      </c>
      <c r="G21" s="35">
        <v>0</v>
      </c>
      <c r="H21" s="61">
        <f t="shared" si="0"/>
        <v>17403.305205000001</v>
      </c>
      <c r="I21" s="61">
        <f t="shared" si="0"/>
        <v>14073.789439999999</v>
      </c>
      <c r="J21" s="35">
        <v>16323.784</v>
      </c>
      <c r="K21" s="35">
        <v>18021.703999999998</v>
      </c>
      <c r="L21" s="35">
        <v>18296.327999999998</v>
      </c>
      <c r="M21" s="35">
        <v>14046.441999999999</v>
      </c>
      <c r="N21" s="36">
        <v>14250.945</v>
      </c>
    </row>
    <row r="22" spans="2:14" x14ac:dyDescent="0.25">
      <c r="B22" s="34">
        <v>17</v>
      </c>
      <c r="C22" s="35">
        <v>9544.525999999998</v>
      </c>
      <c r="D22" s="35">
        <v>4716.1369999999988</v>
      </c>
      <c r="E22" s="35">
        <v>0</v>
      </c>
      <c r="F22" s="35">
        <v>19848.454000000002</v>
      </c>
      <c r="G22" s="35">
        <v>0</v>
      </c>
      <c r="H22" s="61">
        <f t="shared" si="0"/>
        <v>17627.133440000001</v>
      </c>
      <c r="I22" s="61">
        <f t="shared" si="0"/>
        <v>14173.507345000004</v>
      </c>
      <c r="J22" s="35">
        <v>16637.502</v>
      </c>
      <c r="K22" s="35">
        <v>17265.73</v>
      </c>
      <c r="L22" s="35">
        <v>17424.569000000003</v>
      </c>
      <c r="M22" s="35">
        <v>12169.999999999996</v>
      </c>
      <c r="N22" s="36">
        <v>14335.599</v>
      </c>
    </row>
    <row r="23" spans="2:14" x14ac:dyDescent="0.25">
      <c r="B23" s="34">
        <v>18</v>
      </c>
      <c r="C23" s="35">
        <v>603.41999999999996</v>
      </c>
      <c r="D23" s="35">
        <v>4165.84</v>
      </c>
      <c r="E23" s="35">
        <v>0</v>
      </c>
      <c r="F23" s="35">
        <v>19845.011999999999</v>
      </c>
      <c r="G23" s="35">
        <v>0</v>
      </c>
      <c r="H23" s="61">
        <f t="shared" si="0"/>
        <v>17296.009379999996</v>
      </c>
      <c r="I23" s="61">
        <f t="shared" si="0"/>
        <v>14549.739729999999</v>
      </c>
      <c r="J23" s="35">
        <v>18050.433999999997</v>
      </c>
      <c r="K23" s="35">
        <v>6156.4760000000006</v>
      </c>
      <c r="L23" s="35">
        <v>16440.552000000003</v>
      </c>
      <c r="M23" s="35">
        <v>14697.759000000002</v>
      </c>
      <c r="N23" s="36">
        <v>14613.728999999999</v>
      </c>
    </row>
    <row r="24" spans="2:14" x14ac:dyDescent="0.25">
      <c r="B24" s="34">
        <v>19</v>
      </c>
      <c r="C24" s="35">
        <v>14329.654999999999</v>
      </c>
      <c r="D24" s="35">
        <v>18308.11</v>
      </c>
      <c r="E24" s="35">
        <v>0</v>
      </c>
      <c r="F24" s="35">
        <v>19424.526999999998</v>
      </c>
      <c r="G24" s="35">
        <v>0</v>
      </c>
      <c r="H24" s="61">
        <f t="shared" si="0"/>
        <v>17173.369659999997</v>
      </c>
      <c r="I24" s="61">
        <f t="shared" si="0"/>
        <v>14357.220165000001</v>
      </c>
      <c r="J24" s="35">
        <v>17456.019000000004</v>
      </c>
      <c r="K24" s="35">
        <v>15885.049000000001</v>
      </c>
      <c r="L24" s="35">
        <v>16722.922999999999</v>
      </c>
      <c r="M24" s="35">
        <v>14499.024000000001</v>
      </c>
      <c r="N24" s="36">
        <v>14170.127</v>
      </c>
    </row>
    <row r="25" spans="2:14" x14ac:dyDescent="0.25">
      <c r="B25" s="34">
        <v>20</v>
      </c>
      <c r="C25" s="35">
        <v>14037.48</v>
      </c>
      <c r="D25" s="35">
        <v>17936.560000000001</v>
      </c>
      <c r="E25" s="35">
        <v>0</v>
      </c>
      <c r="F25" s="35">
        <v>19847.938000000002</v>
      </c>
      <c r="G25" s="35">
        <v>0</v>
      </c>
      <c r="H25" s="61">
        <f t="shared" si="0"/>
        <v>17386.523535000004</v>
      </c>
      <c r="I25" s="61">
        <f t="shared" si="0"/>
        <v>14239.395250000003</v>
      </c>
      <c r="J25" s="35">
        <v>18292.075000000001</v>
      </c>
      <c r="K25" s="35">
        <v>16957.362000000005</v>
      </c>
      <c r="L25" s="35">
        <v>13779.854000000001</v>
      </c>
      <c r="M25" s="35">
        <v>14798.518000000004</v>
      </c>
      <c r="N25" s="36">
        <v>9799.485999999999</v>
      </c>
    </row>
    <row r="26" spans="2:14" x14ac:dyDescent="0.25">
      <c r="B26" s="34">
        <v>21</v>
      </c>
      <c r="C26" s="35">
        <v>16370.35</v>
      </c>
      <c r="D26" s="35">
        <v>13601.869000000002</v>
      </c>
      <c r="E26" s="35">
        <v>0</v>
      </c>
      <c r="F26" s="35">
        <v>19845.109000000004</v>
      </c>
      <c r="G26" s="35">
        <v>0</v>
      </c>
      <c r="H26" s="61">
        <f t="shared" si="0"/>
        <v>17098.443175</v>
      </c>
      <c r="I26" s="61">
        <f t="shared" si="0"/>
        <v>13953.841195000005</v>
      </c>
      <c r="J26" s="35">
        <v>18845.355000000003</v>
      </c>
      <c r="K26" s="35">
        <v>10763.472</v>
      </c>
      <c r="L26" s="35">
        <v>17066.39</v>
      </c>
      <c r="M26" s="35">
        <v>14631.754999999999</v>
      </c>
      <c r="N26" s="36">
        <v>9166.0079999999998</v>
      </c>
    </row>
    <row r="27" spans="2:14" x14ac:dyDescent="0.25">
      <c r="B27" s="34">
        <v>22</v>
      </c>
      <c r="C27" s="35">
        <v>1221.3699999999999</v>
      </c>
      <c r="D27" s="35">
        <v>16791.177</v>
      </c>
      <c r="E27" s="35">
        <v>0</v>
      </c>
      <c r="F27" s="35">
        <v>12321.669</v>
      </c>
      <c r="G27" s="35">
        <v>0</v>
      </c>
      <c r="H27" s="61">
        <f t="shared" si="0"/>
        <v>17626.185205000005</v>
      </c>
      <c r="I27" s="61">
        <f t="shared" si="0"/>
        <v>14073.986449999999</v>
      </c>
      <c r="J27" s="35">
        <v>19005.150000000001</v>
      </c>
      <c r="K27" s="35">
        <v>16050.749</v>
      </c>
      <c r="L27" s="35">
        <v>6258.3519999999999</v>
      </c>
      <c r="M27" s="35">
        <v>15025.285999999998</v>
      </c>
      <c r="N27" s="36">
        <v>2375.239</v>
      </c>
    </row>
    <row r="28" spans="2:14" x14ac:dyDescent="0.25">
      <c r="B28" s="34">
        <v>23</v>
      </c>
      <c r="C28" s="35">
        <v>0</v>
      </c>
      <c r="D28" s="35">
        <v>18280.794999999998</v>
      </c>
      <c r="E28" s="35">
        <v>0</v>
      </c>
      <c r="F28" s="35">
        <v>0</v>
      </c>
      <c r="G28" s="35">
        <v>0</v>
      </c>
      <c r="H28" s="61">
        <f t="shared" si="0"/>
        <v>9703.2987049999992</v>
      </c>
      <c r="I28" s="61">
        <f t="shared" si="0"/>
        <v>14071.75765</v>
      </c>
      <c r="J28" s="35">
        <v>18909.95</v>
      </c>
      <c r="K28" s="35">
        <v>17372.405000000002</v>
      </c>
      <c r="L28" s="35">
        <v>0</v>
      </c>
      <c r="M28" s="35">
        <v>14215.202000000001</v>
      </c>
      <c r="N28" s="36">
        <v>3008.2950000000001</v>
      </c>
    </row>
    <row r="29" spans="2:14" x14ac:dyDescent="0.25">
      <c r="B29" s="34">
        <v>24</v>
      </c>
      <c r="C29" s="35">
        <v>0</v>
      </c>
      <c r="D29" s="35">
        <v>18684.625</v>
      </c>
      <c r="E29" s="35">
        <v>86.385000000000005</v>
      </c>
      <c r="F29" s="35">
        <v>0</v>
      </c>
      <c r="G29" s="35">
        <v>0</v>
      </c>
      <c r="H29" s="61">
        <f t="shared" si="0"/>
        <v>16324.172980000001</v>
      </c>
      <c r="I29" s="61">
        <f t="shared" si="0"/>
        <v>13975.144144999998</v>
      </c>
      <c r="J29" s="35">
        <v>18976.240000000002</v>
      </c>
      <c r="K29" s="35">
        <v>17214.161</v>
      </c>
      <c r="L29" s="35">
        <v>3759.7579999999998</v>
      </c>
      <c r="M29" s="35">
        <v>15220.845000000005</v>
      </c>
      <c r="N29" s="36">
        <v>580.18599999999992</v>
      </c>
    </row>
    <row r="30" spans="2:14" x14ac:dyDescent="0.25">
      <c r="B30" s="34">
        <v>25</v>
      </c>
      <c r="C30" s="35">
        <v>3524.0270000000005</v>
      </c>
      <c r="D30" s="35">
        <v>18010.690000000002</v>
      </c>
      <c r="E30" s="35">
        <v>774.33600000000001</v>
      </c>
      <c r="F30" s="35">
        <v>0</v>
      </c>
      <c r="G30" s="35">
        <v>0</v>
      </c>
      <c r="H30" s="61">
        <f t="shared" si="0"/>
        <v>17119.207829999996</v>
      </c>
      <c r="I30" s="61">
        <f t="shared" si="0"/>
        <v>7164.6845599999997</v>
      </c>
      <c r="J30" s="35">
        <v>17086.87</v>
      </c>
      <c r="K30" s="35">
        <v>17644.286</v>
      </c>
      <c r="L30" s="35">
        <v>14143.391000000001</v>
      </c>
      <c r="M30" s="35">
        <v>14354.303000000002</v>
      </c>
      <c r="N30" s="36">
        <v>2240.5769999999998</v>
      </c>
    </row>
    <row r="31" spans="2:14" x14ac:dyDescent="0.25">
      <c r="B31" s="34">
        <v>26</v>
      </c>
      <c r="C31" s="35">
        <v>17147.806</v>
      </c>
      <c r="D31" s="35">
        <v>17498.904000000002</v>
      </c>
      <c r="E31" s="35">
        <v>2828.1500000000005</v>
      </c>
      <c r="F31" s="35">
        <v>0</v>
      </c>
      <c r="G31" s="35">
        <f>+G69</f>
        <v>0</v>
      </c>
      <c r="H31" s="61">
        <f t="shared" si="0"/>
        <v>15005.288540000003</v>
      </c>
      <c r="I31" s="61">
        <f t="shared" si="0"/>
        <v>14073.580490000004</v>
      </c>
      <c r="J31" s="35">
        <v>18883.91</v>
      </c>
      <c r="K31" s="35">
        <v>17079.973999999995</v>
      </c>
      <c r="L31" s="35">
        <v>12477.672999999999</v>
      </c>
      <c r="M31" s="35">
        <v>12914.012000000002</v>
      </c>
      <c r="N31" s="36">
        <v>8971.2260000000006</v>
      </c>
    </row>
    <row r="32" spans="2:14" x14ac:dyDescent="0.25">
      <c r="B32" s="34">
        <v>27</v>
      </c>
      <c r="C32" s="35">
        <v>2713.4849999999997</v>
      </c>
      <c r="D32" s="35">
        <v>10299.593000000001</v>
      </c>
      <c r="E32" s="35">
        <v>4418.8160000000007</v>
      </c>
      <c r="F32" s="35">
        <v>0</v>
      </c>
      <c r="G32" s="61">
        <f>+G70*(1-$D$3)</f>
        <v>0</v>
      </c>
      <c r="H32" s="61">
        <f t="shared" si="0"/>
        <v>14631.154610000001</v>
      </c>
      <c r="I32" s="61">
        <f t="shared" si="0"/>
        <v>14362.313569999997</v>
      </c>
      <c r="J32" s="35">
        <v>18962.439999999999</v>
      </c>
      <c r="K32" s="35">
        <v>17771.665999999997</v>
      </c>
      <c r="L32" s="35">
        <v>15399.417000000001</v>
      </c>
      <c r="M32" s="35">
        <v>14190.119999999999</v>
      </c>
      <c r="N32" s="36">
        <v>18003.939000000002</v>
      </c>
    </row>
    <row r="33" spans="2:15" x14ac:dyDescent="0.25">
      <c r="B33" s="34">
        <v>28</v>
      </c>
      <c r="C33" s="35">
        <v>16515.816000000003</v>
      </c>
      <c r="D33" s="35">
        <v>12352.064999999999</v>
      </c>
      <c r="E33" s="35">
        <v>17914.36</v>
      </c>
      <c r="F33" s="35">
        <v>0</v>
      </c>
      <c r="G33" s="61">
        <f>+G71*(1-$D$3)</f>
        <v>0</v>
      </c>
      <c r="H33" s="61">
        <f t="shared" si="0"/>
        <v>13603.06489</v>
      </c>
      <c r="I33" s="61">
        <f t="shared" si="0"/>
        <v>15458.810534999997</v>
      </c>
      <c r="J33" s="35">
        <v>19306.104999999996</v>
      </c>
      <c r="K33" s="35">
        <v>18282.887000000002</v>
      </c>
      <c r="L33" s="35">
        <v>14766.840999999999</v>
      </c>
      <c r="M33" s="35">
        <v>15182.094000000003</v>
      </c>
      <c r="N33" s="36">
        <v>15968.822</v>
      </c>
    </row>
    <row r="34" spans="2:15" x14ac:dyDescent="0.25">
      <c r="B34" s="34">
        <v>29</v>
      </c>
      <c r="C34" s="35">
        <v>11512.170999999998</v>
      </c>
      <c r="D34" s="35" t="s">
        <v>4</v>
      </c>
      <c r="E34" s="35">
        <v>18922.3</v>
      </c>
      <c r="F34" s="35">
        <v>0</v>
      </c>
      <c r="G34" s="61">
        <f t="shared" ref="G34:G36" si="1">+G72*(1-$D$3)</f>
        <v>0</v>
      </c>
      <c r="H34" s="61">
        <f t="shared" si="0"/>
        <v>13719.718689999998</v>
      </c>
      <c r="I34" s="61">
        <f t="shared" si="0"/>
        <v>10218.066930000001</v>
      </c>
      <c r="J34" s="35">
        <v>17763.511000000002</v>
      </c>
      <c r="K34" s="35">
        <v>16570.138000000003</v>
      </c>
      <c r="L34" s="35">
        <v>14836.536</v>
      </c>
      <c r="M34" s="35">
        <v>15315.351000000001</v>
      </c>
      <c r="N34" s="36">
        <v>17945.746000000003</v>
      </c>
    </row>
    <row r="35" spans="2:15" x14ac:dyDescent="0.25">
      <c r="B35" s="34">
        <v>30</v>
      </c>
      <c r="C35" s="35">
        <v>17829.626000000004</v>
      </c>
      <c r="D35" s="35" t="s">
        <v>4</v>
      </c>
      <c r="E35" s="35">
        <v>19370.914000000001</v>
      </c>
      <c r="F35" s="35">
        <v>0</v>
      </c>
      <c r="G35" s="61">
        <f t="shared" si="1"/>
        <v>0</v>
      </c>
      <c r="H35" s="61">
        <f t="shared" si="0"/>
        <v>14176.892334999999</v>
      </c>
      <c r="I35" s="61">
        <f t="shared" si="0"/>
        <v>15845.234705000001</v>
      </c>
      <c r="J35" s="35">
        <v>19291.856</v>
      </c>
      <c r="K35" s="35">
        <v>18702.124</v>
      </c>
      <c r="L35" s="35">
        <v>15459.177999999998</v>
      </c>
      <c r="M35" s="35">
        <v>15285.710000000005</v>
      </c>
      <c r="N35" s="36">
        <v>12871.926000000003</v>
      </c>
    </row>
    <row r="36" spans="2:15" ht="15.75" thickBot="1" x14ac:dyDescent="0.3">
      <c r="B36" s="37">
        <v>31</v>
      </c>
      <c r="C36" s="41">
        <v>17267.858</v>
      </c>
      <c r="D36" s="41" t="s">
        <v>4</v>
      </c>
      <c r="E36" s="41">
        <v>19372.419999999998</v>
      </c>
      <c r="F36" s="41" t="s">
        <v>4</v>
      </c>
      <c r="G36" s="61">
        <f t="shared" si="1"/>
        <v>0</v>
      </c>
      <c r="H36" s="41" t="s">
        <v>4</v>
      </c>
      <c r="I36" s="61">
        <f t="shared" ref="I36" si="2">+I74*(1-$D$3)</f>
        <v>15514.124575</v>
      </c>
      <c r="J36" s="41">
        <v>19323.511999999999</v>
      </c>
      <c r="K36" s="41" t="s">
        <v>4</v>
      </c>
      <c r="L36" s="41">
        <v>15662.481999999998</v>
      </c>
      <c r="M36" s="41" t="s">
        <v>4</v>
      </c>
      <c r="N36" s="42">
        <v>8383.0470000000005</v>
      </c>
    </row>
    <row r="37" spans="2:15" ht="15.75" thickBot="1" x14ac:dyDescent="0.3">
      <c r="C37" s="52">
        <f t="shared" ref="C37:N37" si="3">SUM(C6:C36)</f>
        <v>440474.46499999991</v>
      </c>
      <c r="D37" s="38">
        <f t="shared" si="3"/>
        <v>438604.69200000004</v>
      </c>
      <c r="E37" s="38">
        <f t="shared" si="3"/>
        <v>318758.47199999995</v>
      </c>
      <c r="F37" s="38">
        <f t="shared" si="3"/>
        <v>418022.33600000001</v>
      </c>
      <c r="G37" s="38">
        <f>SUM(G6:G36)</f>
        <v>145931.10900000003</v>
      </c>
      <c r="H37" s="38">
        <f t="shared" si="3"/>
        <v>342253.07131999993</v>
      </c>
      <c r="I37" s="38">
        <f t="shared" si="3"/>
        <v>413698.1199750001</v>
      </c>
      <c r="J37" s="38">
        <f t="shared" si="3"/>
        <v>535805.47179500002</v>
      </c>
      <c r="K37" s="38">
        <f t="shared" si="3"/>
        <v>470545.83600000013</v>
      </c>
      <c r="L37" s="38">
        <f t="shared" si="3"/>
        <v>424028.76500000019</v>
      </c>
      <c r="M37" s="38">
        <f t="shared" si="3"/>
        <v>373207.55300000001</v>
      </c>
      <c r="N37" s="53">
        <f t="shared" si="3"/>
        <v>322981.56999999995</v>
      </c>
      <c r="O37" s="6"/>
    </row>
    <row r="40" spans="2:15" x14ac:dyDescent="0.25">
      <c r="B40" s="12"/>
      <c r="C40" s="12"/>
      <c r="D40" s="12"/>
      <c r="E40" s="12"/>
    </row>
    <row r="42" spans="2:15" ht="15.75" thickBot="1" x14ac:dyDescent="0.3">
      <c r="B42" s="58" t="s">
        <v>120</v>
      </c>
      <c r="C42" s="13" t="s">
        <v>123</v>
      </c>
    </row>
    <row r="43" spans="2:15" ht="30" x14ac:dyDescent="0.25">
      <c r="B43" s="31" t="s">
        <v>61</v>
      </c>
      <c r="C43" s="32" t="s">
        <v>78</v>
      </c>
      <c r="D43" s="32" t="s">
        <v>79</v>
      </c>
      <c r="E43" s="32" t="s">
        <v>80</v>
      </c>
      <c r="F43" s="32" t="s">
        <v>62</v>
      </c>
      <c r="G43" s="32" t="s">
        <v>63</v>
      </c>
      <c r="H43" s="32" t="s">
        <v>64</v>
      </c>
      <c r="I43" s="32" t="s">
        <v>65</v>
      </c>
      <c r="J43" s="32" t="s">
        <v>66</v>
      </c>
      <c r="K43" s="51" t="s">
        <v>103</v>
      </c>
      <c r="L43" s="32" t="s">
        <v>104</v>
      </c>
      <c r="M43" s="32" t="s">
        <v>105</v>
      </c>
      <c r="N43" s="33" t="s">
        <v>106</v>
      </c>
    </row>
    <row r="44" spans="2:15" x14ac:dyDescent="0.25">
      <c r="B44" s="34">
        <v>1</v>
      </c>
      <c r="C44" s="35">
        <v>18018.96</v>
      </c>
      <c r="D44" s="35">
        <v>17764.738000000001</v>
      </c>
      <c r="E44" s="35">
        <v>18176.717000000001</v>
      </c>
      <c r="F44" s="35">
        <v>19275.509999999998</v>
      </c>
      <c r="G44" s="35">
        <v>8485.2780000000002</v>
      </c>
      <c r="H44" s="35">
        <v>0</v>
      </c>
      <c r="I44" s="35">
        <v>14138.325000000003</v>
      </c>
      <c r="J44" s="35">
        <v>16137.328000000003</v>
      </c>
      <c r="K44" s="35">
        <v>19713.536</v>
      </c>
      <c r="L44" s="35">
        <v>11587.27</v>
      </c>
      <c r="M44" s="35">
        <v>15516.329000000002</v>
      </c>
      <c r="N44" s="36">
        <v>15291.909</v>
      </c>
    </row>
    <row r="45" spans="2:15" x14ac:dyDescent="0.25">
      <c r="B45" s="34">
        <v>2</v>
      </c>
      <c r="C45" s="35">
        <v>18340.14</v>
      </c>
      <c r="D45" s="35">
        <v>17565.102999999996</v>
      </c>
      <c r="E45" s="35">
        <v>17899.25</v>
      </c>
      <c r="F45" s="35">
        <v>19160.68</v>
      </c>
      <c r="G45" s="35">
        <v>18228.375</v>
      </c>
      <c r="H45" s="35">
        <v>0</v>
      </c>
      <c r="I45" s="35">
        <v>14070.402999999998</v>
      </c>
      <c r="J45" s="35">
        <v>13280.787</v>
      </c>
      <c r="K45" s="35">
        <v>19661.519999999997</v>
      </c>
      <c r="L45" s="35">
        <v>13147.538999999999</v>
      </c>
      <c r="M45" s="35">
        <v>15660.471999999998</v>
      </c>
      <c r="N45" s="36">
        <v>14321.616</v>
      </c>
    </row>
    <row r="46" spans="2:15" x14ac:dyDescent="0.25">
      <c r="B46" s="34">
        <v>3</v>
      </c>
      <c r="C46" s="35">
        <v>18907.36</v>
      </c>
      <c r="D46" s="35">
        <v>17937.975999999999</v>
      </c>
      <c r="E46" s="35">
        <v>17820.150999999998</v>
      </c>
      <c r="F46" s="35">
        <v>18142.580999999998</v>
      </c>
      <c r="G46" s="35">
        <v>18823.733</v>
      </c>
      <c r="H46" s="35">
        <v>0</v>
      </c>
      <c r="I46" s="35">
        <v>14210.287</v>
      </c>
      <c r="J46" s="35">
        <v>14223.671999999997</v>
      </c>
      <c r="K46" s="35">
        <v>19247.404999999999</v>
      </c>
      <c r="L46" s="35">
        <v>12276.015000000001</v>
      </c>
      <c r="M46" s="35">
        <v>5606.3539999999994</v>
      </c>
      <c r="N46" s="36">
        <v>15088.181999999999</v>
      </c>
    </row>
    <row r="47" spans="2:15" x14ac:dyDescent="0.25">
      <c r="B47" s="34">
        <v>4</v>
      </c>
      <c r="C47" s="35">
        <v>18967.64</v>
      </c>
      <c r="D47" s="35">
        <v>16281.637999999999</v>
      </c>
      <c r="E47" s="35">
        <v>18847.43</v>
      </c>
      <c r="F47" s="35">
        <v>19215.313999999998</v>
      </c>
      <c r="G47" s="35">
        <v>17764.573000000004</v>
      </c>
      <c r="H47" s="35">
        <v>0</v>
      </c>
      <c r="I47" s="35">
        <v>12013.034</v>
      </c>
      <c r="J47" s="35">
        <v>16379.616000000005</v>
      </c>
      <c r="K47" s="35">
        <v>19439.111000000001</v>
      </c>
      <c r="L47" s="35">
        <v>19294.12</v>
      </c>
      <c r="M47" s="35">
        <v>0</v>
      </c>
      <c r="N47" s="36">
        <v>15252.616000000002</v>
      </c>
    </row>
    <row r="48" spans="2:15" x14ac:dyDescent="0.25">
      <c r="B48" s="34">
        <v>5</v>
      </c>
      <c r="C48" s="35">
        <v>19233.835000000003</v>
      </c>
      <c r="D48" s="35">
        <v>12950.284</v>
      </c>
      <c r="E48" s="35">
        <v>18856.623999999996</v>
      </c>
      <c r="F48" s="35">
        <v>18643.438999999998</v>
      </c>
      <c r="G48" s="35">
        <v>19320.689999999999</v>
      </c>
      <c r="H48" s="35">
        <v>168.04</v>
      </c>
      <c r="I48" s="35">
        <v>11613.853999999998</v>
      </c>
      <c r="J48" s="35">
        <v>16216.954000000003</v>
      </c>
      <c r="K48" s="35">
        <v>19598.046999999999</v>
      </c>
      <c r="L48" s="35">
        <v>18206.212</v>
      </c>
      <c r="M48" s="35">
        <v>0</v>
      </c>
      <c r="N48" s="36">
        <v>14999.739</v>
      </c>
    </row>
    <row r="49" spans="2:14" x14ac:dyDescent="0.25">
      <c r="B49" s="34">
        <v>6</v>
      </c>
      <c r="C49" s="35">
        <v>19009.740000000002</v>
      </c>
      <c r="D49" s="35">
        <v>17287.345000000001</v>
      </c>
      <c r="E49" s="35">
        <v>18473.081000000002</v>
      </c>
      <c r="F49" s="35">
        <v>17986.021000000001</v>
      </c>
      <c r="G49" s="35">
        <v>19774.82</v>
      </c>
      <c r="H49" s="35">
        <v>126.044</v>
      </c>
      <c r="I49" s="35">
        <v>3214.4870000000001</v>
      </c>
      <c r="J49" s="35">
        <v>16523.960999999999</v>
      </c>
      <c r="K49" s="35">
        <v>12088.29</v>
      </c>
      <c r="L49" s="35">
        <v>17978.510999999999</v>
      </c>
      <c r="M49" s="35">
        <v>2888.6550000000002</v>
      </c>
      <c r="N49" s="36">
        <v>15337.378999999999</v>
      </c>
    </row>
    <row r="50" spans="2:14" x14ac:dyDescent="0.25">
      <c r="B50" s="34">
        <v>7</v>
      </c>
      <c r="C50" s="35">
        <v>19113.377</v>
      </c>
      <c r="D50" s="35">
        <v>18170.046999999999</v>
      </c>
      <c r="E50" s="35">
        <v>18440.282999999999</v>
      </c>
      <c r="F50" s="35">
        <v>19194.816999999995</v>
      </c>
      <c r="G50" s="35">
        <v>19036.86</v>
      </c>
      <c r="H50" s="35">
        <v>1014.9820000000001</v>
      </c>
      <c r="I50" s="35">
        <v>8484.7119999999995</v>
      </c>
      <c r="J50" s="35">
        <v>15948.310000000001</v>
      </c>
      <c r="K50" s="35">
        <v>16609.499</v>
      </c>
      <c r="L50" s="35">
        <v>17649.668000000001</v>
      </c>
      <c r="M50" s="35">
        <v>4615.1979999999994</v>
      </c>
      <c r="N50" s="36">
        <v>15100.4</v>
      </c>
    </row>
    <row r="51" spans="2:14" x14ac:dyDescent="0.25">
      <c r="B51" s="34">
        <v>8</v>
      </c>
      <c r="C51" s="35">
        <v>15685.573000000002</v>
      </c>
      <c r="D51" s="35">
        <v>17805.571</v>
      </c>
      <c r="E51" s="35">
        <v>18594.46</v>
      </c>
      <c r="F51" s="35">
        <v>19437.894</v>
      </c>
      <c r="G51" s="35">
        <v>19391.14</v>
      </c>
      <c r="H51" s="35">
        <v>7307.4620000000004</v>
      </c>
      <c r="I51" s="35">
        <v>14607.458999999999</v>
      </c>
      <c r="J51" s="35">
        <v>16524.287</v>
      </c>
      <c r="K51" s="35">
        <v>12008.522999999999</v>
      </c>
      <c r="L51" s="35">
        <v>18380.488000000001</v>
      </c>
      <c r="M51" s="35">
        <v>9409.9489999999987</v>
      </c>
      <c r="N51" s="36">
        <v>11403.007999999998</v>
      </c>
    </row>
    <row r="52" spans="2:14" x14ac:dyDescent="0.25">
      <c r="B52" s="34">
        <v>9</v>
      </c>
      <c r="C52" s="35">
        <v>19189.366000000002</v>
      </c>
      <c r="D52" s="35">
        <v>18383.816999999999</v>
      </c>
      <c r="E52" s="35">
        <v>17358.29</v>
      </c>
      <c r="F52" s="35">
        <v>18993.030999999999</v>
      </c>
      <c r="G52" s="35">
        <v>5105.6400000000003</v>
      </c>
      <c r="H52" s="35">
        <v>15334.381999999998</v>
      </c>
      <c r="I52" s="35">
        <v>14446.290999999997</v>
      </c>
      <c r="J52" s="35">
        <v>16418.725999999999</v>
      </c>
      <c r="K52" s="35">
        <v>0</v>
      </c>
      <c r="L52" s="35">
        <v>9795.0210000000006</v>
      </c>
      <c r="M52" s="35">
        <v>14701.602000000001</v>
      </c>
      <c r="N52" s="36">
        <v>14150.728000000001</v>
      </c>
    </row>
    <row r="53" spans="2:14" x14ac:dyDescent="0.25">
      <c r="B53" s="34">
        <v>10</v>
      </c>
      <c r="C53" s="35">
        <v>18987.059000000001</v>
      </c>
      <c r="D53" s="35">
        <v>17107.675999999999</v>
      </c>
      <c r="E53" s="35">
        <v>18415.689999999999</v>
      </c>
      <c r="F53" s="35">
        <v>19766.22</v>
      </c>
      <c r="G53" s="35">
        <v>0</v>
      </c>
      <c r="H53" s="35">
        <v>15110.017</v>
      </c>
      <c r="I53" s="35">
        <v>14945.944999999998</v>
      </c>
      <c r="J53" s="35">
        <v>17705.083000000002</v>
      </c>
      <c r="K53" s="35">
        <v>5246.4259999999995</v>
      </c>
      <c r="L53" s="35">
        <v>7862.0020000000004</v>
      </c>
      <c r="M53" s="35">
        <v>14270.047999999999</v>
      </c>
      <c r="N53" s="36">
        <v>4548.3710000000001</v>
      </c>
    </row>
    <row r="54" spans="2:14" x14ac:dyDescent="0.25">
      <c r="B54" s="34">
        <v>11</v>
      </c>
      <c r="C54" s="35">
        <v>19196.689999999999</v>
      </c>
      <c r="D54" s="35">
        <v>16795.439999999999</v>
      </c>
      <c r="E54" s="35">
        <v>19181.385999999995</v>
      </c>
      <c r="F54" s="35">
        <v>18843.259999999998</v>
      </c>
      <c r="G54" s="35">
        <v>0</v>
      </c>
      <c r="H54" s="35">
        <v>15131.584000000001</v>
      </c>
      <c r="I54" s="35">
        <v>15074.832999999999</v>
      </c>
      <c r="J54" s="35">
        <v>18074.364000000001</v>
      </c>
      <c r="K54" s="35">
        <v>15910.831000000004</v>
      </c>
      <c r="L54" s="35">
        <v>11980.580000000002</v>
      </c>
      <c r="M54" s="35">
        <v>14978.284000000005</v>
      </c>
      <c r="N54" s="36">
        <v>0</v>
      </c>
    </row>
    <row r="55" spans="2:14" x14ac:dyDescent="0.25">
      <c r="B55" s="34">
        <v>12</v>
      </c>
      <c r="C55" s="35">
        <v>19198.607</v>
      </c>
      <c r="D55" s="35">
        <v>16764.2</v>
      </c>
      <c r="E55" s="35">
        <v>18362.800000000003</v>
      </c>
      <c r="F55" s="35">
        <v>19541.62</v>
      </c>
      <c r="G55" s="35">
        <v>0</v>
      </c>
      <c r="H55" s="35">
        <v>15335.746999999999</v>
      </c>
      <c r="I55" s="35">
        <v>15006.023999999999</v>
      </c>
      <c r="J55" s="35">
        <v>15635.826000000005</v>
      </c>
      <c r="K55" s="35">
        <v>17300.825000000004</v>
      </c>
      <c r="L55" s="35">
        <v>2687.1200000000003</v>
      </c>
      <c r="M55" s="35">
        <v>14966.616999999998</v>
      </c>
      <c r="N55" s="36">
        <v>0</v>
      </c>
    </row>
    <row r="56" spans="2:14" x14ac:dyDescent="0.25">
      <c r="B56" s="34">
        <v>13</v>
      </c>
      <c r="C56" s="35">
        <v>18652.190000000002</v>
      </c>
      <c r="D56" s="35">
        <v>16454.689999999999</v>
      </c>
      <c r="E56" s="35">
        <v>14644.628999999999</v>
      </c>
      <c r="F56" s="35">
        <v>19771.45</v>
      </c>
      <c r="G56" s="35">
        <v>0</v>
      </c>
      <c r="H56" s="35">
        <v>16101.98</v>
      </c>
      <c r="I56" s="35">
        <v>13639.940999999997</v>
      </c>
      <c r="J56" s="35">
        <v>17736.901000000002</v>
      </c>
      <c r="K56" s="35">
        <v>17280.803000000004</v>
      </c>
      <c r="L56" s="35">
        <v>16200.535000000002</v>
      </c>
      <c r="M56" s="35">
        <v>14803.569999999996</v>
      </c>
      <c r="N56" s="36">
        <v>7401.1970000000001</v>
      </c>
    </row>
    <row r="57" spans="2:14" x14ac:dyDescent="0.25">
      <c r="B57" s="34">
        <v>14</v>
      </c>
      <c r="C57" s="35">
        <v>18557.466</v>
      </c>
      <c r="D57" s="35">
        <v>15876.835000000003</v>
      </c>
      <c r="E57" s="35">
        <v>0</v>
      </c>
      <c r="F57" s="35">
        <v>19470.990000000002</v>
      </c>
      <c r="G57" s="35">
        <v>0</v>
      </c>
      <c r="H57" s="35">
        <v>13402.673999999999</v>
      </c>
      <c r="I57" s="35">
        <v>14957.462999999998</v>
      </c>
      <c r="J57" s="35">
        <v>17426.894</v>
      </c>
      <c r="K57" s="35">
        <v>18187.241000000002</v>
      </c>
      <c r="L57" s="35">
        <v>16844.371999999999</v>
      </c>
      <c r="M57" s="35">
        <v>14492.742999999999</v>
      </c>
      <c r="N57" s="36">
        <v>11295.826999999999</v>
      </c>
    </row>
    <row r="58" spans="2:14" x14ac:dyDescent="0.25">
      <c r="B58" s="34">
        <v>15</v>
      </c>
      <c r="C58" s="35">
        <v>18205.617000000002</v>
      </c>
      <c r="D58" s="35">
        <v>16271.358000000002</v>
      </c>
      <c r="E58" s="35">
        <v>0</v>
      </c>
      <c r="F58" s="35">
        <v>19749.07</v>
      </c>
      <c r="G58" s="35">
        <v>0</v>
      </c>
      <c r="H58" s="35">
        <v>7860.8599999999988</v>
      </c>
      <c r="I58" s="35">
        <v>14142.694000000001</v>
      </c>
      <c r="J58" s="35">
        <v>15166.317999999996</v>
      </c>
      <c r="K58" s="35">
        <v>16515.596000000001</v>
      </c>
      <c r="L58" s="35">
        <v>17645.067999999996</v>
      </c>
      <c r="M58" s="35">
        <v>14751.310999999998</v>
      </c>
      <c r="N58" s="36">
        <v>2105.701</v>
      </c>
    </row>
    <row r="59" spans="2:14" x14ac:dyDescent="0.25">
      <c r="B59" s="34">
        <v>16</v>
      </c>
      <c r="C59" s="35">
        <v>18593.255000000001</v>
      </c>
      <c r="D59" s="35">
        <v>14541.608999999999</v>
      </c>
      <c r="E59" s="35">
        <v>0</v>
      </c>
      <c r="F59" s="35">
        <v>19697.73</v>
      </c>
      <c r="G59" s="35">
        <v>0</v>
      </c>
      <c r="H59" s="35">
        <v>17490.759000000002</v>
      </c>
      <c r="I59" s="35">
        <v>14144.511999999999</v>
      </c>
      <c r="J59" s="35">
        <v>16323.784</v>
      </c>
      <c r="K59" s="35">
        <v>18021.703999999998</v>
      </c>
      <c r="L59" s="35">
        <v>18296.327999999998</v>
      </c>
      <c r="M59" s="35">
        <v>14046.441999999999</v>
      </c>
      <c r="N59" s="36">
        <v>14250.945</v>
      </c>
    </row>
    <row r="60" spans="2:14" x14ac:dyDescent="0.25">
      <c r="B60" s="34">
        <v>17</v>
      </c>
      <c r="C60" s="35">
        <v>9544.525999999998</v>
      </c>
      <c r="D60" s="35">
        <v>4716.1369999999988</v>
      </c>
      <c r="E60" s="35">
        <v>0</v>
      </c>
      <c r="F60" s="35">
        <v>19848.454000000002</v>
      </c>
      <c r="G60" s="35">
        <v>0</v>
      </c>
      <c r="H60" s="35">
        <v>17715.712000000003</v>
      </c>
      <c r="I60" s="35">
        <v>14244.731000000003</v>
      </c>
      <c r="J60" s="35">
        <v>16637.502</v>
      </c>
      <c r="K60" s="35">
        <v>17265.73</v>
      </c>
      <c r="L60" s="35">
        <v>17424.569000000003</v>
      </c>
      <c r="M60" s="35">
        <v>12169.999999999996</v>
      </c>
      <c r="N60" s="36">
        <v>14335.599</v>
      </c>
    </row>
    <row r="61" spans="2:14" x14ac:dyDescent="0.25">
      <c r="B61" s="34">
        <v>18</v>
      </c>
      <c r="C61" s="35">
        <v>603.41999999999996</v>
      </c>
      <c r="D61" s="35">
        <v>4165.84</v>
      </c>
      <c r="E61" s="35">
        <v>0</v>
      </c>
      <c r="F61" s="35">
        <v>19845.011999999999</v>
      </c>
      <c r="G61" s="35">
        <v>0</v>
      </c>
      <c r="H61" s="35">
        <v>17382.923999999995</v>
      </c>
      <c r="I61" s="35">
        <v>14622.853999999999</v>
      </c>
      <c r="J61" s="35">
        <v>18050.433999999997</v>
      </c>
      <c r="K61" s="35">
        <v>6156.4760000000006</v>
      </c>
      <c r="L61" s="35">
        <v>16440.552000000003</v>
      </c>
      <c r="M61" s="35">
        <v>14697.759000000002</v>
      </c>
      <c r="N61" s="36">
        <v>14613.728999999999</v>
      </c>
    </row>
    <row r="62" spans="2:14" x14ac:dyDescent="0.25">
      <c r="B62" s="34">
        <v>19</v>
      </c>
      <c r="C62" s="35">
        <v>14329.654999999999</v>
      </c>
      <c r="D62" s="35">
        <v>18308.11</v>
      </c>
      <c r="E62" s="35">
        <v>0</v>
      </c>
      <c r="F62" s="35">
        <v>19424.526999999998</v>
      </c>
      <c r="G62" s="35">
        <v>0</v>
      </c>
      <c r="H62" s="35">
        <v>17259.667999999998</v>
      </c>
      <c r="I62" s="35">
        <v>14429.367</v>
      </c>
      <c r="J62" s="35">
        <v>17456.019000000004</v>
      </c>
      <c r="K62" s="35">
        <v>15885.049000000001</v>
      </c>
      <c r="L62" s="35">
        <v>16722.922999999999</v>
      </c>
      <c r="M62" s="35">
        <v>14499.024000000001</v>
      </c>
      <c r="N62" s="36">
        <v>14170.127</v>
      </c>
    </row>
    <row r="63" spans="2:14" x14ac:dyDescent="0.25">
      <c r="B63" s="34">
        <v>20</v>
      </c>
      <c r="C63" s="35">
        <v>14037.48</v>
      </c>
      <c r="D63" s="35">
        <v>17936.560000000001</v>
      </c>
      <c r="E63" s="35">
        <v>0</v>
      </c>
      <c r="F63" s="35">
        <v>19847.938000000002</v>
      </c>
      <c r="G63" s="35">
        <v>0</v>
      </c>
      <c r="H63" s="35">
        <v>17473.893000000004</v>
      </c>
      <c r="I63" s="35">
        <v>14310.950000000003</v>
      </c>
      <c r="J63" s="35">
        <v>18292.075000000001</v>
      </c>
      <c r="K63" s="35">
        <v>16957.362000000005</v>
      </c>
      <c r="L63" s="35">
        <v>13779.854000000001</v>
      </c>
      <c r="M63" s="35">
        <v>14798.518000000004</v>
      </c>
      <c r="N63" s="36">
        <v>9799.485999999999</v>
      </c>
    </row>
    <row r="64" spans="2:14" x14ac:dyDescent="0.25">
      <c r="B64" s="34">
        <v>21</v>
      </c>
      <c r="C64" s="35">
        <v>16370.35</v>
      </c>
      <c r="D64" s="35">
        <v>13601.869000000002</v>
      </c>
      <c r="E64" s="35">
        <v>0</v>
      </c>
      <c r="F64" s="35">
        <v>19845.109000000004</v>
      </c>
      <c r="G64" s="35">
        <v>0</v>
      </c>
      <c r="H64" s="35">
        <v>17184.365000000002</v>
      </c>
      <c r="I64" s="35">
        <v>14023.961000000005</v>
      </c>
      <c r="J64" s="35">
        <v>18845.355000000003</v>
      </c>
      <c r="K64" s="35">
        <v>10763.472</v>
      </c>
      <c r="L64" s="35">
        <v>17066.39</v>
      </c>
      <c r="M64" s="35">
        <v>14631.754999999999</v>
      </c>
      <c r="N64" s="36">
        <v>9166.0079999999998</v>
      </c>
    </row>
    <row r="65" spans="2:14" x14ac:dyDescent="0.25">
      <c r="B65" s="34">
        <v>22</v>
      </c>
      <c r="C65" s="35">
        <v>1221.3699999999999</v>
      </c>
      <c r="D65" s="35">
        <v>16791.177</v>
      </c>
      <c r="E65" s="35">
        <v>0</v>
      </c>
      <c r="F65" s="35">
        <v>12321.669</v>
      </c>
      <c r="G65" s="35">
        <v>0</v>
      </c>
      <c r="H65" s="35">
        <v>17714.759000000005</v>
      </c>
      <c r="I65" s="35">
        <v>14144.71</v>
      </c>
      <c r="J65" s="35">
        <v>19005.150000000001</v>
      </c>
      <c r="K65" s="35">
        <v>16050.749</v>
      </c>
      <c r="L65" s="35">
        <v>6258.3519999999999</v>
      </c>
      <c r="M65" s="35">
        <v>15025.285999999998</v>
      </c>
      <c r="N65" s="36">
        <v>2375.239</v>
      </c>
    </row>
    <row r="66" spans="2:14" x14ac:dyDescent="0.25">
      <c r="B66" s="34">
        <v>23</v>
      </c>
      <c r="C66" s="35">
        <v>0</v>
      </c>
      <c r="D66" s="35">
        <v>18280.794999999998</v>
      </c>
      <c r="E66" s="35">
        <v>0</v>
      </c>
      <c r="F66" s="35">
        <v>0</v>
      </c>
      <c r="G66" s="35">
        <v>0</v>
      </c>
      <c r="H66" s="35">
        <v>9752.0589999999993</v>
      </c>
      <c r="I66" s="35">
        <v>14142.47</v>
      </c>
      <c r="J66" s="35">
        <v>18909.95</v>
      </c>
      <c r="K66" s="35">
        <v>17372.405000000002</v>
      </c>
      <c r="L66" s="35">
        <v>0</v>
      </c>
      <c r="M66" s="35">
        <v>14215.202000000001</v>
      </c>
      <c r="N66" s="36">
        <v>3008.2950000000001</v>
      </c>
    </row>
    <row r="67" spans="2:14" x14ac:dyDescent="0.25">
      <c r="B67" s="34">
        <v>24</v>
      </c>
      <c r="C67" s="35">
        <v>0</v>
      </c>
      <c r="D67" s="35">
        <v>18684.625</v>
      </c>
      <c r="E67" s="35">
        <v>86.385000000000005</v>
      </c>
      <c r="F67" s="35">
        <v>0</v>
      </c>
      <c r="G67" s="35">
        <v>0</v>
      </c>
      <c r="H67" s="35">
        <v>16406.204000000002</v>
      </c>
      <c r="I67" s="35">
        <v>14045.370999999999</v>
      </c>
      <c r="J67" s="35">
        <v>18976.240000000002</v>
      </c>
      <c r="K67" s="35">
        <v>17214.161</v>
      </c>
      <c r="L67" s="35">
        <v>3759.7579999999998</v>
      </c>
      <c r="M67" s="35">
        <v>15220.845000000005</v>
      </c>
      <c r="N67" s="36">
        <v>580.18599999999992</v>
      </c>
    </row>
    <row r="68" spans="2:14" x14ac:dyDescent="0.25">
      <c r="B68" s="34">
        <v>25</v>
      </c>
      <c r="C68" s="35">
        <v>3524.0270000000005</v>
      </c>
      <c r="D68" s="35">
        <v>18010.690000000002</v>
      </c>
      <c r="E68" s="35">
        <v>774.33600000000001</v>
      </c>
      <c r="F68" s="35">
        <v>0</v>
      </c>
      <c r="G68" s="35">
        <v>0</v>
      </c>
      <c r="H68" s="35">
        <v>17205.233999999997</v>
      </c>
      <c r="I68" s="35">
        <v>7200.6880000000001</v>
      </c>
      <c r="J68" s="35">
        <v>17086.87</v>
      </c>
      <c r="K68" s="35">
        <v>17644.286</v>
      </c>
      <c r="L68" s="35">
        <v>14143.391000000001</v>
      </c>
      <c r="M68" s="35">
        <v>14354.303000000002</v>
      </c>
      <c r="N68" s="36">
        <v>2240.5769999999998</v>
      </c>
    </row>
    <row r="69" spans="2:14" x14ac:dyDescent="0.25">
      <c r="B69" s="34">
        <v>26</v>
      </c>
      <c r="C69" s="35">
        <v>17147.806</v>
      </c>
      <c r="D69" s="35">
        <v>17498.904000000002</v>
      </c>
      <c r="E69" s="35">
        <v>2828.1500000000005</v>
      </c>
      <c r="F69" s="35">
        <v>0</v>
      </c>
      <c r="G69" s="35">
        <v>0</v>
      </c>
      <c r="H69" s="35">
        <v>15080.692000000003</v>
      </c>
      <c r="I69" s="35">
        <v>14144.302000000003</v>
      </c>
      <c r="J69" s="35">
        <v>18883.91</v>
      </c>
      <c r="K69" s="35">
        <v>17079.973999999995</v>
      </c>
      <c r="L69" s="35">
        <v>12477.672999999999</v>
      </c>
      <c r="M69" s="35">
        <v>12914.012000000002</v>
      </c>
      <c r="N69" s="36">
        <v>8971.2260000000006</v>
      </c>
    </row>
    <row r="70" spans="2:14" x14ac:dyDescent="0.25">
      <c r="B70" s="34">
        <v>27</v>
      </c>
      <c r="C70" s="35">
        <v>2713.4849999999997</v>
      </c>
      <c r="D70" s="35">
        <v>10299.593000000001</v>
      </c>
      <c r="E70" s="35">
        <v>4418.8160000000007</v>
      </c>
      <c r="F70" s="35">
        <v>0</v>
      </c>
      <c r="G70" s="35">
        <v>0</v>
      </c>
      <c r="H70" s="35">
        <v>14704.678000000002</v>
      </c>
      <c r="I70" s="35">
        <v>14434.485999999997</v>
      </c>
      <c r="J70" s="35">
        <v>18962.439999999999</v>
      </c>
      <c r="K70" s="35">
        <v>17771.665999999997</v>
      </c>
      <c r="L70" s="35">
        <v>15399.417000000001</v>
      </c>
      <c r="M70" s="35">
        <v>14190.119999999999</v>
      </c>
      <c r="N70" s="36">
        <v>18003.939000000002</v>
      </c>
    </row>
    <row r="71" spans="2:14" x14ac:dyDescent="0.25">
      <c r="B71" s="34">
        <v>28</v>
      </c>
      <c r="C71" s="35">
        <v>16515.816000000003</v>
      </c>
      <c r="D71" s="35">
        <v>12352.064999999999</v>
      </c>
      <c r="E71" s="35">
        <v>17914.36</v>
      </c>
      <c r="F71" s="35">
        <v>0</v>
      </c>
      <c r="G71" s="35">
        <v>0</v>
      </c>
      <c r="H71" s="35">
        <v>13671.422</v>
      </c>
      <c r="I71" s="35">
        <v>15536.492999999997</v>
      </c>
      <c r="J71" s="35">
        <v>19306.104999999996</v>
      </c>
      <c r="K71" s="35">
        <v>18282.887000000002</v>
      </c>
      <c r="L71" s="35">
        <v>14766.840999999999</v>
      </c>
      <c r="M71" s="35">
        <v>15182.094000000003</v>
      </c>
      <c r="N71" s="36">
        <v>15968.822</v>
      </c>
    </row>
    <row r="72" spans="2:14" x14ac:dyDescent="0.25">
      <c r="B72" s="34">
        <v>29</v>
      </c>
      <c r="C72" s="35">
        <v>11512.170999999998</v>
      </c>
      <c r="D72" s="35" t="s">
        <v>4</v>
      </c>
      <c r="E72" s="35">
        <v>18922.3</v>
      </c>
      <c r="F72" s="35">
        <v>0</v>
      </c>
      <c r="G72" s="35">
        <v>0</v>
      </c>
      <c r="H72" s="35">
        <v>13788.661999999998</v>
      </c>
      <c r="I72" s="35">
        <v>10269.414000000001</v>
      </c>
      <c r="J72" s="35">
        <v>17763.511000000002</v>
      </c>
      <c r="K72" s="35">
        <v>16570.138000000003</v>
      </c>
      <c r="L72" s="35">
        <v>14836.536</v>
      </c>
      <c r="M72" s="35">
        <v>15315.351000000001</v>
      </c>
      <c r="N72" s="36">
        <v>17945.746000000003</v>
      </c>
    </row>
    <row r="73" spans="2:14" x14ac:dyDescent="0.25">
      <c r="B73" s="34">
        <v>30</v>
      </c>
      <c r="C73" s="35">
        <v>17829.626000000004</v>
      </c>
      <c r="D73" s="35" t="s">
        <v>4</v>
      </c>
      <c r="E73" s="35">
        <v>19370.914000000001</v>
      </c>
      <c r="F73" s="35">
        <v>0</v>
      </c>
      <c r="G73" s="35">
        <v>0</v>
      </c>
      <c r="H73" s="35">
        <v>14248.132999999998</v>
      </c>
      <c r="I73" s="35">
        <v>15924.859</v>
      </c>
      <c r="J73" s="35">
        <v>19291.856</v>
      </c>
      <c r="K73" s="35">
        <v>18702.124</v>
      </c>
      <c r="L73" s="35">
        <v>15459.177999999998</v>
      </c>
      <c r="M73" s="35">
        <v>15285.710000000005</v>
      </c>
      <c r="N73" s="36">
        <v>12871.926000000003</v>
      </c>
    </row>
    <row r="74" spans="2:14" ht="15.75" thickBot="1" x14ac:dyDescent="0.3">
      <c r="B74" s="37">
        <v>31</v>
      </c>
      <c r="C74" s="41">
        <v>17267.858</v>
      </c>
      <c r="D74" s="41" t="s">
        <v>4</v>
      </c>
      <c r="E74" s="41">
        <v>19372.419999999998</v>
      </c>
      <c r="F74" s="41" t="s">
        <v>4</v>
      </c>
      <c r="G74" s="41">
        <v>0</v>
      </c>
      <c r="H74" s="41" t="s">
        <v>4</v>
      </c>
      <c r="I74" s="41">
        <v>15592.084999999999</v>
      </c>
      <c r="J74" s="41">
        <v>19323.511999999999</v>
      </c>
      <c r="K74" s="41" t="s">
        <v>4</v>
      </c>
      <c r="L74" s="41">
        <v>15662.481999999998</v>
      </c>
      <c r="M74" s="41" t="s">
        <v>4</v>
      </c>
      <c r="N74" s="42">
        <v>8383.0470000000005</v>
      </c>
    </row>
    <row r="75" spans="2:14" ht="15.75" thickBot="1" x14ac:dyDescent="0.3">
      <c r="C75" s="52">
        <f t="shared" ref="C75:F75" si="4">SUM(C44:C74)</f>
        <v>440474.46499999991</v>
      </c>
      <c r="D75" s="38">
        <f t="shared" si="4"/>
        <v>438604.69200000004</v>
      </c>
      <c r="E75" s="38">
        <f t="shared" si="4"/>
        <v>318758.47199999995</v>
      </c>
      <c r="F75" s="38">
        <f t="shared" si="4"/>
        <v>418022.33600000001</v>
      </c>
      <c r="G75" s="38">
        <f>SUM(G44:G74)</f>
        <v>145931.10900000003</v>
      </c>
      <c r="H75" s="38">
        <f t="shared" ref="H75:N75" si="5">SUM(H44:H74)</f>
        <v>343972.93600000005</v>
      </c>
      <c r="I75" s="38">
        <f t="shared" si="5"/>
        <v>415777.00499999995</v>
      </c>
      <c r="J75" s="38">
        <f t="shared" si="5"/>
        <v>536513.74</v>
      </c>
      <c r="K75" s="38">
        <f t="shared" si="5"/>
        <v>470545.83600000013</v>
      </c>
      <c r="L75" s="38">
        <f t="shared" si="5"/>
        <v>424028.76500000019</v>
      </c>
      <c r="M75" s="38">
        <f t="shared" si="5"/>
        <v>373207.55300000001</v>
      </c>
      <c r="N75" s="53">
        <f t="shared" si="5"/>
        <v>322981.56999999995</v>
      </c>
    </row>
    <row r="82" spans="3:4" x14ac:dyDescent="0.25">
      <c r="C82" s="1"/>
      <c r="D82" s="63"/>
    </row>
    <row r="83" spans="3:4" x14ac:dyDescent="0.25">
      <c r="C83" s="1"/>
      <c r="D83" s="63"/>
    </row>
    <row r="84" spans="3:4" x14ac:dyDescent="0.25">
      <c r="C84" s="1"/>
      <c r="D84" s="63"/>
    </row>
    <row r="85" spans="3:4" x14ac:dyDescent="0.25">
      <c r="C85" s="1"/>
      <c r="D85" s="63"/>
    </row>
    <row r="86" spans="3:4" x14ac:dyDescent="0.25">
      <c r="C86" s="1"/>
      <c r="D86" s="63"/>
    </row>
    <row r="87" spans="3:4" x14ac:dyDescent="0.25">
      <c r="C87" s="1"/>
      <c r="D87" s="63"/>
    </row>
    <row r="88" spans="3:4" x14ac:dyDescent="0.25">
      <c r="C88" s="1"/>
      <c r="D88" s="63"/>
    </row>
    <row r="89" spans="3:4" x14ac:dyDescent="0.25">
      <c r="C89" s="1"/>
      <c r="D89" s="63"/>
    </row>
    <row r="90" spans="3:4" x14ac:dyDescent="0.25">
      <c r="C90" s="1"/>
      <c r="D90" s="63"/>
    </row>
    <row r="91" spans="3:4" x14ac:dyDescent="0.25">
      <c r="C91" s="1"/>
      <c r="D91" s="63"/>
    </row>
    <row r="92" spans="3:4" x14ac:dyDescent="0.25">
      <c r="C92" s="1"/>
      <c r="D92" s="63"/>
    </row>
    <row r="93" spans="3:4" x14ac:dyDescent="0.25">
      <c r="C93" s="1"/>
      <c r="D93" s="6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C1F0F2D97C04690DF7AC407C65BA5" ma:contentTypeVersion="19" ma:contentTypeDescription="Create a new document." ma:contentTypeScope="" ma:versionID="138ac169aaadc9c430b97b25b46ecc4e">
  <xsd:schema xmlns:xsd="http://www.w3.org/2001/XMLSchema" xmlns:xs="http://www.w3.org/2001/XMLSchema" xmlns:p="http://schemas.microsoft.com/office/2006/metadata/properties" xmlns:ns2="5944c9fc-9421-4c39-b608-61ce31788618" xmlns:ns3="3ba820af-9c36-47fb-8383-9944acc4573c" targetNamespace="http://schemas.microsoft.com/office/2006/metadata/properties" ma:root="true" ma:fieldsID="4cce58cbed9668fc3dbbcfb9a7470718" ns2:_="" ns3:_="">
    <xsd:import namespace="5944c9fc-9421-4c39-b608-61ce31788618"/>
    <xsd:import namespace="3ba820af-9c36-47fb-8383-9944acc45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4c9fc-9421-4c39-b608-61ce31788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b97863a-9c53-4d79-aa62-b4edf9878b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820af-9c36-47fb-8383-9944acc45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4e236bb-6ba1-491a-998c-53c379aa7070}" ma:internalName="TaxCatchAll" ma:showField="CatchAllData" ma:web="3ba820af-9c36-47fb-8383-9944acc457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44c9fc-9421-4c39-b608-61ce31788618">
      <Terms xmlns="http://schemas.microsoft.com/office/infopath/2007/PartnerControls"/>
    </lcf76f155ced4ddcb4097134ff3c332f>
    <TaxCatchAll xmlns="3ba820af-9c36-47fb-8383-9944acc4573c" xsi:nil="true"/>
  </documentManagement>
</p:properties>
</file>

<file path=customXml/itemProps1.xml><?xml version="1.0" encoding="utf-8"?>
<ds:datastoreItem xmlns:ds="http://schemas.openxmlformats.org/officeDocument/2006/customXml" ds:itemID="{E5243B7A-7EC0-457B-BC2A-6B4F59EC4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9808A2-083F-480C-922D-9EA41DA31220}"/>
</file>

<file path=customXml/itemProps3.xml><?xml version="1.0" encoding="utf-8"?>
<ds:datastoreItem xmlns:ds="http://schemas.openxmlformats.org/officeDocument/2006/customXml" ds:itemID="{90DFB975-97F2-41D1-9729-4078A31FECFA}">
  <ds:schemaRefs>
    <ds:schemaRef ds:uri="147eb411-94ec-4ae9-a940-a40228fe844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6efe966-d0ea-4f3f-b0b9-3a40eeebbaf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ER calc 1Jan2023 to 31Dec 2023</vt:lpstr>
      <vt:lpstr>Electricity generation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Vis</dc:creator>
  <cp:lastModifiedBy>Author</cp:lastModifiedBy>
  <dcterms:created xsi:type="dcterms:W3CDTF">2019-01-30T15:43:44Z</dcterms:created>
  <dcterms:modified xsi:type="dcterms:W3CDTF">2025-02-07T23:06:57Z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0x010100CDDC1F0F2D97C04690DF7AC407C65BA5</vt:lpwstr>
  </property>
  <property fmtid="{D5CDD505-2E9C-101B-9397-08002B2CF9AE}" pid="3" name="AuthorIds_UIVersion_6656">
    <vt:lpwstr>21</vt:lpwstr>
  </property>
  <property fmtid="{D5CDD505-2E9C-101B-9397-08002B2CF9AE}" pid="4" name="MediaServiceImageTags">
    <vt:lpwstr/>
  </property>
</Properties>
</file>