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9"/>
  <workbookPr updateLinks="always" defaultThemeVersion="166925"/>
  <mc:AlternateContent xmlns:mc="http://schemas.openxmlformats.org/markup-compatibility/2006">
    <mc:Choice Requires="x15">
      <x15ac:absPath xmlns:x15ac="http://schemas.microsoft.com/office/spreadsheetml/2010/11/ac" url="C:\Users\AndreaPacheco-Moellg\Downloads\"/>
    </mc:Choice>
  </mc:AlternateContent>
  <xr:revisionPtr revIDLastSave="5" documentId="8_{8ED725C4-AF5C-45A8-9A17-71774A30811D}" xr6:coauthVersionLast="47" xr6:coauthVersionMax="47" xr10:uidLastSave="{D76CFE87-5921-4FA0-8378-CEE797D7A719}"/>
  <bookViews>
    <workbookView xWindow="-120" yWindow="-120" windowWidth="29040" windowHeight="15720" tabRatio="792" firstSheet="1" activeTab="1" xr2:uid="{39B901EC-1525-4376-9B5A-9A97A1F296D7}"/>
  </bookViews>
  <sheets>
    <sheet name="Guide" sheetId="16" r:id="rId1"/>
    <sheet name="P&amp;L TMIX" sheetId="3" r:id="rId2"/>
    <sheet name="Model Revenue ST" sheetId="12" state="hidden" r:id="rId3"/>
    <sheet name="Model Revenue QB" sheetId="11" state="hidden" r:id="rId4"/>
    <sheet name="Model Revenue 12Tree" sheetId="9" state="hidden" r:id="rId5"/>
    <sheet name="Model Revenue ECO" sheetId="10" state="hidden" r:id="rId6"/>
    <sheet name="Model Revenue FOFI" sheetId="8" state="hidden" r:id="rId7"/>
    <sheet name="Baseline Scenario Costs" sheetId="15" r:id="rId8"/>
    <sheet name="VERs costs assumptions" sheetId="14" state="hidden" r:id="rId9"/>
    <sheet name="VER Issuance assumptions" sheetId="13"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3" l="1"/>
  <c r="D9" i="3"/>
  <c r="D14" i="3" s="1"/>
  <c r="D25" i="3" s="1"/>
  <c r="E9" i="3"/>
  <c r="E14" i="3" s="1"/>
  <c r="E25" i="3" s="1"/>
  <c r="F9" i="3"/>
  <c r="F14" i="3" s="1"/>
  <c r="F25" i="3" s="1"/>
  <c r="F32" i="3" s="1"/>
  <c r="G9" i="3"/>
  <c r="G14" i="3" s="1"/>
  <c r="G25" i="3" s="1"/>
  <c r="G32" i="3" s="1"/>
  <c r="H9" i="3"/>
  <c r="H14" i="3" s="1"/>
  <c r="H25" i="3" s="1"/>
  <c r="H32" i="3" s="1"/>
  <c r="D17" i="3"/>
  <c r="E17" i="3"/>
  <c r="F17" i="3"/>
  <c r="B42" i="3" s="1"/>
  <c r="B60" i="3" s="1"/>
  <c r="G17" i="3"/>
  <c r="H17" i="3"/>
  <c r="I17" i="3"/>
  <c r="D18" i="3"/>
  <c r="E18" i="3"/>
  <c r="F18" i="3"/>
  <c r="G18" i="3"/>
  <c r="H18" i="3"/>
  <c r="I18" i="3"/>
  <c r="B43" i="3" s="1"/>
  <c r="B61" i="3" s="1"/>
  <c r="D19" i="3"/>
  <c r="E19" i="3"/>
  <c r="F19" i="3"/>
  <c r="G19" i="3"/>
  <c r="B44" i="3" s="1"/>
  <c r="B62" i="3" s="1"/>
  <c r="H19" i="3"/>
  <c r="I19" i="3"/>
  <c r="D20" i="3"/>
  <c r="E20" i="3"/>
  <c r="F20" i="3"/>
  <c r="G20" i="3"/>
  <c r="H20" i="3"/>
  <c r="I20" i="3"/>
  <c r="D21" i="3"/>
  <c r="E21" i="3"/>
  <c r="F21" i="3"/>
  <c r="G21" i="3"/>
  <c r="B46" i="3" s="1"/>
  <c r="B64" i="3" s="1"/>
  <c r="H21" i="3"/>
  <c r="I21" i="3"/>
  <c r="D22" i="3"/>
  <c r="E22" i="3"/>
  <c r="F22" i="3"/>
  <c r="G22" i="3"/>
  <c r="D23" i="3"/>
  <c r="E23" i="3"/>
  <c r="F23" i="3"/>
  <c r="G23" i="3"/>
  <c r="H23" i="3"/>
  <c r="D27" i="3"/>
  <c r="E27" i="3"/>
  <c r="F27" i="3"/>
  <c r="G27" i="3"/>
  <c r="H27" i="3"/>
  <c r="B49" i="3" s="1"/>
  <c r="B67" i="3" s="1"/>
  <c r="I27" i="3"/>
  <c r="D28" i="3"/>
  <c r="D29" i="3" s="1"/>
  <c r="E28" i="3"/>
  <c r="E29" i="3" s="1"/>
  <c r="F28" i="3"/>
  <c r="G28" i="3"/>
  <c r="H28" i="3"/>
  <c r="I28" i="3"/>
  <c r="F29" i="3"/>
  <c r="G29" i="3"/>
  <c r="H29" i="3"/>
  <c r="I29" i="3"/>
  <c r="B39" i="3"/>
  <c r="B57" i="3" s="1"/>
  <c r="A40" i="3"/>
  <c r="A58" i="3" s="1"/>
  <c r="B45" i="3"/>
  <c r="B63" i="3" s="1"/>
  <c r="B50" i="3"/>
  <c r="B68" i="3" s="1"/>
  <c r="A57" i="3"/>
  <c r="G17" i="14"/>
  <c r="G18" i="14"/>
  <c r="G19" i="14"/>
  <c r="G21" i="14"/>
  <c r="I23" i="9"/>
  <c r="R13" i="9"/>
  <c r="G16" i="9"/>
  <c r="G20" i="9" s="1"/>
  <c r="G15" i="9"/>
  <c r="M5" i="9"/>
  <c r="Q13" i="9"/>
  <c r="Q8" i="9"/>
  <c r="Q5" i="9"/>
  <c r="R8" i="9"/>
  <c r="R5" i="9"/>
  <c r="S8" i="9"/>
  <c r="S5" i="9"/>
  <c r="S7" i="9" s="1"/>
  <c r="H36" i="14"/>
  <c r="G36" i="14"/>
  <c r="N8" i="8"/>
  <c r="N7" i="8"/>
  <c r="D35" i="14"/>
  <c r="E35" i="14"/>
  <c r="H34" i="14"/>
  <c r="G34" i="14"/>
  <c r="I12" i="9"/>
  <c r="M6" i="11"/>
  <c r="L6" i="12"/>
  <c r="R7" i="9"/>
  <c r="E6" i="14"/>
  <c r="G21" i="10"/>
  <c r="I21" i="10"/>
  <c r="I18" i="10"/>
  <c r="I14" i="10"/>
  <c r="I13" i="10"/>
  <c r="H18" i="10"/>
  <c r="G18" i="10"/>
  <c r="C8" i="10"/>
  <c r="D8" i="10"/>
  <c r="E8" i="10"/>
  <c r="F8" i="10"/>
  <c r="H18" i="14"/>
  <c r="I18" i="14"/>
  <c r="I20" i="14"/>
  <c r="I16" i="14"/>
  <c r="H37" i="14"/>
  <c r="H39" i="14"/>
  <c r="D39" i="14"/>
  <c r="E39" i="14"/>
  <c r="C39" i="14"/>
  <c r="D38" i="14"/>
  <c r="E38" i="14"/>
  <c r="C38" i="14"/>
  <c r="D37" i="14"/>
  <c r="E37" i="14"/>
  <c r="D36" i="14"/>
  <c r="E36" i="14"/>
  <c r="F34" i="14"/>
  <c r="E34" i="14"/>
  <c r="D34" i="14"/>
  <c r="C34" i="14"/>
  <c r="E33" i="14"/>
  <c r="D33" i="14"/>
  <c r="C33" i="14"/>
  <c r="F13" i="13"/>
  <c r="E32" i="3" l="1"/>
  <c r="D32" i="3"/>
  <c r="F14" i="13"/>
  <c r="D14" i="13"/>
  <c r="B6" i="13" s="1"/>
  <c r="N17" i="8"/>
  <c r="N9" i="8"/>
  <c r="N5" i="8"/>
  <c r="I8" i="8"/>
  <c r="I9" i="8"/>
  <c r="I10" i="8"/>
  <c r="I11" i="8"/>
  <c r="I12" i="8"/>
  <c r="I13" i="8"/>
  <c r="I14" i="8"/>
  <c r="I15" i="8"/>
  <c r="I16" i="8"/>
  <c r="I17" i="8"/>
  <c r="I18" i="8"/>
  <c r="I19" i="8"/>
  <c r="I20" i="8"/>
  <c r="I21" i="8"/>
  <c r="I22" i="8"/>
  <c r="N14" i="8"/>
  <c r="N13" i="8"/>
  <c r="N10" i="8"/>
  <c r="G8" i="10"/>
  <c r="F18" i="9"/>
  <c r="F37" i="14" s="1"/>
  <c r="G10" i="9"/>
  <c r="F9" i="9"/>
  <c r="F10" i="9" s="1"/>
  <c r="F11" i="9"/>
  <c r="F14" i="9"/>
  <c r="F39" i="14" s="1"/>
  <c r="F17" i="9"/>
  <c r="F19" i="9"/>
  <c r="F21" i="9"/>
  <c r="F22" i="9"/>
  <c r="G39" i="14"/>
  <c r="D26" i="14"/>
  <c r="E26" i="14"/>
  <c r="F26" i="14"/>
  <c r="G26" i="14"/>
  <c r="H26" i="14"/>
  <c r="C26" i="14"/>
  <c r="I15" i="14"/>
  <c r="I7" i="10"/>
  <c r="F13" i="9"/>
  <c r="F38" i="14" s="1"/>
  <c r="F16" i="9"/>
  <c r="F33" i="14" s="1"/>
  <c r="G18" i="9"/>
  <c r="I18" i="9" s="1"/>
  <c r="Q7" i="9"/>
  <c r="H13" i="9"/>
  <c r="H38" i="14" s="1"/>
  <c r="G13" i="9"/>
  <c r="I13" i="9" s="1"/>
  <c r="G33" i="14"/>
  <c r="I7" i="9"/>
  <c r="H10" i="9"/>
  <c r="D21" i="14"/>
  <c r="E21" i="14"/>
  <c r="F21" i="14"/>
  <c r="C21" i="14"/>
  <c r="M7" i="8"/>
  <c r="D7" i="14"/>
  <c r="I10" i="12"/>
  <c r="L13" i="12" s="1"/>
  <c r="I6" i="12"/>
  <c r="I11" i="12"/>
  <c r="L14" i="12" s="1"/>
  <c r="I13" i="12"/>
  <c r="I14" i="12"/>
  <c r="I5" i="12"/>
  <c r="L9" i="12"/>
  <c r="L8" i="12"/>
  <c r="I15" i="11"/>
  <c r="M13" i="11"/>
  <c r="M12" i="11"/>
  <c r="C17" i="11"/>
  <c r="D17" i="11"/>
  <c r="E17" i="11"/>
  <c r="F17" i="11"/>
  <c r="G17" i="11"/>
  <c r="H17" i="11"/>
  <c r="I12" i="11"/>
  <c r="I4" i="11"/>
  <c r="I11" i="11"/>
  <c r="I13" i="11"/>
  <c r="I14" i="11"/>
  <c r="M8" i="11" s="1"/>
  <c r="I16" i="11"/>
  <c r="I18" i="11"/>
  <c r="I19" i="11"/>
  <c r="I6" i="10"/>
  <c r="M13" i="10"/>
  <c r="M12" i="10"/>
  <c r="M9" i="10"/>
  <c r="M8" i="10"/>
  <c r="G18" i="12"/>
  <c r="F18" i="12"/>
  <c r="E18" i="12"/>
  <c r="D18" i="12"/>
  <c r="C18" i="12"/>
  <c r="H12" i="12"/>
  <c r="H7" i="12"/>
  <c r="G7" i="12"/>
  <c r="F7" i="12"/>
  <c r="F21" i="12" s="1"/>
  <c r="E7" i="12"/>
  <c r="E21" i="12" s="1"/>
  <c r="D7" i="12"/>
  <c r="D21" i="12" s="1"/>
  <c r="C7" i="12"/>
  <c r="H6" i="11"/>
  <c r="H20" i="11" s="1"/>
  <c r="G6" i="11"/>
  <c r="F6" i="11"/>
  <c r="F20" i="11" s="1"/>
  <c r="E6" i="11"/>
  <c r="E20" i="11" s="1"/>
  <c r="D6" i="11"/>
  <c r="D20" i="11" s="1"/>
  <c r="C6" i="11"/>
  <c r="H13" i="10"/>
  <c r="H8" i="10"/>
  <c r="H19" i="8"/>
  <c r="G9" i="8"/>
  <c r="G19" i="8"/>
  <c r="H9" i="8"/>
  <c r="G22" i="8"/>
  <c r="H22" i="8"/>
  <c r="D8" i="14" l="1" a="1"/>
  <c r="D8" i="14" s="1"/>
  <c r="C6" i="13"/>
  <c r="I5" i="3" s="1" a="1"/>
  <c r="I5" i="3" s="1"/>
  <c r="I6" i="3" s="1"/>
  <c r="E7" i="14"/>
  <c r="H19" i="14"/>
  <c r="I19" i="14" s="1"/>
  <c r="I10" i="9"/>
  <c r="D9" i="14"/>
  <c r="H17" i="14"/>
  <c r="H21" i="14" s="1"/>
  <c r="E8" i="14"/>
  <c r="E9" i="14" s="1"/>
  <c r="I34" i="14"/>
  <c r="F15" i="9"/>
  <c r="F35" i="14" s="1"/>
  <c r="F20" i="9"/>
  <c r="F23" i="9"/>
  <c r="C37" i="14"/>
  <c r="G38" i="14"/>
  <c r="G37" i="14"/>
  <c r="M9" i="11"/>
  <c r="L7" i="12"/>
  <c r="M7" i="11"/>
  <c r="S13" i="9"/>
  <c r="H15" i="9"/>
  <c r="H35" i="14" s="1"/>
  <c r="H16" i="9"/>
  <c r="C21" i="12"/>
  <c r="I7" i="12"/>
  <c r="L4" i="12" s="1"/>
  <c r="H18" i="12"/>
  <c r="I12" i="12"/>
  <c r="I18" i="12"/>
  <c r="G21" i="12"/>
  <c r="H21" i="12"/>
  <c r="I17" i="11"/>
  <c r="I6" i="11"/>
  <c r="M4" i="11" s="1"/>
  <c r="M17" i="11" s="1"/>
  <c r="C20" i="11"/>
  <c r="G20" i="11"/>
  <c r="M6" i="10"/>
  <c r="J22" i="8"/>
  <c r="I8" i="3" l="1"/>
  <c r="I9" i="3" s="1"/>
  <c r="B36" i="3"/>
  <c r="G35" i="14"/>
  <c r="H33" i="14"/>
  <c r="I16" i="9"/>
  <c r="M7" i="9" s="1"/>
  <c r="I15" i="9"/>
  <c r="M8" i="9" s="1"/>
  <c r="C35" i="14"/>
  <c r="I35" i="14" s="1"/>
  <c r="C36" i="14"/>
  <c r="H20" i="9"/>
  <c r="I20" i="9" s="1"/>
  <c r="L18" i="12"/>
  <c r="H23" i="9"/>
  <c r="I21" i="12"/>
  <c r="I20" i="11"/>
  <c r="M7" i="10"/>
  <c r="H21" i="10"/>
  <c r="I8" i="10"/>
  <c r="M4" i="10" s="1"/>
  <c r="G23" i="9"/>
  <c r="I14" i="3" l="1"/>
  <c r="B38" i="3"/>
  <c r="I33" i="14"/>
  <c r="M16" i="10"/>
  <c r="C40" i="14"/>
  <c r="G40" i="14"/>
  <c r="H40" i="14"/>
  <c r="B40" i="3" l="1"/>
  <c r="B56" i="3"/>
  <c r="D40" i="14"/>
  <c r="C27" i="14" a="1"/>
  <c r="J16" i="8"/>
  <c r="J14" i="8"/>
  <c r="J13" i="8"/>
  <c r="J12" i="8"/>
  <c r="J17" i="8"/>
  <c r="B58" i="3" l="1"/>
  <c r="C56" i="3"/>
  <c r="J15" i="8"/>
  <c r="C27" i="14"/>
  <c r="J18" i="8"/>
  <c r="J19" i="8"/>
  <c r="C58" i="3" l="1"/>
  <c r="C60" i="3"/>
  <c r="C61" i="3"/>
  <c r="C62" i="3"/>
  <c r="C63" i="3"/>
  <c r="C64" i="3"/>
  <c r="C67" i="3"/>
  <c r="C68" i="3"/>
  <c r="C57" i="3"/>
  <c r="I7" i="8"/>
  <c r="I8" i="9"/>
  <c r="I17" i="9"/>
  <c r="M9" i="9"/>
  <c r="I9" i="9"/>
  <c r="I19" i="9"/>
  <c r="I14" i="9"/>
  <c r="M14" i="9" s="1"/>
  <c r="I39" i="14"/>
  <c r="F40" i="14" l="1"/>
  <c r="I36" i="14"/>
  <c r="C28" i="14" a="1"/>
  <c r="I37" i="14"/>
  <c r="M10" i="9"/>
  <c r="M17" i="9"/>
  <c r="H25" i="14" l="1"/>
  <c r="G25" i="14"/>
  <c r="F25" i="14"/>
  <c r="E25" i="14"/>
  <c r="D25" i="14"/>
  <c r="C28" i="14"/>
  <c r="C25" i="14" s="1"/>
  <c r="E40" i="14"/>
  <c r="M13" i="9"/>
  <c r="I38" i="14"/>
  <c r="I40" i="14" s="1"/>
  <c r="I25" i="14" l="1"/>
  <c r="I17" i="14" l="1"/>
  <c r="I21" i="14" s="1"/>
  <c r="I22" i="3" s="1"/>
  <c r="I23" i="3" l="1"/>
  <c r="I25" i="3" s="1"/>
  <c r="B47" i="3"/>
  <c r="B65" i="3" l="1"/>
  <c r="B52" i="3"/>
  <c r="I32" i="3"/>
  <c r="C65" i="3" l="1"/>
  <c r="B70" i="3"/>
  <c r="C7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<sst xmlns="http://schemas.openxmlformats.org/spreadsheetml/2006/main" count="387" uniqueCount="186">
  <si>
    <t>5 Participants</t>
  </si>
  <si>
    <t>Acronym</t>
  </si>
  <si>
    <t>Name</t>
  </si>
  <si>
    <t>Current Monitoring Period</t>
  </si>
  <si>
    <t>ST</t>
  </si>
  <si>
    <t>Sustainable Timbers S.A.</t>
  </si>
  <si>
    <t>2019-2024</t>
  </si>
  <si>
    <t>QB</t>
  </si>
  <si>
    <t>Quetzal Blue</t>
  </si>
  <si>
    <t>ECO</t>
  </si>
  <si>
    <t>Ecocebaco</t>
  </si>
  <si>
    <t>2023-2024</t>
  </si>
  <si>
    <t>FOFI</t>
  </si>
  <si>
    <t>Forest Finance S.A</t>
  </si>
  <si>
    <t>12tree</t>
  </si>
  <si>
    <t>12Tree Pan Boca del Monte</t>
  </si>
  <si>
    <t>Please notice FF and EC cost and revenue not included for 2019-2022</t>
  </si>
  <si>
    <t>P&amp;L TMIX</t>
  </si>
  <si>
    <t>Profit and loss financial model include all participants in the Performance Review 2024</t>
  </si>
  <si>
    <t>This is an Additionality scenario,the project includes activities that support the development of carbon credits. Other income refers to sales of wood and cocoa.</t>
  </si>
  <si>
    <t>All assumptions are based on information provided by project participants, carbon credit net carbon model  according to PDD and carbon credit price of the current market situation.</t>
  </si>
  <si>
    <t>Baseline scenario</t>
  </si>
  <si>
    <t>Project without developing carbon credits</t>
  </si>
  <si>
    <t>known as " business as usual"  considering selective harversting approach, biomass and cocoa production for some of the participants.</t>
  </si>
  <si>
    <t>Yearly P&amp;L  (PR 2024)</t>
  </si>
  <si>
    <t>Year 1</t>
  </si>
  <si>
    <t>Year 2</t>
  </si>
  <si>
    <t>Year 3</t>
  </si>
  <si>
    <t>Year 4</t>
  </si>
  <si>
    <t>Year 5</t>
  </si>
  <si>
    <t>Year 6</t>
  </si>
  <si>
    <t>Carbon issued and projected</t>
  </si>
  <si>
    <t>tCO2</t>
  </si>
  <si>
    <t>Credits Sales Projected</t>
  </si>
  <si>
    <t>Market</t>
  </si>
  <si>
    <t>$</t>
  </si>
  <si>
    <t>Total Sales (Credits)</t>
  </si>
  <si>
    <t>Net Revenue Credits</t>
  </si>
  <si>
    <t>Other Income: Non-Carbon revenue</t>
  </si>
  <si>
    <t>Total Net Revenue</t>
  </si>
  <si>
    <t xml:space="preserve">Maintenance </t>
  </si>
  <si>
    <t>Haversting costs (Opex)</t>
  </si>
  <si>
    <t xml:space="preserve">Admin and Other expenses </t>
  </si>
  <si>
    <t>Opex Reserves</t>
  </si>
  <si>
    <t>FSC</t>
  </si>
  <si>
    <t>Gold Standard</t>
  </si>
  <si>
    <t>Total Operating Exp.</t>
  </si>
  <si>
    <t>Net Operating Income</t>
  </si>
  <si>
    <t>Implementation Costs (Capex)</t>
  </si>
  <si>
    <t>Capex Reserves</t>
  </si>
  <si>
    <t>Total Capital Exp.</t>
  </si>
  <si>
    <t>EBITDA</t>
  </si>
  <si>
    <t>Credit KPIs &amp; Graphs</t>
  </si>
  <si>
    <t> </t>
  </si>
  <si>
    <t>Total Credits</t>
  </si>
  <si>
    <t>Credit Sales Revenue</t>
  </si>
  <si>
    <t>Non-Carbon Revenue</t>
  </si>
  <si>
    <t>Maintenance</t>
  </si>
  <si>
    <t>Selective-Harvesting(Opex)</t>
  </si>
  <si>
    <t>FSC &amp; UTZ Certification</t>
  </si>
  <si>
    <t>Gold Standard Certification</t>
  </si>
  <si>
    <t xml:space="preserve">Forecasted item distribution as % of Revenue </t>
  </si>
  <si>
    <t>USD</t>
  </si>
  <si>
    <t>%</t>
  </si>
  <si>
    <t>Selective - Harvesting*(Opex)</t>
  </si>
  <si>
    <t>Baseline sceneario</t>
  </si>
  <si>
    <t>Model Revenue  P&amp;L</t>
  </si>
  <si>
    <t>Sustainable Timbers</t>
  </si>
  <si>
    <t>Revenue</t>
  </si>
  <si>
    <t>Sales</t>
  </si>
  <si>
    <t xml:space="preserve">Other income </t>
  </si>
  <si>
    <t>Maintenance &amp; Harvesting</t>
  </si>
  <si>
    <t>Total Revenue</t>
  </si>
  <si>
    <t xml:space="preserve">FSC &amp; Other Certification </t>
  </si>
  <si>
    <t>Implementation costs</t>
  </si>
  <si>
    <t>Capex reserves</t>
  </si>
  <si>
    <t>Harvest costs</t>
  </si>
  <si>
    <t>Admininstrative (overhead costs)</t>
  </si>
  <si>
    <t>Maintenance costs (Opex)</t>
  </si>
  <si>
    <t>Other costs</t>
  </si>
  <si>
    <t>Total Costs</t>
  </si>
  <si>
    <t>* In the year 2023 shows a positive EBITDA</t>
  </si>
  <si>
    <t>Source:</t>
  </si>
  <si>
    <t>TMIX OFN QB ST &amp; EC(1).xlsx</t>
  </si>
  <si>
    <t>Maintenance costs (OPEX)</t>
  </si>
  <si>
    <t>Table 2. Report 2022</t>
  </si>
  <si>
    <t>Table 4. Report 2023</t>
  </si>
  <si>
    <t>Table 8. Expeditures distribution Report</t>
  </si>
  <si>
    <t xml:space="preserve">Field activities will be organized around five main areas. </t>
  </si>
  <si>
    <t xml:space="preserve">Activities: </t>
  </si>
  <si>
    <t xml:space="preserve">ield activities will be organized around five main areas. </t>
  </si>
  <si>
    <t>Profit and Loss Statement</t>
  </si>
  <si>
    <t>2024*</t>
  </si>
  <si>
    <t>Totals 2019-2024</t>
  </si>
  <si>
    <t>12Tree overhead</t>
  </si>
  <si>
    <t>1) Internal fire breaks.</t>
  </si>
  <si>
    <t>12Tree - Pan Boca del Monte</t>
  </si>
  <si>
    <t>SPV overhead</t>
  </si>
  <si>
    <t xml:space="preserve">2) Farm security. </t>
  </si>
  <si>
    <t>Management team</t>
  </si>
  <si>
    <t>3) Pruning.</t>
  </si>
  <si>
    <t>Sales from thinning fallen trees</t>
  </si>
  <si>
    <t>Adm overhead</t>
  </si>
  <si>
    <t>4) PPM measurements and data analysis.</t>
  </si>
  <si>
    <t>Biomass Revenue</t>
  </si>
  <si>
    <t>COGS project</t>
  </si>
  <si>
    <t xml:space="preserve">5) Recovery of fallen trees. </t>
  </si>
  <si>
    <t>Other Adm</t>
  </si>
  <si>
    <t xml:space="preserve">After removing fallen trees, the second most important types of activities to </t>
  </si>
  <si>
    <t>FSC  &amp; Gold Standard</t>
  </si>
  <si>
    <t>Harvesting costs</t>
  </si>
  <si>
    <t xml:space="preserve">be carried out in 2024 are the cyclical maintenance activities.. Basically, the </t>
  </si>
  <si>
    <t>FSC training</t>
  </si>
  <si>
    <t xml:space="preserve">project will carry out pruning, weed clearing, fire breaks during the dry </t>
  </si>
  <si>
    <t>Harvesting Labor</t>
  </si>
  <si>
    <t xml:space="preserve">season, fire monitoring, ppm gathering data and security. These cyclical </t>
  </si>
  <si>
    <t xml:space="preserve">The normal thinning schedule will continue in Q1 2025. The thinning schedule for </t>
  </si>
  <si>
    <t xml:space="preserve">activities are planned in a master activities chronogram document. Table 9 is </t>
  </si>
  <si>
    <t>future activities is shown in table 6.</t>
  </si>
  <si>
    <t>an excerpt of the document</t>
  </si>
  <si>
    <t xml:space="preserve">This aspect revolves around thinning lots that have not yet reached their final harvest </t>
  </si>
  <si>
    <t xml:space="preserve">an excerpt of the document. </t>
  </si>
  <si>
    <t>years.</t>
  </si>
  <si>
    <t xml:space="preserve">Currently, the timber from thinning trees is sold to buyers from India. </t>
  </si>
  <si>
    <t xml:space="preserve">An alternative option for thinning could be the WOB German Import Teak Company, </t>
  </si>
  <si>
    <t xml:space="preserve">Other costs </t>
  </si>
  <si>
    <t xml:space="preserve">which has expressed interest in purchasing processed wood. Boca del Monte would </t>
  </si>
  <si>
    <t xml:space="preserve">process its trees through the Forest Finance Sawmill. Both companies are currently </t>
  </si>
  <si>
    <t>analyzing this potential collaboration.</t>
  </si>
  <si>
    <t>Note</t>
  </si>
  <si>
    <t xml:space="preserve"> *The sales revenue expected from sales 2024 is of trees (three categories) biomass revenue</t>
  </si>
  <si>
    <t>CO2OL_TropicalMix_ARR_PA - Plan Estratégico_BDM_2024_01_20240109.pdf - All Documents</t>
  </si>
  <si>
    <t>EcoCebaco</t>
  </si>
  <si>
    <t>Implementation costs (capex)</t>
  </si>
  <si>
    <t>Sales of cocoa for FOFI</t>
  </si>
  <si>
    <t>Totals 2023-2024</t>
  </si>
  <si>
    <t xml:space="preserve">The project receives income from cocoa sales, which in 2024 was not expected to be in a good level, still the costs of development where 19% more of the total income The total EBITA for project participant FOFI  in year 2024 represents a loss of aproximately of -239k USD </t>
  </si>
  <si>
    <t>Forest Finance Panama S.A.</t>
  </si>
  <si>
    <t xml:space="preserve"> *The sales revenue from cocoa was exceptionally good in 2024 but is not expected to be at this level in the long term.</t>
  </si>
  <si>
    <t>CO2OL_TropicalMix_ARR_PA - TMIX.PL.FoFi.Pma.03.12.24.pdf - All Documents</t>
  </si>
  <si>
    <t>P&amp;L Summary  "Business as usual" scenario</t>
  </si>
  <si>
    <t xml:space="preserve"> USD</t>
  </si>
  <si>
    <t>Revenue Non Carbon (Timber &amp; Cacao)</t>
  </si>
  <si>
    <t>Maintenance &amp; Selective-Harvesting Costs (Opex)</t>
  </si>
  <si>
    <t>Note:</t>
  </si>
  <si>
    <t>* The information here presented has the purpose to outline the baseline scenarios of each participant conducting regular business without the introduction of carbon credits as a comercial activity</t>
  </si>
  <si>
    <t>Revenue source: FoFI: wood, cacao; ST: wood; QB: wood; 12Tree: wood; EC:N/A</t>
  </si>
  <si>
    <t>EBITDA  Comparison</t>
  </si>
  <si>
    <r>
      <t>Monitoring period 2019/2022-2024</t>
    </r>
    <r>
      <rPr>
        <sz val="11"/>
        <color rgb="FFE7E6E6"/>
        <rFont val="Arial"/>
        <charset val="1"/>
      </rPr>
      <t> </t>
    </r>
  </si>
  <si>
    <t>EBITDA (FSC; UTZ; etc) without carbon revenue</t>
  </si>
  <si>
    <t>EBITDA Gold Standard Certification</t>
  </si>
  <si>
    <t>VER Costs</t>
  </si>
  <si>
    <t>MR 2024</t>
  </si>
  <si>
    <t>Total expenses  MR 2019-2024</t>
  </si>
  <si>
    <t>PDD development costs</t>
  </si>
  <si>
    <t>VVB fees</t>
  </si>
  <si>
    <t>Issuance fees</t>
  </si>
  <si>
    <t>Total</t>
  </si>
  <si>
    <t>Account Opening</t>
  </si>
  <si>
    <t>Registration Fee</t>
  </si>
  <si>
    <t>VCU Issuance</t>
  </si>
  <si>
    <t>PD Development</t>
  </si>
  <si>
    <t>Validation and Verification</t>
  </si>
  <si>
    <t>Other Admin Exp</t>
  </si>
  <si>
    <t>FSC CERTIFICATION</t>
  </si>
  <si>
    <t>FSC certification</t>
  </si>
  <si>
    <t>Project Costs</t>
  </si>
  <si>
    <t>Maintenance (Opex)</t>
  </si>
  <si>
    <t>Haversting costs (opex)</t>
  </si>
  <si>
    <t>Please consider from 2019-2022 no project costs are accounted for Ecocebaco and FOFI, to cover only costs related to the current monitoring period for this certification. These two companies issued credits in previous certification, therefore cost are associated within that monitoring period.</t>
  </si>
  <si>
    <t>Haversting costs are only associated with ST, QB and Ecocebaco. Fofi has haversting related as well as cocoa costs included in as maintenance costs.</t>
  </si>
  <si>
    <t>Carbon Model Projections*</t>
  </si>
  <si>
    <t>Issuance 2024</t>
  </si>
  <si>
    <t>under review</t>
  </si>
  <si>
    <t>2024</t>
  </si>
  <si>
    <t>Total Vers 2019-2024</t>
  </si>
  <si>
    <t>TMIX Estimate sales Revenue</t>
  </si>
  <si>
    <t>Date expected issuance</t>
  </si>
  <si>
    <t>Monitoring Period</t>
  </si>
  <si>
    <t>Total NET Vers</t>
  </si>
  <si>
    <t>Market average price</t>
  </si>
  <si>
    <t>Estimate sales Revenue</t>
  </si>
  <si>
    <t>MR 2019-2024</t>
  </si>
  <si>
    <t>*Source:</t>
  </si>
  <si>
    <t xml:space="preserve">Carbon Model PR1 2024 </t>
  </si>
  <si>
    <t>The VERs calculations are based on the carbon model of the project. Issuance for Performance Review in 2024 has not yet been 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</si>
</sst>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3" formatCode="_(* #,##0.00_);_(* \(#,##0.00\);_(* &quot;-&quot;??_);_(@_)"/>
    <numFmt numFmtId="164" formatCode="&quot;Year&quot;\ 0"/>
    <numFmt numFmtId="165" formatCode="_([$$-409]* #,##0.00_);_([$$-409]* \(#,##0.00\);_([$$-409]* &quot;-&quot;??_);_(@_)"/>
    <numFmt numFmtId="166" formatCode="_(* #,##0_);_(* \(#,##0\);_(* &quot;-&quot;??_);_(@_)"/>
    <numFmt numFmtId="167" formatCode="_-[$$-409]* #,##0_ ;_-[$$-409]* \-#,##0\ ;_-[$$-409]* &quot;-&quot;??_ ;_-@_ "/>
    <numFmt numFmtId="168" formatCode="_([$$-409]* #,##0_);_([$$-409]* \(#,##0\);_([$$-409]* &quot;-&quot;??_);_(@_)"/>
  </numFmts>
  <fonts count="40">
    <font>
      <sz val="11"/>
      <color theme="1"/>
      <name val="Calibri"/>
      <family val="2"/>
      <scheme val="minor"/>
    </font>
    <font>
      <b/>
      <sz val="11"/>
      <color theme="0"/>
      <name val="Calibri"/>
      <family val="2"/>
      <scheme val="minor"/>
    </font>
    <font>
      <b/>
      <sz val="11"/>
      <color theme="1"/>
      <name val="Calibri"/>
      <family val="2"/>
      <scheme val="minor"/>
    </font>
    <font>
      <b/>
      <sz val="18"/>
      <color theme="0"/>
      <name val="Calibri"/>
      <family val="2"/>
      <scheme val="minor"/>
    </font>
    <font>
      <b/>
      <sz val="11"/>
      <name val="Calibri"/>
      <family val="2"/>
      <scheme val="minor"/>
    </font>
    <font>
      <b/>
      <sz val="10"/>
      <color theme="1"/>
      <name val="Calibri"/>
      <family val="2"/>
      <scheme val="minor"/>
    </font>
    <font>
      <sz val="11"/>
      <color theme="0" tint="-0.249977111117893"/>
      <name val="Calibri"/>
      <family val="2"/>
      <scheme val="minor"/>
    </font>
    <font>
      <sz val="11"/>
      <name val="Calibri"/>
      <family val="2"/>
      <scheme val="minor"/>
    </font>
    <font>
      <i/>
      <sz val="10"/>
      <color theme="0" tint="-0.249977111117893"/>
      <name val="Calibri"/>
      <family val="2"/>
      <scheme val="minor"/>
    </font>
    <font>
      <sz val="11"/>
      <color theme="4"/>
      <name val="Calibri"/>
      <family val="2"/>
      <scheme val="minor"/>
    </font>
    <font>
      <i/>
      <sz val="9"/>
      <color theme="1"/>
      <name val="Calibri"/>
      <family val="2"/>
      <scheme val="minor"/>
    </font>
    <font>
      <b/>
      <i/>
      <sz val="9"/>
      <color theme="1"/>
      <name val="Calibri"/>
      <family val="2"/>
      <scheme val="minor"/>
    </font>
    <font>
      <u/>
      <sz val="11"/>
      <color theme="10"/>
      <name val="Calibri"/>
      <family val="2"/>
      <scheme val="minor"/>
    </font>
    <font>
      <i/>
      <sz val="11"/>
      <color theme="1"/>
      <name val="Calibri"/>
      <family val="2"/>
      <scheme val="minor"/>
    </font>
    <font>
      <b/>
      <sz val="11"/>
      <color theme="4"/>
      <name val="Calibri"/>
      <family val="2"/>
      <scheme val="minor"/>
    </font>
    <font>
      <sz val="10"/>
      <color theme="1"/>
      <name val="Calibri"/>
      <family val="2"/>
      <scheme val="minor"/>
    </font>
    <font>
      <sz val="11"/>
      <color theme="0" tint="-0.14999847407452621"/>
      <name val="Calibri"/>
      <family val="2"/>
      <scheme val="minor"/>
    </font>
    <font>
      <b/>
      <sz val="11"/>
      <color theme="2"/>
      <name val="Calibri"/>
      <family val="2"/>
      <scheme val="minor"/>
    </font>
    <font>
      <sz val="11"/>
      <color rgb="FF4472C4"/>
      <name val="Calibri"/>
      <family val="2"/>
    </font>
    <font>
      <sz val="14"/>
      <color theme="1"/>
      <name val="Calibri"/>
      <family val="2"/>
      <scheme val="minor"/>
    </font>
    <font>
      <sz val="16"/>
      <color theme="1"/>
      <name val="Calibri"/>
      <family val="2"/>
      <scheme val="minor"/>
    </font>
    <font>
      <b/>
      <i/>
      <sz val="11"/>
      <color theme="1"/>
      <name val="Calibri"/>
      <family val="2"/>
      <scheme val="minor"/>
    </font>
    <font>
      <i/>
      <sz val="11"/>
      <color theme="2" tint="-9.9978637043366805E-2"/>
      <name val="Calibri"/>
      <family val="2"/>
      <scheme val="minor"/>
    </font>
    <font>
      <b/>
      <sz val="11"/>
      <color rgb="FF000000"/>
      <name val="Calibri"/>
      <family val="2"/>
      <scheme val="minor"/>
    </font>
    <font>
      <sz val="11"/>
      <color theme="6"/>
      <name val="Calibri"/>
      <family val="2"/>
      <scheme val="minor"/>
    </font>
    <font>
      <b/>
      <sz val="18"/>
      <color rgb="FFFFFFFF"/>
      <name val="Calibri"/>
      <family val="2"/>
    </font>
    <font>
      <b/>
      <sz val="11"/>
      <color rgb="FFFFFFFF"/>
      <name val="Calibri"/>
      <family val="2"/>
    </font>
    <font>
      <b/>
      <sz val="11"/>
      <color rgb="FF000000"/>
      <name val="Calibri"/>
      <family val="2"/>
    </font>
    <font>
      <sz val="11"/>
      <color rgb="FF000000"/>
      <name val="Calibri"/>
      <family val="2"/>
    </font>
    <font>
      <b/>
      <i/>
      <sz val="11"/>
      <color theme="0" tint="-4.9989318521683403E-2"/>
      <name val="Calibri"/>
      <family val="2"/>
      <scheme val="minor"/>
    </font>
    <font>
      <b/>
      <sz val="11"/>
      <color rgb="FFE7E6E6"/>
      <name val="Calibri"/>
      <charset val="1"/>
    </font>
    <font>
      <b/>
      <sz val="11"/>
      <color theme="0" tint="-4.9989318521683403E-2"/>
      <name val="Calibri"/>
      <family val="2"/>
      <scheme val="minor"/>
    </font>
    <font>
      <b/>
      <i/>
      <sz val="11"/>
      <color theme="4"/>
      <name val="Calibri"/>
      <family val="2"/>
      <scheme val="minor"/>
    </font>
    <font>
      <i/>
      <sz val="9"/>
      <color theme="1" tint="0.34998626667073579"/>
      <name val="Calibri"/>
      <family val="2"/>
      <scheme val="minor"/>
    </font>
    <font>
      <b/>
      <sz val="9"/>
      <color theme="1"/>
      <name val="Calibri"/>
      <family val="2"/>
      <scheme val="minor"/>
    </font>
    <font>
      <i/>
      <sz val="10"/>
      <color theme="1"/>
      <name val="Calibri"/>
      <family val="2"/>
      <scheme val="minor"/>
    </font>
    <font>
      <b/>
      <sz val="11"/>
      <color theme="0"/>
      <name val="Calibri"/>
      <family val="2"/>
    </font>
    <font>
      <b/>
      <sz val="12"/>
      <color theme="0"/>
      <name val="Calibri"/>
      <family val="2"/>
      <scheme val="minor"/>
    </font>
    <font>
      <sz val="11"/>
      <color rgb="FFE7E6E6"/>
      <name val="Arial"/>
      <charset val="1"/>
    </font>
    <font>
      <b/>
      <i/>
      <sz val="11"/>
      <color theme="2" tint="-0.499984740745262"/>
      <name val="Calibri"/>
      <family val="2"/>
      <scheme val="minor"/>
    </font>
  </fonts>
  <fills count="9">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bgColor indexed="64"/>
      </patternFill>
    </fill>
    <fill>
      <patternFill patternType="solid">
        <fgColor rgb="FF002060"/>
        <bgColor rgb="FF000000"/>
      </patternFill>
    </fill>
    <fill>
      <patternFill patternType="solid">
        <fgColor theme="0" tint="-4.9989318521683403E-2"/>
        <bgColor indexed="64"/>
      </patternFill>
    </fill>
  </fills>
  <borders count="26">
    <border>
      <left/>
      <right/>
      <top/>
      <bottom/>
      <diagonal/>
    </border>
    <border>
      <left/>
      <right/>
      <top style="thin">
        <color rgb="FF000000"/>
      </top>
      <bottom/>
      <diagonal/>
    </border>
    <border>
      <left style="thin">
        <color rgb="FF000000"/>
      </left>
      <right/>
      <top/>
      <bottom/>
      <diagonal/>
    </border>
    <border>
      <left style="thin">
        <color rgb="FF000000"/>
      </left>
      <right/>
      <top style="thin">
        <color rgb="FF000000"/>
      </top>
      <bottom/>
      <diagonal/>
    </border>
    <border>
      <left/>
      <right/>
      <top/>
      <bottom style="dotted">
        <color indexed="64"/>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bottom style="medium">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theme="9"/>
      </top>
      <bottom style="thin">
        <color rgb="FF000000"/>
      </bottom>
      <diagonal/>
    </border>
    <border>
      <left/>
      <right/>
      <top style="thin">
        <color theme="9"/>
      </top>
      <bottom style="thin">
        <color rgb="FF000000"/>
      </bottom>
      <diagonal/>
    </border>
    <border>
      <left/>
      <right style="thin">
        <color rgb="FF000000"/>
      </right>
      <top style="thin">
        <color theme="9"/>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s>
  <cellStyleXfs count="2">
    <xf numFmtId="0" fontId="0" fillId="0" borderId="0"/>
    <xf numFmtId="0" fontId="12" fillId="0" borderId="0" applyNumberFormat="0" applyFill="0" applyBorder="0" applyAlignment="0" applyProtection="0"/>
  </cellStyleXfs>
  <cellXfs count="212">
    <xf numFmtId="0" fontId="0" fillId="0" borderId="0" xfId="0"/>
    <xf numFmtId="0" fontId="3" fillId="2" borderId="0" xfId="0" applyFont="1" applyFill="1"/>
    <xf numFmtId="0" fontId="1" fillId="2" borderId="0" xfId="0" applyFont="1" applyFill="1"/>
    <xf numFmtId="0" fontId="0" fillId="3" borderId="0" xfId="0" applyFill="1"/>
    <xf numFmtId="14" fontId="0" fillId="3" borderId="0" xfId="0" applyNumberFormat="1" applyFill="1"/>
    <xf numFmtId="0" fontId="5" fillId="3" borderId="0" xfId="0" applyFont="1" applyFill="1"/>
    <xf numFmtId="3" fontId="6" fillId="3" borderId="0" xfId="0" applyNumberFormat="1" applyFont="1" applyFill="1"/>
    <xf numFmtId="41" fontId="4" fillId="3" borderId="0" xfId="0" applyNumberFormat="1" applyFont="1" applyFill="1"/>
    <xf numFmtId="0" fontId="2" fillId="3" borderId="0" xfId="0" applyFont="1" applyFill="1"/>
    <xf numFmtId="165" fontId="7" fillId="3" borderId="0" xfId="0" applyNumberFormat="1" applyFont="1" applyFill="1"/>
    <xf numFmtId="165" fontId="4" fillId="3" borderId="0" xfId="0" applyNumberFormat="1" applyFont="1" applyFill="1"/>
    <xf numFmtId="165" fontId="2" fillId="3" borderId="0" xfId="0" applyNumberFormat="1" applyFont="1" applyFill="1"/>
    <xf numFmtId="165" fontId="8" fillId="3" borderId="0" xfId="0" applyNumberFormat="1" applyFont="1" applyFill="1"/>
    <xf numFmtId="165" fontId="0" fillId="3" borderId="0" xfId="0" applyNumberFormat="1" applyFill="1"/>
    <xf numFmtId="165" fontId="0" fillId="0" borderId="0" xfId="0" applyNumberFormat="1"/>
    <xf numFmtId="165" fontId="2" fillId="0" borderId="0" xfId="0" applyNumberFormat="1" applyFont="1"/>
    <xf numFmtId="0" fontId="2" fillId="0" borderId="0" xfId="0" applyFont="1"/>
    <xf numFmtId="165" fontId="5" fillId="0" borderId="0" xfId="0" applyNumberFormat="1" applyFont="1"/>
    <xf numFmtId="165" fontId="9" fillId="0" borderId="0" xfId="0" applyNumberFormat="1" applyFont="1"/>
    <xf numFmtId="0" fontId="0" fillId="0" borderId="1" xfId="0" applyBorder="1"/>
    <xf numFmtId="165" fontId="0" fillId="0" borderId="1" xfId="0" applyNumberFormat="1" applyBorder="1"/>
    <xf numFmtId="0" fontId="10" fillId="0" borderId="0" xfId="0" applyFont="1"/>
    <xf numFmtId="0" fontId="11" fillId="0" borderId="0" xfId="0" applyFont="1"/>
    <xf numFmtId="0" fontId="12" fillId="0" borderId="0" xfId="1"/>
    <xf numFmtId="0" fontId="2" fillId="0" borderId="0" xfId="0" applyFont="1" applyAlignment="1">
      <alignment horizontal="right"/>
    </xf>
    <xf numFmtId="0" fontId="0" fillId="0" borderId="0" xfId="0" applyAlignment="1">
      <alignment horizontal="right"/>
    </xf>
    <xf numFmtId="165" fontId="0" fillId="0" borderId="0" xfId="0" applyNumberFormat="1" applyAlignment="1">
      <alignment horizontal="right"/>
    </xf>
    <xf numFmtId="165" fontId="2" fillId="0" borderId="0" xfId="0" applyNumberFormat="1" applyFont="1" applyAlignment="1">
      <alignment horizontal="right"/>
    </xf>
    <xf numFmtId="9" fontId="0" fillId="0" borderId="0" xfId="0" applyNumberFormat="1"/>
    <xf numFmtId="0" fontId="0" fillId="0" borderId="0" xfId="0" applyAlignment="1">
      <alignment wrapText="1"/>
    </xf>
    <xf numFmtId="0" fontId="0" fillId="0" borderId="0" xfId="0" applyAlignment="1">
      <alignment horizontal="center"/>
    </xf>
    <xf numFmtId="165" fontId="13" fillId="0" borderId="0" xfId="0" applyNumberFormat="1" applyFont="1" applyAlignment="1">
      <alignment horizontal="right"/>
    </xf>
    <xf numFmtId="165" fontId="2" fillId="0" borderId="0" xfId="0" applyNumberFormat="1" applyFont="1" applyAlignment="1">
      <alignment horizontal="center"/>
    </xf>
    <xf numFmtId="167" fontId="0" fillId="0" borderId="0" xfId="0" applyNumberFormat="1"/>
    <xf numFmtId="0" fontId="14" fillId="0" borderId="0" xfId="0" applyFont="1"/>
    <xf numFmtId="165" fontId="15" fillId="0" borderId="0" xfId="0" applyNumberFormat="1" applyFont="1"/>
    <xf numFmtId="168" fontId="2" fillId="3" borderId="0" xfId="0" applyNumberFormat="1" applyFont="1" applyFill="1"/>
    <xf numFmtId="168" fontId="0" fillId="3" borderId="0" xfId="0" applyNumberFormat="1" applyFill="1"/>
    <xf numFmtId="164" fontId="4" fillId="3" borderId="0" xfId="0" applyNumberFormat="1" applyFont="1" applyFill="1" applyAlignment="1">
      <alignment horizontal="center"/>
    </xf>
    <xf numFmtId="0" fontId="2" fillId="0" borderId="0" xfId="0" applyFont="1" applyAlignment="1">
      <alignment horizontal="center"/>
    </xf>
    <xf numFmtId="0" fontId="0" fillId="0" borderId="1" xfId="0" applyBorder="1" applyAlignment="1">
      <alignment horizontal="center"/>
    </xf>
    <xf numFmtId="165" fontId="0" fillId="0" borderId="0" xfId="0" applyNumberFormat="1" applyAlignment="1">
      <alignment horizontal="center"/>
    </xf>
    <xf numFmtId="0" fontId="16" fillId="0" borderId="0" xfId="0" applyFont="1"/>
    <xf numFmtId="0" fontId="0" fillId="0" borderId="0" xfId="0" applyAlignment="1">
      <alignment horizontal="left"/>
    </xf>
    <xf numFmtId="165" fontId="13" fillId="0" borderId="0" xfId="0" applyNumberFormat="1" applyFont="1" applyAlignment="1">
      <alignment horizontal="left"/>
    </xf>
    <xf numFmtId="165" fontId="0" fillId="0" borderId="0" xfId="0" applyNumberFormat="1" applyAlignment="1">
      <alignment horizontal="left"/>
    </xf>
    <xf numFmtId="165" fontId="0" fillId="0" borderId="1" xfId="0" applyNumberFormat="1" applyBorder="1" applyAlignment="1">
      <alignment horizontal="left"/>
    </xf>
    <xf numFmtId="165" fontId="13" fillId="0" borderId="0" xfId="0" applyNumberFormat="1" applyFont="1" applyAlignment="1">
      <alignment horizontal="center"/>
    </xf>
    <xf numFmtId="165" fontId="0" fillId="0" borderId="1" xfId="0" applyNumberFormat="1" applyBorder="1" applyAlignment="1">
      <alignment horizontal="center"/>
    </xf>
    <xf numFmtId="165" fontId="0" fillId="0" borderId="0" xfId="0" applyNumberFormat="1" applyAlignment="1">
      <alignment wrapText="1"/>
    </xf>
    <xf numFmtId="0" fontId="0" fillId="0" borderId="2" xfId="0" applyBorder="1"/>
    <xf numFmtId="0" fontId="2" fillId="0" borderId="2" xfId="0" applyFont="1" applyBorder="1"/>
    <xf numFmtId="0" fontId="2" fillId="0" borderId="2" xfId="0" applyFont="1" applyBorder="1" applyAlignment="1">
      <alignment horizontal="right" wrapText="1"/>
    </xf>
    <xf numFmtId="0" fontId="0" fillId="0" borderId="2" xfId="0" applyBorder="1" applyAlignment="1">
      <alignment horizontal="right"/>
    </xf>
    <xf numFmtId="0" fontId="2" fillId="0" borderId="2" xfId="0" applyFont="1" applyBorder="1" applyAlignment="1">
      <alignment horizontal="right"/>
    </xf>
    <xf numFmtId="165" fontId="0" fillId="0" borderId="2" xfId="0" applyNumberFormat="1" applyBorder="1" applyAlignment="1">
      <alignment horizontal="right"/>
    </xf>
    <xf numFmtId="0" fontId="0" fillId="0" borderId="6" xfId="0" applyBorder="1" applyAlignment="1">
      <alignment horizontal="center"/>
    </xf>
    <xf numFmtId="0" fontId="2" fillId="0" borderId="13" xfId="0" applyFont="1" applyBorder="1"/>
    <xf numFmtId="0" fontId="21" fillId="0" borderId="0" xfId="0" applyFont="1" applyAlignment="1">
      <alignment horizontal="center"/>
    </xf>
    <xf numFmtId="0" fontId="22" fillId="0" borderId="0" xfId="0" applyFont="1"/>
    <xf numFmtId="0" fontId="0" fillId="0" borderId="9" xfId="0" applyBorder="1"/>
    <xf numFmtId="43" fontId="0" fillId="0" borderId="0" xfId="0" applyNumberFormat="1"/>
    <xf numFmtId="9" fontId="22" fillId="0" borderId="0" xfId="0" applyNumberFormat="1" applyFont="1"/>
    <xf numFmtId="165" fontId="2" fillId="0" borderId="2" xfId="0" applyNumberFormat="1" applyFont="1" applyBorder="1" applyAlignment="1">
      <alignment horizontal="right"/>
    </xf>
    <xf numFmtId="0" fontId="0" fillId="0" borderId="13" xfId="0" applyBorder="1" applyAlignment="1">
      <alignment horizontal="center"/>
    </xf>
    <xf numFmtId="165" fontId="0" fillId="0" borderId="13" xfId="0" applyNumberFormat="1" applyBorder="1" applyAlignment="1">
      <alignment horizontal="center"/>
    </xf>
    <xf numFmtId="0" fontId="0" fillId="0" borderId="13" xfId="0" applyBorder="1"/>
    <xf numFmtId="165" fontId="2" fillId="0" borderId="0" xfId="0" applyNumberFormat="1" applyFont="1" applyAlignment="1">
      <alignment wrapText="1"/>
    </xf>
    <xf numFmtId="0" fontId="0" fillId="0" borderId="3" xfId="0" applyBorder="1"/>
    <xf numFmtId="0" fontId="2" fillId="0" borderId="17" xfId="0" applyFont="1" applyBorder="1"/>
    <xf numFmtId="165" fontId="0" fillId="0" borderId="18" xfId="0" applyNumberFormat="1" applyBorder="1" applyAlignment="1">
      <alignment horizontal="center"/>
    </xf>
    <xf numFmtId="0" fontId="0" fillId="0" borderId="19" xfId="0" applyBorder="1"/>
    <xf numFmtId="0" fontId="2" fillId="3" borderId="2" xfId="0" applyFont="1" applyFill="1" applyBorder="1"/>
    <xf numFmtId="0" fontId="2" fillId="3" borderId="17" xfId="0" applyFont="1" applyFill="1" applyBorder="1"/>
    <xf numFmtId="0" fontId="2" fillId="3" borderId="0" xfId="0" applyFont="1" applyFill="1" applyAlignment="1">
      <alignment horizontal="center"/>
    </xf>
    <xf numFmtId="165" fontId="2" fillId="3" borderId="9" xfId="0" applyNumberFormat="1" applyFont="1" applyFill="1" applyBorder="1"/>
    <xf numFmtId="0" fontId="19" fillId="3" borderId="0" xfId="0" applyFont="1" applyFill="1"/>
    <xf numFmtId="165" fontId="13" fillId="3" borderId="0" xfId="0" applyNumberFormat="1" applyFont="1" applyFill="1"/>
    <xf numFmtId="0" fontId="19" fillId="3" borderId="9" xfId="0" applyFont="1" applyFill="1" applyBorder="1"/>
    <xf numFmtId="0" fontId="20" fillId="3" borderId="0" xfId="0" applyFont="1" applyFill="1"/>
    <xf numFmtId="165" fontId="2" fillId="3" borderId="1" xfId="0" applyNumberFormat="1" applyFont="1" applyFill="1" applyBorder="1"/>
    <xf numFmtId="0" fontId="18" fillId="0" borderId="4" xfId="0" applyFont="1" applyBorder="1"/>
    <xf numFmtId="0" fontId="18" fillId="0" borderId="4" xfId="0" applyFont="1" applyBorder="1" applyAlignment="1">
      <alignment wrapText="1"/>
    </xf>
    <xf numFmtId="0" fontId="2" fillId="3" borderId="0" xfId="0" applyFont="1" applyFill="1" applyAlignment="1">
      <alignment horizontal="left"/>
    </xf>
    <xf numFmtId="165" fontId="22" fillId="3" borderId="0" xfId="0" applyNumberFormat="1" applyFont="1" applyFill="1"/>
    <xf numFmtId="0" fontId="22" fillId="3" borderId="0" xfId="0" applyFont="1" applyFill="1"/>
    <xf numFmtId="0" fontId="18" fillId="0" borderId="0" xfId="0" applyFont="1"/>
    <xf numFmtId="0" fontId="9" fillId="3" borderId="1" xfId="0" applyFont="1" applyFill="1" applyBorder="1"/>
    <xf numFmtId="165" fontId="23" fillId="0" borderId="1" xfId="0" applyNumberFormat="1" applyFont="1" applyBorder="1"/>
    <xf numFmtId="165" fontId="23" fillId="3" borderId="1" xfId="0" applyNumberFormat="1" applyFont="1" applyFill="1" applyBorder="1"/>
    <xf numFmtId="43" fontId="0" fillId="3" borderId="0" xfId="0" applyNumberFormat="1" applyFill="1" applyAlignment="1">
      <alignment horizontal="center"/>
    </xf>
    <xf numFmtId="0" fontId="2" fillId="6" borderId="0" xfId="0" applyFont="1" applyFill="1" applyAlignment="1">
      <alignment horizontal="center"/>
    </xf>
    <xf numFmtId="166" fontId="2" fillId="3" borderId="0" xfId="0" applyNumberFormat="1" applyFont="1" applyFill="1" applyAlignment="1">
      <alignment horizontal="center"/>
    </xf>
    <xf numFmtId="0" fontId="18" fillId="0" borderId="0" xfId="0" applyFont="1" applyAlignment="1">
      <alignment wrapText="1"/>
    </xf>
    <xf numFmtId="0" fontId="0" fillId="3" borderId="20" xfId="0" applyFill="1" applyBorder="1"/>
    <xf numFmtId="0" fontId="0" fillId="0" borderId="10" xfId="0" applyBorder="1"/>
    <xf numFmtId="43" fontId="0" fillId="4" borderId="20" xfId="0" applyNumberFormat="1" applyFill="1" applyBorder="1" applyAlignment="1">
      <alignment horizontal="center"/>
    </xf>
    <xf numFmtId="165" fontId="0" fillId="0" borderId="13" xfId="0" applyNumberFormat="1" applyBorder="1"/>
    <xf numFmtId="165" fontId="2" fillId="0" borderId="13" xfId="0" applyNumberFormat="1" applyFont="1" applyBorder="1"/>
    <xf numFmtId="0" fontId="9" fillId="3" borderId="0" xfId="0" applyFont="1" applyFill="1"/>
    <xf numFmtId="0" fontId="24" fillId="3" borderId="0" xfId="0" applyFont="1" applyFill="1"/>
    <xf numFmtId="0" fontId="25" fillId="7" borderId="0" xfId="0" applyFont="1" applyFill="1"/>
    <xf numFmtId="0" fontId="26" fillId="7" borderId="0" xfId="0" applyFont="1" applyFill="1"/>
    <xf numFmtId="0" fontId="27" fillId="3" borderId="0" xfId="0" applyFont="1" applyFill="1"/>
    <xf numFmtId="0" fontId="28" fillId="3" borderId="0" xfId="0" applyFont="1" applyFill="1"/>
    <xf numFmtId="0" fontId="1" fillId="2" borderId="0" xfId="0" applyFont="1" applyFill="1" applyAlignment="1">
      <alignment horizontal="right"/>
    </xf>
    <xf numFmtId="0" fontId="0" fillId="3" borderId="0" xfId="0" applyFill="1" applyAlignment="1">
      <alignment horizontal="right"/>
    </xf>
    <xf numFmtId="0" fontId="5" fillId="3" borderId="0" xfId="0" applyFont="1" applyFill="1" applyAlignment="1">
      <alignment horizontal="right"/>
    </xf>
    <xf numFmtId="0" fontId="2" fillId="3" borderId="0" xfId="0" applyFont="1" applyFill="1" applyAlignment="1">
      <alignment horizontal="right"/>
    </xf>
    <xf numFmtId="9" fontId="5" fillId="3" borderId="0" xfId="0" applyNumberFormat="1" applyFont="1" applyFill="1" applyAlignment="1">
      <alignment horizontal="right"/>
    </xf>
    <xf numFmtId="0" fontId="26" fillId="7" borderId="0" xfId="0" applyFont="1" applyFill="1" applyAlignment="1">
      <alignment horizontal="right"/>
    </xf>
    <xf numFmtId="4" fontId="27" fillId="3" borderId="0" xfId="0" applyNumberFormat="1" applyFont="1" applyFill="1" applyAlignment="1">
      <alignment horizontal="right"/>
    </xf>
    <xf numFmtId="0" fontId="28" fillId="3" borderId="0" xfId="0" applyFont="1" applyFill="1" applyAlignment="1">
      <alignment horizontal="right"/>
    </xf>
    <xf numFmtId="165" fontId="0" fillId="0" borderId="2" xfId="0" applyNumberFormat="1" applyBorder="1"/>
    <xf numFmtId="165" fontId="0" fillId="0" borderId="3" xfId="0" applyNumberFormat="1" applyBorder="1"/>
    <xf numFmtId="0" fontId="21" fillId="0" borderId="0" xfId="0" applyFont="1" applyAlignment="1">
      <alignment horizontal="right"/>
    </xf>
    <xf numFmtId="165" fontId="13" fillId="0" borderId="2" xfId="0" applyNumberFormat="1" applyFont="1" applyBorder="1" applyAlignment="1">
      <alignment horizontal="right"/>
    </xf>
    <xf numFmtId="0" fontId="17" fillId="2" borderId="1" xfId="0" applyFont="1" applyFill="1" applyBorder="1" applyAlignment="1">
      <alignment horizontal="center"/>
    </xf>
    <xf numFmtId="0" fontId="30" fillId="0" borderId="2" xfId="0" applyFont="1" applyBorder="1"/>
    <xf numFmtId="165" fontId="0" fillId="0" borderId="19" xfId="0" applyNumberFormat="1" applyBorder="1"/>
    <xf numFmtId="165" fontId="0" fillId="0" borderId="18" xfId="0" applyNumberFormat="1" applyBorder="1"/>
    <xf numFmtId="0" fontId="17" fillId="3" borderId="21" xfId="0" applyFont="1" applyFill="1" applyBorder="1" applyAlignment="1">
      <alignment horizontal="center"/>
    </xf>
    <xf numFmtId="0" fontId="2" fillId="0" borderId="21" xfId="0" applyFont="1" applyBorder="1"/>
    <xf numFmtId="0" fontId="2" fillId="0" borderId="22" xfId="0" applyFont="1" applyBorder="1"/>
    <xf numFmtId="0" fontId="2" fillId="0" borderId="23" xfId="0" applyFont="1" applyBorder="1"/>
    <xf numFmtId="0" fontId="2" fillId="0" borderId="13" xfId="0" applyFont="1" applyBorder="1" applyAlignment="1">
      <alignment horizontal="center"/>
    </xf>
    <xf numFmtId="165" fontId="2" fillId="0" borderId="13" xfId="0" applyNumberFormat="1" applyFont="1" applyBorder="1" applyAlignment="1">
      <alignment horizontal="center"/>
    </xf>
    <xf numFmtId="0" fontId="8" fillId="0" borderId="0" xfId="0" applyFont="1"/>
    <xf numFmtId="0" fontId="0" fillId="0" borderId="9" xfId="0" applyBorder="1" applyAlignment="1">
      <alignment horizontal="center"/>
    </xf>
    <xf numFmtId="0" fontId="17" fillId="2" borderId="0" xfId="0" applyFont="1" applyFill="1" applyAlignment="1">
      <alignment horizontal="center"/>
    </xf>
    <xf numFmtId="9" fontId="29" fillId="0" borderId="0" xfId="0" applyNumberFormat="1" applyFont="1"/>
    <xf numFmtId="9" fontId="31" fillId="0" borderId="0" xfId="0" applyNumberFormat="1" applyFont="1"/>
    <xf numFmtId="43" fontId="11" fillId="0" borderId="0" xfId="0" applyNumberFormat="1" applyFont="1"/>
    <xf numFmtId="0" fontId="10" fillId="0" borderId="1" xfId="0" applyFont="1" applyBorder="1"/>
    <xf numFmtId="0" fontId="21" fillId="0" borderId="0" xfId="0" applyFont="1"/>
    <xf numFmtId="0" fontId="13" fillId="0" borderId="0" xfId="0" applyFont="1"/>
    <xf numFmtId="0" fontId="13" fillId="0" borderId="9" xfId="0" applyFont="1" applyBorder="1"/>
    <xf numFmtId="0" fontId="32" fillId="0" borderId="0" xfId="0" applyFont="1"/>
    <xf numFmtId="0" fontId="0" fillId="0" borderId="24" xfId="0" applyBorder="1" applyAlignment="1">
      <alignment horizontal="left"/>
    </xf>
    <xf numFmtId="0" fontId="17" fillId="2" borderId="25" xfId="0" applyFont="1" applyFill="1" applyBorder="1" applyAlignment="1">
      <alignment horizontal="center"/>
    </xf>
    <xf numFmtId="0" fontId="2" fillId="0" borderId="7" xfId="0" applyFont="1" applyBorder="1" applyAlignment="1">
      <alignment horizontal="left"/>
    </xf>
    <xf numFmtId="165" fontId="0" fillId="0" borderId="6" xfId="0" applyNumberFormat="1" applyBorder="1" applyAlignment="1">
      <alignment horizontal="center"/>
    </xf>
    <xf numFmtId="0" fontId="0" fillId="0" borderId="7" xfId="0" applyBorder="1" applyAlignment="1">
      <alignment horizontal="left"/>
    </xf>
    <xf numFmtId="0" fontId="2" fillId="0" borderId="5" xfId="0" applyFont="1" applyBorder="1" applyAlignment="1">
      <alignment horizontal="left"/>
    </xf>
    <xf numFmtId="165" fontId="0" fillId="0" borderId="8" xfId="0" applyNumberFormat="1" applyBorder="1" applyAlignment="1">
      <alignment horizontal="center"/>
    </xf>
    <xf numFmtId="0" fontId="0" fillId="3" borderId="0" xfId="0" applyFill="1" applyAlignment="1">
      <alignment horizontal="center"/>
    </xf>
    <xf numFmtId="0" fontId="18" fillId="0" borderId="9" xfId="0" applyFont="1" applyBorder="1"/>
    <xf numFmtId="165" fontId="23" fillId="3" borderId="9" xfId="0" applyNumberFormat="1" applyFont="1" applyFill="1" applyBorder="1"/>
    <xf numFmtId="0" fontId="2" fillId="3" borderId="3" xfId="0" applyFont="1" applyFill="1" applyBorder="1"/>
    <xf numFmtId="0" fontId="2" fillId="3" borderId="2" xfId="0" applyFont="1" applyFill="1" applyBorder="1" applyAlignment="1">
      <alignment wrapText="1"/>
    </xf>
    <xf numFmtId="0" fontId="0" fillId="3" borderId="9" xfId="0" applyFill="1" applyBorder="1"/>
    <xf numFmtId="9" fontId="0" fillId="3" borderId="9" xfId="0" applyNumberFormat="1" applyFill="1" applyBorder="1" applyAlignment="1">
      <alignment horizontal="right"/>
    </xf>
    <xf numFmtId="165" fontId="6" fillId="3" borderId="0" xfId="0" applyNumberFormat="1" applyFont="1" applyFill="1"/>
    <xf numFmtId="0" fontId="0" fillId="3" borderId="1" xfId="0" applyFill="1" applyBorder="1"/>
    <xf numFmtId="0" fontId="33" fillId="3" borderId="1" xfId="0" applyFont="1" applyFill="1" applyBorder="1"/>
    <xf numFmtId="0" fontId="33" fillId="3" borderId="0" xfId="0" applyFont="1" applyFill="1"/>
    <xf numFmtId="0" fontId="2" fillId="8" borderId="0" xfId="0" applyFont="1" applyFill="1"/>
    <xf numFmtId="0" fontId="0" fillId="8" borderId="0" xfId="0" applyFill="1"/>
    <xf numFmtId="165" fontId="0" fillId="8" borderId="0" xfId="0" applyNumberFormat="1" applyFill="1"/>
    <xf numFmtId="165" fontId="2" fillId="8" borderId="1" xfId="0" applyNumberFormat="1" applyFont="1" applyFill="1" applyBorder="1"/>
    <xf numFmtId="0" fontId="10" fillId="3" borderId="0" xfId="0" applyFont="1" applyFill="1"/>
    <xf numFmtId="0" fontId="21" fillId="3" borderId="1" xfId="0" applyFont="1" applyFill="1" applyBorder="1"/>
    <xf numFmtId="0" fontId="0" fillId="3" borderId="1" xfId="0" applyFill="1" applyBorder="1" applyAlignment="1">
      <alignment horizontal="center"/>
    </xf>
    <xf numFmtId="0" fontId="35" fillId="3" borderId="0" xfId="0" applyFont="1" applyFill="1"/>
    <xf numFmtId="0" fontId="21" fillId="4" borderId="0" xfId="0" applyFont="1" applyFill="1"/>
    <xf numFmtId="0" fontId="27" fillId="3" borderId="2" xfId="0" applyFont="1" applyFill="1" applyBorder="1"/>
    <xf numFmtId="9" fontId="28" fillId="3" borderId="13" xfId="0" applyNumberFormat="1" applyFont="1" applyFill="1" applyBorder="1" applyAlignment="1">
      <alignment horizontal="right"/>
    </xf>
    <xf numFmtId="0" fontId="28" fillId="3" borderId="2" xfId="0" applyFont="1" applyFill="1" applyBorder="1"/>
    <xf numFmtId="0" fontId="27" fillId="0" borderId="17" xfId="0" applyFont="1" applyBorder="1"/>
    <xf numFmtId="0" fontId="27" fillId="3" borderId="2" xfId="0" applyFont="1" applyFill="1" applyBorder="1" applyAlignment="1">
      <alignment horizontal="center" wrapText="1"/>
    </xf>
    <xf numFmtId="0" fontId="27" fillId="3" borderId="0" xfId="0" applyFont="1" applyFill="1" applyAlignment="1">
      <alignment horizontal="center" wrapText="1"/>
    </xf>
    <xf numFmtId="0" fontId="27" fillId="3" borderId="13" xfId="0" applyFont="1" applyFill="1" applyBorder="1" applyAlignment="1">
      <alignment horizontal="center"/>
    </xf>
    <xf numFmtId="9" fontId="28" fillId="3" borderId="18" xfId="0" applyNumberFormat="1" applyFont="1" applyFill="1" applyBorder="1" applyAlignment="1">
      <alignment horizontal="right"/>
    </xf>
    <xf numFmtId="168" fontId="0" fillId="3" borderId="13" xfId="0" applyNumberFormat="1" applyFill="1" applyBorder="1"/>
    <xf numFmtId="168" fontId="2" fillId="3" borderId="18" xfId="0" applyNumberFormat="1" applyFont="1" applyFill="1" applyBorder="1"/>
    <xf numFmtId="168" fontId="2" fillId="3" borderId="19" xfId="0" applyNumberFormat="1" applyFont="1" applyFill="1" applyBorder="1"/>
    <xf numFmtId="168" fontId="2" fillId="5" borderId="13" xfId="0" applyNumberFormat="1" applyFont="1" applyFill="1" applyBorder="1"/>
    <xf numFmtId="0" fontId="34" fillId="8" borderId="0" xfId="0" applyFont="1" applyFill="1"/>
    <xf numFmtId="168" fontId="28" fillId="3" borderId="9" xfId="0" applyNumberFormat="1" applyFont="1" applyFill="1" applyBorder="1" applyAlignment="1">
      <alignment horizontal="right"/>
    </xf>
    <xf numFmtId="168" fontId="28" fillId="3" borderId="0" xfId="0" applyNumberFormat="1" applyFont="1" applyFill="1" applyAlignment="1">
      <alignment horizontal="right"/>
    </xf>
    <xf numFmtId="0" fontId="13" fillId="3" borderId="0" xfId="0" applyFont="1" applyFill="1"/>
    <xf numFmtId="0" fontId="13" fillId="3" borderId="0" xfId="0" applyFont="1" applyFill="1" applyAlignment="1">
      <alignment horizontal="center"/>
    </xf>
    <xf numFmtId="0" fontId="21" fillId="0" borderId="2" xfId="0" applyFont="1" applyBorder="1"/>
    <xf numFmtId="0" fontId="21" fillId="0" borderId="13" xfId="0" applyFont="1" applyBorder="1"/>
    <xf numFmtId="17" fontId="21" fillId="0" borderId="2" xfId="0" applyNumberFormat="1" applyFont="1" applyBorder="1"/>
    <xf numFmtId="166" fontId="21" fillId="0" borderId="0" xfId="0" applyNumberFormat="1" applyFont="1"/>
    <xf numFmtId="43" fontId="21" fillId="0" borderId="13" xfId="0" applyNumberFormat="1" applyFont="1" applyBorder="1"/>
    <xf numFmtId="0" fontId="21" fillId="0" borderId="14" xfId="0" applyFont="1" applyBorder="1"/>
    <xf numFmtId="0" fontId="21" fillId="0" borderId="15" xfId="0" applyFont="1" applyBorder="1"/>
    <xf numFmtId="166" fontId="21" fillId="0" borderId="15" xfId="0" applyNumberFormat="1" applyFont="1" applyBorder="1"/>
    <xf numFmtId="0" fontId="21" fillId="0" borderId="15" xfId="0" applyFont="1" applyBorder="1" applyAlignment="1">
      <alignment horizontal="center"/>
    </xf>
    <xf numFmtId="43" fontId="21" fillId="0" borderId="16" xfId="0" applyNumberFormat="1" applyFont="1" applyBorder="1"/>
    <xf numFmtId="43" fontId="21" fillId="0" borderId="0" xfId="0" applyNumberFormat="1" applyFont="1"/>
    <xf numFmtId="0" fontId="5" fillId="3" borderId="2" xfId="0" applyFont="1" applyFill="1" applyBorder="1" applyAlignment="1">
      <alignment horizontal="left"/>
    </xf>
    <xf numFmtId="168" fontId="15" fillId="3" borderId="13" xfId="0" applyNumberFormat="1" applyFont="1" applyFill="1" applyBorder="1" applyAlignment="1">
      <alignment horizontal="left"/>
    </xf>
    <xf numFmtId="0" fontId="5" fillId="3" borderId="17" xfId="0" applyFont="1" applyFill="1" applyBorder="1" applyAlignment="1">
      <alignment horizontal="left"/>
    </xf>
    <xf numFmtId="168" fontId="15" fillId="3" borderId="18" xfId="0" applyNumberFormat="1" applyFont="1" applyFill="1" applyBorder="1" applyAlignment="1">
      <alignment horizontal="left"/>
    </xf>
    <xf numFmtId="9" fontId="0" fillId="3" borderId="0" xfId="0" applyNumberFormat="1" applyFill="1"/>
    <xf numFmtId="0" fontId="37" fillId="2" borderId="0" xfId="0" applyFont="1" applyFill="1"/>
    <xf numFmtId="0" fontId="37" fillId="2" borderId="0" xfId="0" applyFont="1" applyFill="1" applyAlignment="1">
      <alignment horizontal="right"/>
    </xf>
    <xf numFmtId="164" fontId="39" fillId="2" borderId="0" xfId="0" applyNumberFormat="1" applyFont="1" applyFill="1" applyAlignment="1">
      <alignment horizontal="center"/>
    </xf>
    <xf numFmtId="0" fontId="36" fillId="2" borderId="3" xfId="0" applyFont="1" applyFill="1" applyBorder="1" applyAlignment="1">
      <alignment horizontal="center"/>
    </xf>
    <xf numFmtId="0" fontId="36" fillId="2" borderId="1" xfId="0" applyFont="1" applyFill="1" applyBorder="1" applyAlignment="1">
      <alignment horizontal="center"/>
    </xf>
    <xf numFmtId="0" fontId="36" fillId="2" borderId="19" xfId="0" applyFont="1" applyFill="1" applyBorder="1" applyAlignment="1">
      <alignment horizontal="center"/>
    </xf>
    <xf numFmtId="0" fontId="0" fillId="0" borderId="0" xfId="0" applyAlignment="1">
      <alignment horizontal="left" wrapText="1"/>
    </xf>
    <xf numFmtId="0" fontId="13" fillId="8" borderId="0" xfId="0" applyFont="1" applyFill="1" applyAlignment="1">
      <alignment horizontal="center"/>
    </xf>
    <xf numFmtId="0" fontId="13" fillId="8" borderId="0" xfId="0" applyFont="1" applyFill="1" applyAlignment="1">
      <alignment horizontal="center" vertical="center" wrapText="1"/>
    </xf>
    <xf numFmtId="0" fontId="17" fillId="2" borderId="3"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21" fillId="3" borderId="10" xfId="0" applyFont="1" applyFill="1" applyBorder="1" applyAlignment="1">
      <alignment horizontal="center"/>
    </xf>
    <xf numFmtId="0" fontId="21" fillId="3" borderId="11" xfId="0" applyFont="1" applyFill="1" applyBorder="1" applyAlignment="1">
      <alignment horizontal="center"/>
    </xf>
    <xf numFmtId="0" fontId="21" fillId="3" borderId="12" xfId="0" applyFont="1" applyFill="1" applyBorder="1" applyAlignment="1">
      <alignment horizontal="center"/>
    </xf>
  </cellXfs>
  <cellStyles count="2">
    <cellStyle name="Hyperlink" xfId="1" builtinId="8"/>
    <cellStyle name="Normal" xfId="0" builtinId="0"/>
  </cellStyles>
  <dxfs count="31">
    <dxf>
      <font>
        <b/>
      </font>
      <numFmt numFmtId="166" formatCode="_(* #,##0_);_(* \(#,##0\);_(* &quot;-&quot;??_);_(@_)"/>
      <fill>
        <patternFill patternType="solid">
          <fgColor indexed="64"/>
          <bgColor theme="0"/>
        </patternFill>
      </fill>
      <alignment horizontal="center" vertical="bottom" textRotation="0" wrapText="0" indent="0" justifyLastLine="0" shrinkToFit="0" readingOrder="0"/>
    </dxf>
    <dxf>
      <font>
        <b/>
      </font>
      <numFmt numFmtId="166" formatCode="_(* #,##0_);_(* \(#,##0\);_(* &quot;-&quot;??_);_(@_)"/>
      <fill>
        <patternFill patternType="solid">
          <fgColor indexed="64"/>
          <bgColor theme="0"/>
        </patternFill>
      </fill>
      <alignment horizontal="center" vertical="bottom" textRotation="0" wrapText="0" indent="0" justifyLastLine="0" shrinkToFit="0" readingOrder="0"/>
    </dxf>
    <dxf>
      <font>
        <b/>
      </font>
      <numFmt numFmtId="166" formatCode="_(* #,##0_);_(* \(#,##0\);_(* &quot;-&quot;??_);_(@_)"/>
      <fill>
        <patternFill patternType="solid">
          <fgColor indexed="64"/>
          <bgColor theme="0"/>
        </patternFill>
      </fill>
      <alignment horizontal="center" vertical="bottom" textRotation="0" wrapText="0" indent="0" justifyLastLine="0" shrinkToFit="0" readingOrder="0"/>
    </dxf>
    <dxf>
      <font>
        <b/>
      </font>
      <fill>
        <patternFill patternType="solid">
          <fgColor indexed="64"/>
          <bgColor theme="3"/>
        </patternFill>
      </fill>
      <alignment horizontal="center" vertical="bottom" textRotation="0" wrapText="0" indent="0" justifyLastLine="0" shrinkToFit="0" readingOrder="0"/>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000000"/>
                </a:solidFill>
                <a:latin typeface="+mn-lt"/>
                <a:ea typeface="+mn-ea"/>
                <a:cs typeface="+mn-cs"/>
              </a:defRPr>
            </a:pPr>
            <a:r>
              <a:rPr lang="en-US"/>
              <a:t>TMIX Profit &amp;Loss PR1</a:t>
            </a:r>
            <a:r>
              <a:rPr lang="en-US" baseline="0"/>
              <a:t> </a:t>
            </a:r>
            <a:r>
              <a:rPr lang="en-US"/>
              <a:t>2024</a:t>
            </a:r>
          </a:p>
        </c:rich>
      </c:tx>
      <c:overlay val="0"/>
      <c:spPr>
        <a:solidFill>
          <a:srgbClr val="FFFFFF"/>
        </a:solidFill>
        <a:ln>
          <a:noFill/>
        </a:ln>
        <a:effectLst/>
      </c:spPr>
      <c:txPr>
        <a:bodyPr rot="0" spcFirstLastPara="1" vertOverflow="ellipsis" vert="horz" wrap="square" anchor="ctr" anchorCtr="1"/>
        <a:lstStyle/>
        <a:p>
          <a:pPr>
            <a:defRPr sz="1400" b="0" i="0" u="none" strike="noStrike" kern="1200" spc="0" baseline="0">
              <a:solidFill>
                <a:srgbClr val="000000"/>
              </a:solidFill>
              <a:latin typeface="+mn-lt"/>
              <a:ea typeface="+mn-ea"/>
              <a:cs typeface="+mn-cs"/>
            </a:defRPr>
          </a:pPr>
          <a:endParaRPr lang="en-US"/>
        </a:p>
      </c:txPr>
    </c:title>
    <c:autoTitleDeleted val="0"/>
    <c:plotArea>
      <c:layout/>
      <c:areaChart>
        <c:grouping val="stacked"/>
        <c:varyColors val="0"/>
        <c:ser>
          <c:idx val="0"/>
          <c:order val="0"/>
          <c:tx>
            <c:v>USD</c:v>
          </c:tx>
          <c:spPr>
            <a:solidFill>
              <a:srgbClr val="D9E1F2"/>
            </a:solidFill>
            <a:ln>
              <a:noFill/>
            </a:ln>
            <a:effectLst/>
          </c:spPr>
          <c:cat>
            <c:strRef>
              <c:f>'P&amp;L TMIX'!$D$3:$I$3</c:f>
              <c:strCache>
                <c:ptCount val="6"/>
                <c:pt idx="0">
                  <c:v>Year 1</c:v>
                </c:pt>
                <c:pt idx="1">
                  <c:v>Year 2</c:v>
                </c:pt>
                <c:pt idx="2">
                  <c:v>Year 3</c:v>
                </c:pt>
                <c:pt idx="3">
                  <c:v>Year 4</c:v>
                </c:pt>
                <c:pt idx="4">
                  <c:v>Year 5</c:v>
                </c:pt>
                <c:pt idx="5">
                  <c:v>Year 6</c:v>
                </c:pt>
              </c:strCache>
            </c:strRef>
          </c:cat>
          <c:val>
            <c:numRef>
              <c:f>'P&amp;L TMIX'!$D$32:$I$32</c:f>
              <c:numCache>
                <c:formatCode>_([$$-409]* #,##0.00_);_([$$-409]* \(#,##0.00\);_([$$-409]* "-"??_);_(@_)</c:formatCode>
                <c:ptCount val="6"/>
                <c:pt idx="0">
                  <c:v>-553508.01177323167</c:v>
                </c:pt>
                <c:pt idx="1">
                  <c:v>-1108692.7979025282</c:v>
                </c:pt>
                <c:pt idx="2">
                  <c:v>-975367.29700239678</c:v>
                </c:pt>
                <c:pt idx="3">
                  <c:v>-903055.92121274769</c:v>
                </c:pt>
                <c:pt idx="4">
                  <c:v>-621096.39633834385</c:v>
                </c:pt>
                <c:pt idx="5">
                  <c:v>8225885.4677029522</c:v>
                </c:pt>
              </c:numCache>
            </c:numRef>
          </c:val>
          <c:extLst>
            <c:ext xmlns:c16="http://schemas.microsoft.com/office/drawing/2014/chart" uri="{C3380CC4-5D6E-409C-BE32-E72D297353CC}">
              <c16:uniqueId val="{00000001-CEB6-43DD-AFAF-E830F25DB3FC}"/>
            </c:ext>
          </c:extLst>
        </c:ser>
        <c:dLbls>
          <c:showLegendKey val="0"/>
          <c:showVal val="0"/>
          <c:showCatName val="0"/>
          <c:showSerName val="0"/>
          <c:showPercent val="0"/>
          <c:showBubbleSize val="0"/>
        </c:dLbls>
        <c:axId val="687716871"/>
        <c:axId val="687724039"/>
      </c:areaChart>
      <c:catAx>
        <c:axId val="68771687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7724039"/>
        <c:crosses val="autoZero"/>
        <c:auto val="1"/>
        <c:lblAlgn val="ctr"/>
        <c:lblOffset val="100"/>
        <c:noMultiLvlLbl val="0"/>
      </c:catAx>
      <c:valAx>
        <c:axId val="687724039"/>
        <c:scaling>
          <c:orientation val="minMax"/>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771687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000000"/>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352425</xdr:colOff>
      <xdr:row>35</xdr:row>
      <xdr:rowOff>57150</xdr:rowOff>
    </xdr:from>
    <xdr:to>
      <xdr:col>7</xdr:col>
      <xdr:colOff>2038350</xdr:colOff>
      <xdr:row>52</xdr:row>
      <xdr:rowOff>95250</xdr:rowOff>
    </xdr:to>
    <xdr:graphicFrame macro="">
      <xdr:nvGraphicFramePr>
        <xdr:cNvPr id="4" name="Chart 3">
          <a:extLst>
            <a:ext uri="{FF2B5EF4-FFF2-40B4-BE49-F238E27FC236}">
              <a16:creationId xmlns:a16="http://schemas.microsoft.com/office/drawing/2014/main" id="{9206CFEE-4493-2F15-4AAC-DFF5AF0BCD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238125</xdr:colOff>
      <xdr:row>0</xdr:row>
      <xdr:rowOff>57150</xdr:rowOff>
    </xdr:from>
    <xdr:to>
      <xdr:col>38</xdr:col>
      <xdr:colOff>542925</xdr:colOff>
      <xdr:row>8</xdr:row>
      <xdr:rowOff>9525</xdr:rowOff>
    </xdr:to>
    <xdr:pic>
      <xdr:nvPicPr>
        <xdr:cNvPr id="2" name="Picture 1">
          <a:extLst>
            <a:ext uri="{FF2B5EF4-FFF2-40B4-BE49-F238E27FC236}">
              <a16:creationId xmlns:a16="http://schemas.microsoft.com/office/drawing/2014/main" id="{B681885E-B069-C9AF-7366-3620FCBC6D5B}"/>
            </a:ext>
          </a:extLst>
        </xdr:cNvPr>
        <xdr:cNvPicPr>
          <a:picLocks noChangeAspect="1"/>
        </xdr:cNvPicPr>
      </xdr:nvPicPr>
      <xdr:blipFill>
        <a:blip xmlns:r="http://schemas.openxmlformats.org/officeDocument/2006/relationships" r:embed="rId1"/>
        <a:stretch>
          <a:fillRect/>
        </a:stretch>
      </xdr:blipFill>
      <xdr:spPr>
        <a:xfrm>
          <a:off x="10801350" y="57150"/>
          <a:ext cx="4572000" cy="1676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DC50A25-FF0B-499E-B7A9-EA82763837C6}" name="Table2" displayName="Table2" ref="B5:C6" totalsRowShown="0" headerRowDxfId="3" dataDxfId="2">
  <autoFilter ref="B5:C6" xr:uid="{CDC50A25-FF0B-499E-B7A9-EA82763837C6}"/>
  <tableColumns count="2">
    <tableColumn id="2" xr3:uid="{E226165E-EC8E-40F1-9BCF-6EDF197EAA13}" name="2024" dataDxfId="1">
      <calculatedColumnFormula>+D14</calculatedColumnFormula>
    </tableColumn>
    <tableColumn id="3" xr3:uid="{52DADBA8-F06F-4195-BFF8-FC6FDE072203}" name="Total Vers 2019-2024" dataDxfId="0">
      <calculatedColumnFormula>+Table2[[#This Row],[2024]]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hyperlink" Target="../../../../../:x:/r/sites/CO2OL_TropicalMix/_layouts/15/Doc.aspx?sourcedoc=%7B605A794F-2F4B-4FF0-848C-A854F33A03FF%7D&amp;file=TMIX%20OFN%20QB%20ST%20%26%20EC(1).xlsx&amp;action=default&amp;mobileredirect=true"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x:/r/sites/CO2OL_TropicalMix/_layouts/15/Doc.aspx?sourcedoc=%7B605A794F-2F4B-4FF0-848C-A854F33A03FF%7D&amp;file=TMIX%20OFN%20QB%20ST%20%26%20EC(1).xlsx&amp;action=default&amp;mobileredirect=true"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Forms/AllItems.aspx?id=%2Fsites%2FCO2OL%5FTropicalMix%2FShared%20Documents%2F07%5FMR%5F2024%2F05%5FSustainCERT%5FReview%2F1%5FRound%2F2%5FAnswers%2DRound%2D1%2FFinancial%20Additionality%2FPlan%20Estrat%C3%A9gico%5FBDM%5F2024%5F01%5F20240109%2Epdf&amp;viewid=a6b84a2e%2D5736%2D4103%2Dbaee%2D5fbb8bbe5b84&amp;parent=%2Fsites%2FCO2OL%5FTropicalMix%2FShared%20Documents%2F07%5FMR%5F2024%2F05%5FSustainCERT%5FReview%2F1%5FRound%2F2%5FAnswers%2DRound%2D1%2FFinancial%20Additionality"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x:/r/sites/CO2OL_TropicalMix/_layouts/15/Doc.aspx?sourcedoc=%7B605A794F-2F4B-4FF0-848C-A854F33A03FF%7D&amp;file=TMIX%20OFN%20QB%20ST%20%26%20EC(1).xlsx&amp;action=default&amp;mobileredirect=true"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Forms/AllItems.aspx?id=%2Fsites%2FCO2OL%5FTropicalMix%2FShared%20Documents%2F07%5FMR%5F2024%2F05%5FSustainCERT%5FReview%2F1%5FRound%2F2%5FAnswers%2DRound%2D1%2FFinancial%20Additionality%2FTMIX%2EPL%2EFoFi%2EPma%2E03%2E12%2E24%2Epdf&amp;viewid=a6b84a2e%2D5736%2D4103%2Dbaee%2D5fbb8bbe5b84&amp;parent=%2Fsites%2FCO2OL%5FTropicalMix%2FShared%20Documents%2F07%5FMR%5F2024%2F05%5FSustainCERT%5FReview%2F1%5FRound%2F2%5FAnswers%2DRound%2D1%2FFinancial%20Additionali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6CEF5-E7CE-4A60-83E8-20672CD042FA}">
  <sheetPr>
    <tabColor theme="4"/>
  </sheetPr>
  <dimension ref="B3:H22"/>
  <sheetViews>
    <sheetView workbookViewId="0">
      <selection activeCell="U14" sqref="U14"/>
    </sheetView>
  </sheetViews>
  <sheetFormatPr defaultColWidth="9.140625" defaultRowHeight="15"/>
  <cols>
    <col min="1" max="5" width="9.140625" style="3"/>
    <col min="6" max="6" width="24.140625" style="3" customWidth="1"/>
    <col min="7" max="16384" width="9.140625" style="3"/>
  </cols>
  <sheetData>
    <row r="3" spans="2:8">
      <c r="B3" s="8" t="s">
        <v>0</v>
      </c>
    </row>
    <row r="4" spans="2:8">
      <c r="B4" s="8" t="s">
        <v>1</v>
      </c>
      <c r="C4" s="8" t="s">
        <v>2</v>
      </c>
      <c r="D4" s="8"/>
      <c r="E4" s="8"/>
      <c r="F4" s="8" t="s">
        <v>3</v>
      </c>
      <c r="H4" s="8"/>
    </row>
    <row r="5" spans="2:8">
      <c r="B5" s="8" t="s">
        <v>4</v>
      </c>
      <c r="C5" s="8" t="s">
        <v>5</v>
      </c>
      <c r="D5" s="8"/>
      <c r="E5" s="8"/>
      <c r="F5" s="8" t="s">
        <v>6</v>
      </c>
    </row>
    <row r="6" spans="2:8">
      <c r="B6" s="8" t="s">
        <v>7</v>
      </c>
      <c r="C6" s="8" t="s">
        <v>8</v>
      </c>
      <c r="D6" s="8"/>
      <c r="E6" s="8"/>
      <c r="F6" s="8" t="s">
        <v>6</v>
      </c>
    </row>
    <row r="7" spans="2:8">
      <c r="B7" s="8" t="s">
        <v>9</v>
      </c>
      <c r="C7" s="8" t="s">
        <v>10</v>
      </c>
      <c r="D7" s="8"/>
      <c r="E7" s="8"/>
      <c r="F7" s="8" t="s">
        <v>11</v>
      </c>
    </row>
    <row r="8" spans="2:8">
      <c r="B8" s="8" t="s">
        <v>12</v>
      </c>
      <c r="C8" s="8" t="s">
        <v>13</v>
      </c>
      <c r="D8" s="8"/>
      <c r="E8" s="8"/>
      <c r="F8" s="8" t="s">
        <v>11</v>
      </c>
    </row>
    <row r="9" spans="2:8">
      <c r="B9" s="8" t="s">
        <v>14</v>
      </c>
      <c r="C9" s="8" t="s">
        <v>15</v>
      </c>
      <c r="D9" s="8"/>
      <c r="E9" s="8"/>
      <c r="F9" s="8" t="s">
        <v>6</v>
      </c>
    </row>
    <row r="10" spans="2:8">
      <c r="F10" s="100"/>
    </row>
    <row r="12" spans="2:8">
      <c r="B12" s="8" t="s">
        <v>3</v>
      </c>
    </row>
    <row r="13" spans="2:8">
      <c r="B13" s="3" t="s">
        <v>16</v>
      </c>
    </row>
    <row r="15" spans="2:8">
      <c r="B15" s="8" t="s">
        <v>17</v>
      </c>
    </row>
    <row r="16" spans="2:8">
      <c r="B16" s="3" t="s">
        <v>18</v>
      </c>
    </row>
    <row r="17" spans="2:2">
      <c r="B17" s="3" t="s">
        <v>19</v>
      </c>
    </row>
    <row r="18" spans="2:2">
      <c r="B18" s="3" t="s">
        <v>20</v>
      </c>
    </row>
    <row r="20" spans="2:2">
      <c r="B20" s="8" t="s">
        <v>21</v>
      </c>
    </row>
    <row r="21" spans="2:2">
      <c r="B21" s="3" t="s">
        <v>22</v>
      </c>
    </row>
    <row r="22" spans="2:2">
      <c r="B22" s="3" t="s">
        <v>23</v>
      </c>
    </row>
  </sheetData>
  <sheetProtection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146C-A482-4F12-9254-7B948A8EE219}">
  <sheetPr>
    <tabColor rgb="FF002060"/>
  </sheetPr>
  <dimension ref="A1:W59"/>
  <sheetViews>
    <sheetView workbookViewId="0">
      <selection activeCell="I8" sqref="I8"/>
    </sheetView>
  </sheetViews>
  <sheetFormatPr defaultRowHeight="15" customHeight="1"/>
  <cols>
    <col min="1" max="1" width="9.140625" style="3"/>
    <col min="2" max="2" width="35" customWidth="1"/>
    <col min="3" max="3" width="25.7109375" customWidth="1"/>
    <col min="4" max="4" width="26.7109375" customWidth="1"/>
    <col min="5" max="5" width="16.85546875" style="30" customWidth="1"/>
    <col min="6" max="6" width="23.140625" customWidth="1"/>
    <col min="7" max="7" width="14.140625" bestFit="1" customWidth="1"/>
    <col min="8" max="8" width="7.28515625" customWidth="1"/>
    <col min="9" max="9" width="17" customWidth="1"/>
    <col min="10" max="10" width="15.140625" style="3" customWidth="1"/>
    <col min="11" max="23" width="9.140625" style="3"/>
  </cols>
  <sheetData>
    <row r="1" spans="2:23" s="3" customFormat="1">
      <c r="E1" s="145"/>
    </row>
    <row r="2" spans="2:23">
      <c r="B2" s="3"/>
      <c r="C2" s="3"/>
      <c r="D2" s="3"/>
      <c r="E2" s="145"/>
      <c r="F2" s="3"/>
      <c r="G2" s="3"/>
      <c r="H2" s="3"/>
      <c r="I2" s="3"/>
    </row>
    <row r="3" spans="2:23" ht="18.75">
      <c r="B3" s="78" t="s">
        <v>171</v>
      </c>
      <c r="C3" s="3"/>
      <c r="D3" s="3"/>
      <c r="E3" s="145"/>
      <c r="F3" s="3"/>
      <c r="G3" s="3"/>
      <c r="H3" s="96"/>
      <c r="I3" s="95" t="s">
        <v>172</v>
      </c>
      <c r="J3" s="94" t="s">
        <v>173</v>
      </c>
    </row>
    <row r="4" spans="2:23" ht="18.75">
      <c r="B4" s="76"/>
      <c r="C4" s="3"/>
      <c r="D4" s="3"/>
      <c r="E4" s="145"/>
      <c r="F4" s="3"/>
      <c r="G4" s="3"/>
      <c r="H4" s="90"/>
      <c r="I4" s="3"/>
    </row>
    <row r="5" spans="2:23">
      <c r="B5" s="91" t="s">
        <v>174</v>
      </c>
      <c r="C5" s="91" t="s">
        <v>175</v>
      </c>
      <c r="D5" s="145"/>
      <c r="E5" s="3"/>
      <c r="F5" s="3"/>
      <c r="G5" s="90"/>
      <c r="H5" s="3"/>
      <c r="I5" s="3"/>
      <c r="W5"/>
    </row>
    <row r="6" spans="2:23">
      <c r="B6" s="92">
        <f>+D14</f>
        <v>457946.98086425988</v>
      </c>
      <c r="C6" s="92">
        <f>+Table2[[#This Row],[2024]]</f>
        <v>457946.98086425988</v>
      </c>
      <c r="D6" s="145"/>
      <c r="E6" s="3"/>
      <c r="F6" s="3"/>
      <c r="G6" s="90"/>
      <c r="H6" s="3"/>
      <c r="I6" s="3"/>
      <c r="W6"/>
    </row>
    <row r="7" spans="2:23" ht="18.75">
      <c r="B7" s="76"/>
      <c r="C7" s="3"/>
      <c r="D7" s="3"/>
      <c r="E7" s="145"/>
      <c r="F7" s="3"/>
      <c r="G7" s="3"/>
      <c r="H7" s="90"/>
      <c r="I7" s="3"/>
    </row>
    <row r="8" spans="2:23">
      <c r="B8" s="3"/>
      <c r="C8" s="3"/>
      <c r="D8" s="3"/>
      <c r="E8" s="145"/>
      <c r="F8" s="3"/>
      <c r="G8" s="3"/>
      <c r="H8" s="90"/>
      <c r="I8" s="3"/>
    </row>
    <row r="9" spans="2:23" s="3" customFormat="1">
      <c r="E9" s="145"/>
      <c r="H9" s="90"/>
    </row>
    <row r="10" spans="2:23" s="3" customFormat="1">
      <c r="E10" s="145"/>
      <c r="H10" s="90"/>
    </row>
    <row r="11" spans="2:23" s="3" customFormat="1">
      <c r="B11" s="209" t="s">
        <v>176</v>
      </c>
      <c r="C11" s="210"/>
      <c r="D11" s="210"/>
      <c r="E11" s="210"/>
      <c r="F11" s="211"/>
      <c r="H11" s="90"/>
    </row>
    <row r="12" spans="2:23" s="3" customFormat="1">
      <c r="B12" s="182" t="s">
        <v>177</v>
      </c>
      <c r="C12" s="134" t="s">
        <v>178</v>
      </c>
      <c r="D12" s="134" t="s">
        <v>179</v>
      </c>
      <c r="E12" s="58" t="s">
        <v>180</v>
      </c>
      <c r="F12" s="183" t="s">
        <v>181</v>
      </c>
    </row>
    <row r="13" spans="2:23" s="3" customFormat="1">
      <c r="B13" s="184">
        <v>45689</v>
      </c>
      <c r="C13" s="134" t="s">
        <v>182</v>
      </c>
      <c r="D13" s="185">
        <v>457946.98086425988</v>
      </c>
      <c r="E13" s="58">
        <v>21</v>
      </c>
      <c r="F13" s="186">
        <f>+D13*E13</f>
        <v>9616886.5981494579</v>
      </c>
    </row>
    <row r="14" spans="2:23" s="3" customFormat="1">
      <c r="B14" s="187"/>
      <c r="C14" s="188"/>
      <c r="D14" s="189">
        <f>SUM(D13:D13)</f>
        <v>457946.98086425988</v>
      </c>
      <c r="E14" s="190"/>
      <c r="F14" s="191">
        <f>SUM(F13:F13)</f>
        <v>9616886.5981494579</v>
      </c>
    </row>
    <row r="15" spans="2:23" s="3" customFormat="1">
      <c r="B15" s="134"/>
      <c r="C15" s="134"/>
      <c r="D15" s="185"/>
      <c r="E15" s="58"/>
      <c r="F15" s="192"/>
    </row>
    <row r="16" spans="2:23" s="3" customFormat="1">
      <c r="E16" s="145"/>
    </row>
    <row r="17" spans="2:5" s="153" customFormat="1" ht="14.25" customHeight="1">
      <c r="B17" s="161" t="s">
        <v>183</v>
      </c>
      <c r="E17" s="162"/>
    </row>
    <row r="18" spans="2:5" s="3" customFormat="1">
      <c r="B18" s="160" t="s">
        <v>184</v>
      </c>
      <c r="E18" s="145"/>
    </row>
    <row r="19" spans="2:5" s="3" customFormat="1">
      <c r="E19" s="145"/>
    </row>
    <row r="20" spans="2:5" s="3" customFormat="1">
      <c r="B20" s="164" t="s">
        <v>144</v>
      </c>
      <c r="E20" s="145"/>
    </row>
    <row r="21" spans="2:5" s="180" customFormat="1">
      <c r="B21" s="163" t="s">
        <v>185</v>
      </c>
      <c r="E21" s="181"/>
    </row>
    <row r="22" spans="2:5" s="3" customFormat="1">
      <c r="E22" s="145"/>
    </row>
    <row r="23" spans="2:5" s="3" customFormat="1">
      <c r="E23" s="145"/>
    </row>
    <row r="24" spans="2:5" s="3" customFormat="1">
      <c r="E24" s="145"/>
    </row>
    <row r="25" spans="2:5" s="3" customFormat="1">
      <c r="E25" s="145"/>
    </row>
    <row r="26" spans="2:5" s="3" customFormat="1">
      <c r="E26" s="145"/>
    </row>
    <row r="27" spans="2:5" s="3" customFormat="1">
      <c r="E27" s="145"/>
    </row>
    <row r="28" spans="2:5" s="3" customFormat="1">
      <c r="E28" s="145"/>
    </row>
    <row r="29" spans="2:5" s="3" customFormat="1">
      <c r="E29" s="145"/>
    </row>
    <row r="30" spans="2:5" s="3" customFormat="1">
      <c r="E30" s="145"/>
    </row>
    <row r="31" spans="2:5" s="3" customFormat="1">
      <c r="E31" s="145"/>
    </row>
    <row r="32" spans="2:5" s="3" customFormat="1">
      <c r="E32" s="145"/>
    </row>
    <row r="33" spans="5:5" s="3" customFormat="1">
      <c r="E33" s="145"/>
    </row>
    <row r="34" spans="5:5" s="3" customFormat="1">
      <c r="E34" s="145"/>
    </row>
    <row r="35" spans="5:5" s="3" customFormat="1">
      <c r="E35" s="145"/>
    </row>
    <row r="36" spans="5:5" s="3" customFormat="1">
      <c r="E36" s="145"/>
    </row>
    <row r="37" spans="5:5" s="3" customFormat="1">
      <c r="E37" s="145"/>
    </row>
    <row r="38" spans="5:5" s="3" customFormat="1">
      <c r="E38" s="145"/>
    </row>
    <row r="39" spans="5:5" s="3" customFormat="1">
      <c r="E39" s="145"/>
    </row>
    <row r="40" spans="5:5" s="3" customFormat="1" ht="15" customHeight="1">
      <c r="E40" s="145"/>
    </row>
    <row r="41" spans="5:5" s="3" customFormat="1" ht="15" customHeight="1">
      <c r="E41" s="145"/>
    </row>
    <row r="42" spans="5:5" s="3" customFormat="1" ht="15" customHeight="1">
      <c r="E42" s="145"/>
    </row>
    <row r="43" spans="5:5" s="3" customFormat="1" ht="15" customHeight="1">
      <c r="E43" s="145"/>
    </row>
    <row r="44" spans="5:5" s="3" customFormat="1" ht="15" customHeight="1">
      <c r="E44" s="145"/>
    </row>
    <row r="45" spans="5:5" s="3" customFormat="1" ht="15" customHeight="1">
      <c r="E45" s="145"/>
    </row>
    <row r="46" spans="5:5" s="3" customFormat="1" ht="15" customHeight="1">
      <c r="E46" s="145"/>
    </row>
    <row r="47" spans="5:5" s="3" customFormat="1" ht="15" customHeight="1">
      <c r="E47" s="145"/>
    </row>
    <row r="48" spans="5:5" s="3" customFormat="1" ht="15" customHeight="1">
      <c r="E48" s="145"/>
    </row>
    <row r="49" spans="5:5" s="3" customFormat="1" ht="15" customHeight="1">
      <c r="E49" s="145"/>
    </row>
    <row r="50" spans="5:5" s="3" customFormat="1" ht="15" customHeight="1">
      <c r="E50" s="145"/>
    </row>
    <row r="51" spans="5:5" s="3" customFormat="1" ht="15" customHeight="1">
      <c r="E51" s="145"/>
    </row>
    <row r="52" spans="5:5" s="3" customFormat="1" ht="15" customHeight="1">
      <c r="E52" s="145"/>
    </row>
    <row r="53" spans="5:5" s="3" customFormat="1" ht="15" customHeight="1">
      <c r="E53" s="145"/>
    </row>
    <row r="54" spans="5:5" s="3" customFormat="1" ht="15" customHeight="1">
      <c r="E54" s="145"/>
    </row>
    <row r="55" spans="5:5" s="3" customFormat="1" ht="15" customHeight="1">
      <c r="E55" s="145"/>
    </row>
    <row r="56" spans="5:5" s="3" customFormat="1" ht="15" customHeight="1">
      <c r="E56" s="145"/>
    </row>
    <row r="57" spans="5:5" s="3" customFormat="1" ht="15" customHeight="1">
      <c r="E57" s="145"/>
    </row>
    <row r="58" spans="5:5" s="3" customFormat="1" ht="15" customHeight="1">
      <c r="E58" s="145"/>
    </row>
    <row r="59" spans="5:5" s="3" customFormat="1" ht="15" customHeight="1">
      <c r="E59" s="145"/>
    </row>
  </sheetData>
  <mergeCells count="1">
    <mergeCell ref="B11:F11"/>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B10D5-4850-4B6C-84F6-890584E3A7CB}">
  <sheetPr>
    <tabColor rgb="FF002060"/>
  </sheetPr>
  <dimension ref="A1:AC93"/>
  <sheetViews>
    <sheetView tabSelected="1" zoomScaleNormal="100" workbookViewId="0">
      <selection activeCell="F67" sqref="F67"/>
    </sheetView>
  </sheetViews>
  <sheetFormatPr defaultColWidth="9.140625" defaultRowHeight="15"/>
  <cols>
    <col min="1" max="1" width="39.28515625" customWidth="1"/>
    <col min="2" max="2" width="20.140625" style="25" customWidth="1"/>
    <col min="3" max="3" width="18.42578125" customWidth="1"/>
    <col min="4" max="4" width="15.140625" customWidth="1"/>
    <col min="5" max="9" width="31.28515625" customWidth="1"/>
  </cols>
  <sheetData>
    <row r="1" spans="1:9" s="2" customFormat="1" ht="25.9" customHeight="1">
      <c r="A1" s="1" t="s">
        <v>24</v>
      </c>
      <c r="B1" s="105"/>
    </row>
    <row r="2" spans="1:9" s="3" customFormat="1">
      <c r="B2" s="106"/>
      <c r="D2" s="4">
        <v>43830</v>
      </c>
      <c r="E2" s="4">
        <v>44196</v>
      </c>
      <c r="F2" s="4">
        <v>44561</v>
      </c>
      <c r="G2" s="4">
        <v>44926</v>
      </c>
      <c r="H2" s="4">
        <v>45291</v>
      </c>
      <c r="I2" s="4">
        <v>45657</v>
      </c>
    </row>
    <row r="3" spans="1:9" s="3" customFormat="1">
      <c r="B3" s="106"/>
      <c r="D3" s="200" t="s">
        <v>25</v>
      </c>
      <c r="E3" s="200" t="s">
        <v>26</v>
      </c>
      <c r="F3" s="200" t="s">
        <v>27</v>
      </c>
      <c r="G3" s="200" t="s">
        <v>28</v>
      </c>
      <c r="H3" s="200" t="s">
        <v>29</v>
      </c>
      <c r="I3" s="200" t="s">
        <v>30</v>
      </c>
    </row>
    <row r="4" spans="1:9" s="3" customFormat="1">
      <c r="B4" s="106"/>
      <c r="D4" s="38"/>
      <c r="E4" s="38"/>
      <c r="F4" s="38"/>
      <c r="G4" s="38"/>
      <c r="H4" s="38"/>
      <c r="I4" s="38"/>
    </row>
    <row r="5" spans="1:9" s="3" customFormat="1">
      <c r="A5" s="5" t="s">
        <v>31</v>
      </c>
      <c r="B5" s="106"/>
      <c r="C5" s="6" t="s">
        <v>32</v>
      </c>
      <c r="H5" s="38"/>
      <c r="I5" s="7" cm="1">
        <f t="array" ref="I5">+Table2[Total Vers 2019-2024]</f>
        <v>457946.98086425988</v>
      </c>
    </row>
    <row r="6" spans="1:9" s="3" customFormat="1">
      <c r="A6" s="5" t="s">
        <v>33</v>
      </c>
      <c r="B6" s="107"/>
      <c r="C6" s="6" t="s">
        <v>32</v>
      </c>
      <c r="D6" s="7">
        <v>0</v>
      </c>
      <c r="E6" s="7">
        <v>0</v>
      </c>
      <c r="G6" s="7">
        <v>0</v>
      </c>
      <c r="H6" s="7">
        <v>0</v>
      </c>
      <c r="I6" s="7">
        <f>+I5</f>
        <v>457946.98086425988</v>
      </c>
    </row>
    <row r="7" spans="1:9" s="3" customFormat="1">
      <c r="B7" s="106" t="s">
        <v>34</v>
      </c>
      <c r="C7" s="6" t="s">
        <v>35</v>
      </c>
      <c r="D7" s="7">
        <v>0</v>
      </c>
      <c r="E7" s="7">
        <v>0</v>
      </c>
      <c r="G7" s="7">
        <v>0</v>
      </c>
      <c r="H7" s="7">
        <v>0</v>
      </c>
      <c r="I7" s="127">
        <f>+'VER Issuance assumptions'!E13</f>
        <v>21</v>
      </c>
    </row>
    <row r="8" spans="1:9" s="3" customFormat="1">
      <c r="A8" s="5" t="s">
        <v>36</v>
      </c>
      <c r="B8" s="106"/>
      <c r="C8" s="6" t="s">
        <v>35</v>
      </c>
      <c r="D8" s="7">
        <v>0</v>
      </c>
      <c r="E8" s="7">
        <v>0</v>
      </c>
      <c r="G8" s="7">
        <v>0</v>
      </c>
      <c r="H8" s="7">
        <v>0</v>
      </c>
      <c r="I8" s="37">
        <f>+I6*I7</f>
        <v>9616886.5981494579</v>
      </c>
    </row>
    <row r="9" spans="1:9" s="8" customFormat="1">
      <c r="A9" s="8" t="s">
        <v>37</v>
      </c>
      <c r="B9" s="108"/>
      <c r="C9" s="152" t="s">
        <v>35</v>
      </c>
      <c r="D9" s="10">
        <f>SUM(D8)</f>
        <v>0</v>
      </c>
      <c r="E9" s="10">
        <f t="shared" ref="E9:H9" si="0">SUM(E8)</f>
        <v>0</v>
      </c>
      <c r="F9" s="10">
        <f t="shared" si="0"/>
        <v>0</v>
      </c>
      <c r="G9" s="10">
        <f t="shared" si="0"/>
        <v>0</v>
      </c>
      <c r="H9" s="10">
        <f t="shared" si="0"/>
        <v>0</v>
      </c>
      <c r="I9" s="10">
        <f>SUM(I8)</f>
        <v>9616886.5981494579</v>
      </c>
    </row>
    <row r="10" spans="1:9" s="8" customFormat="1">
      <c r="B10" s="108"/>
      <c r="C10" s="6"/>
      <c r="D10" s="7"/>
      <c r="E10" s="7"/>
      <c r="F10" s="3"/>
      <c r="G10" s="7"/>
      <c r="H10" s="7"/>
      <c r="I10" s="36"/>
    </row>
    <row r="11" spans="1:9" s="3" customFormat="1">
      <c r="A11" s="8" t="s">
        <v>38</v>
      </c>
      <c r="B11" s="106"/>
      <c r="C11" s="6" t="s">
        <v>35</v>
      </c>
      <c r="D11" s="11">
        <v>2058530.95</v>
      </c>
      <c r="E11" s="11">
        <v>994431.62</v>
      </c>
      <c r="F11" s="11">
        <v>1141487.82</v>
      </c>
      <c r="G11" s="11">
        <v>1011301.9099999999</v>
      </c>
      <c r="H11" s="11">
        <v>3289688.7</v>
      </c>
      <c r="I11" s="11">
        <v>1188318.04</v>
      </c>
    </row>
    <row r="12" spans="1:9" s="8" customFormat="1">
      <c r="B12" s="108"/>
      <c r="C12" s="6"/>
      <c r="D12" s="7"/>
      <c r="E12" s="7"/>
      <c r="F12" s="3"/>
      <c r="G12" s="7"/>
      <c r="H12" s="7"/>
      <c r="I12" s="36"/>
    </row>
    <row r="13" spans="1:9" s="8" customFormat="1">
      <c r="B13" s="108"/>
      <c r="C13" s="6"/>
      <c r="D13" s="7"/>
      <c r="E13" s="7"/>
      <c r="F13" s="3"/>
      <c r="G13" s="7"/>
      <c r="H13" s="7"/>
      <c r="I13" s="36"/>
    </row>
    <row r="14" spans="1:9" s="3" customFormat="1">
      <c r="A14" s="8" t="s">
        <v>39</v>
      </c>
      <c r="B14" s="108"/>
      <c r="C14" s="6" t="s">
        <v>35</v>
      </c>
      <c r="D14" s="10">
        <f>+D9+D11</f>
        <v>2058530.95</v>
      </c>
      <c r="E14" s="10">
        <f t="shared" ref="E14:H14" si="1">+E9+E11</f>
        <v>994431.62</v>
      </c>
      <c r="F14" s="10">
        <f t="shared" si="1"/>
        <v>1141487.82</v>
      </c>
      <c r="G14" s="10">
        <f t="shared" si="1"/>
        <v>1011301.9099999999</v>
      </c>
      <c r="H14" s="10">
        <f t="shared" si="1"/>
        <v>3289688.7</v>
      </c>
      <c r="I14" s="10">
        <f>+I9+I11</f>
        <v>10805204.638149459</v>
      </c>
    </row>
    <row r="15" spans="1:9" s="3" customFormat="1">
      <c r="A15" s="8"/>
      <c r="B15" s="106"/>
    </row>
    <row r="16" spans="1:9" s="3" customFormat="1">
      <c r="A16" s="8"/>
      <c r="B16" s="106"/>
      <c r="D16" s="12"/>
      <c r="E16" s="12"/>
      <c r="F16" s="12"/>
      <c r="G16" s="12"/>
      <c r="H16" s="12"/>
      <c r="I16" s="12"/>
    </row>
    <row r="17" spans="1:9" s="3" customFormat="1">
      <c r="A17" s="3" t="s">
        <v>40</v>
      </c>
      <c r="B17" s="109"/>
      <c r="C17" s="6" t="s">
        <v>35</v>
      </c>
      <c r="D17" s="9">
        <f>+'VERs costs assumptions'!C33</f>
        <v>503138.080203183</v>
      </c>
      <c r="E17" s="9">
        <f>+'VERs costs assumptions'!D33</f>
        <v>556576.63633248</v>
      </c>
      <c r="F17" s="9">
        <f>+'VERs costs assumptions'!E33</f>
        <v>1022400.1554323486</v>
      </c>
      <c r="G17" s="9">
        <f>+'VERs costs assumptions'!F33</f>
        <v>1213828.4996426993</v>
      </c>
      <c r="H17" s="9">
        <f>+'VERs costs assumptions'!G33</f>
        <v>1533969.6347682956</v>
      </c>
      <c r="I17" s="9">
        <f>+'VERs costs assumptions'!H33</f>
        <v>1328472.4846171807</v>
      </c>
    </row>
    <row r="18" spans="1:9" s="3" customFormat="1">
      <c r="A18" s="3" t="s">
        <v>41</v>
      </c>
      <c r="B18" s="109"/>
      <c r="C18" s="6" t="s">
        <v>35</v>
      </c>
      <c r="D18" s="9">
        <f>+'VERs costs assumptions'!C34</f>
        <v>1889063.41</v>
      </c>
      <c r="E18" s="9">
        <f>+'VERs costs assumptions'!D34</f>
        <v>1366610.09</v>
      </c>
      <c r="F18" s="9">
        <f>+'VERs costs assumptions'!E34</f>
        <v>878312.93</v>
      </c>
      <c r="G18" s="9">
        <f>+'VERs costs assumptions'!F34</f>
        <v>376968.57</v>
      </c>
      <c r="H18" s="9">
        <f>+'VERs costs assumptions'!G34</f>
        <v>969953.04</v>
      </c>
      <c r="I18" s="9">
        <f>+'VERs costs assumptions'!H34</f>
        <v>48989.399999999994</v>
      </c>
    </row>
    <row r="19" spans="1:9" s="3" customFormat="1">
      <c r="A19" s="3" t="s">
        <v>42</v>
      </c>
      <c r="B19" s="109"/>
      <c r="C19" s="6" t="s">
        <v>35</v>
      </c>
      <c r="D19" s="9">
        <f>+'VERs costs assumptions'!C35</f>
        <v>215337.47157004828</v>
      </c>
      <c r="E19" s="9">
        <f>+'VERs costs assumptions'!D35</f>
        <v>175437.69157004831</v>
      </c>
      <c r="F19" s="9">
        <f>+'VERs costs assumptions'!E35</f>
        <v>211642.0315700483</v>
      </c>
      <c r="G19" s="9">
        <f>+'VERs costs assumptions'!F35</f>
        <v>317060.76157004829</v>
      </c>
      <c r="H19" s="9">
        <f>+'VERs costs assumptions'!G35</f>
        <v>903729.35157004825</v>
      </c>
      <c r="I19" s="9">
        <f>+'VERs costs assumptions'!H35</f>
        <v>647832.59157004824</v>
      </c>
    </row>
    <row r="20" spans="1:9" s="3" customFormat="1">
      <c r="A20" s="3" t="s">
        <v>43</v>
      </c>
      <c r="B20" s="109"/>
      <c r="C20" s="6" t="s">
        <v>35</v>
      </c>
      <c r="D20" s="9">
        <f>+'VERs costs assumptions'!C36</f>
        <v>0</v>
      </c>
      <c r="E20" s="9">
        <f>+'VERs costs assumptions'!D36</f>
        <v>0</v>
      </c>
      <c r="F20" s="9">
        <f>+'VERs costs assumptions'!E36</f>
        <v>0</v>
      </c>
      <c r="G20" s="9">
        <f>+'VERs costs assumptions'!F36</f>
        <v>0</v>
      </c>
      <c r="H20" s="9">
        <f>+'VERs costs assumptions'!G36</f>
        <v>164461.14000000001</v>
      </c>
      <c r="I20" s="9">
        <f>+'VERs costs assumptions'!H36</f>
        <v>116395.48</v>
      </c>
    </row>
    <row r="21" spans="1:9" s="3" customFormat="1">
      <c r="A21" s="3" t="s">
        <v>44</v>
      </c>
      <c r="B21" s="109"/>
      <c r="C21" s="6" t="s">
        <v>35</v>
      </c>
      <c r="D21" s="13">
        <f>+'VERs costs assumptions'!C25</f>
        <v>4500</v>
      </c>
      <c r="E21" s="13">
        <f>+'VERs costs assumptions'!D25</f>
        <v>4500</v>
      </c>
      <c r="F21" s="13">
        <f>+'VERs costs assumptions'!E25</f>
        <v>4500</v>
      </c>
      <c r="G21" s="13">
        <f>+'VERs costs assumptions'!F25</f>
        <v>6500</v>
      </c>
      <c r="H21" s="13">
        <f>+'VERs costs assumptions'!G25</f>
        <v>13332.5</v>
      </c>
      <c r="I21" s="13">
        <f>+'VERs costs assumptions'!H25</f>
        <v>18631</v>
      </c>
    </row>
    <row r="22" spans="1:9" s="3" customFormat="1">
      <c r="A22" s="3" t="s">
        <v>45</v>
      </c>
      <c r="B22" s="109"/>
      <c r="C22" s="6" t="s">
        <v>35</v>
      </c>
      <c r="D22" s="13">
        <f>+'VERs costs assumptions'!C21</f>
        <v>0</v>
      </c>
      <c r="E22" s="13">
        <f>+'VERs costs assumptions'!D21</f>
        <v>0</v>
      </c>
      <c r="F22" s="13">
        <f>+'VERs costs assumptions'!E21</f>
        <v>0</v>
      </c>
      <c r="G22" s="13">
        <f>+'VERs costs assumptions'!F21</f>
        <v>0</v>
      </c>
      <c r="H22" s="13">
        <v>0</v>
      </c>
      <c r="I22" s="13">
        <f>+'VERs costs assumptions'!I21</f>
        <v>271384.09425927792</v>
      </c>
    </row>
    <row r="23" spans="1:9" s="3" customFormat="1">
      <c r="A23" s="8" t="s">
        <v>46</v>
      </c>
      <c r="B23" s="109"/>
      <c r="C23" s="6" t="s">
        <v>35</v>
      </c>
      <c r="D23" s="11">
        <f>-SUM(D17:D22)</f>
        <v>-2612038.9617732316</v>
      </c>
      <c r="E23" s="11">
        <f t="shared" ref="E23:I23" si="2">-SUM(E17:E22)</f>
        <v>-2103124.4179025283</v>
      </c>
      <c r="F23" s="11">
        <f t="shared" si="2"/>
        <v>-2116855.1170023968</v>
      </c>
      <c r="G23" s="11">
        <f t="shared" si="2"/>
        <v>-1914357.8312127476</v>
      </c>
      <c r="H23" s="11">
        <f t="shared" si="2"/>
        <v>-3585445.6663383441</v>
      </c>
      <c r="I23" s="11">
        <f t="shared" si="2"/>
        <v>-2431705.0504465066</v>
      </c>
    </row>
    <row r="24" spans="1:9" s="3" customFormat="1">
      <c r="B24" s="106"/>
    </row>
    <row r="25" spans="1:9" s="3" customFormat="1">
      <c r="A25" s="8" t="s">
        <v>47</v>
      </c>
      <c r="B25" s="106"/>
      <c r="C25" s="6" t="s">
        <v>35</v>
      </c>
      <c r="D25" s="11">
        <f>+D14+D23</f>
        <v>-553508.01177323167</v>
      </c>
      <c r="E25" s="11">
        <f t="shared" ref="E25:I25" si="3">+E14+E23</f>
        <v>-1108692.7979025282</v>
      </c>
      <c r="F25" s="11">
        <f t="shared" si="3"/>
        <v>-975367.29700239678</v>
      </c>
      <c r="G25" s="11">
        <f t="shared" si="3"/>
        <v>-903055.92121274769</v>
      </c>
      <c r="H25" s="11">
        <f t="shared" si="3"/>
        <v>-295756.96633834392</v>
      </c>
      <c r="I25" s="11">
        <f t="shared" si="3"/>
        <v>8373499.5877029523</v>
      </c>
    </row>
    <row r="26" spans="1:9" s="3" customFormat="1">
      <c r="A26" s="8"/>
      <c r="B26" s="106"/>
      <c r="C26" s="6"/>
      <c r="D26" s="11"/>
      <c r="E26" s="11"/>
      <c r="F26" s="11"/>
      <c r="G26" s="11"/>
      <c r="H26" s="11"/>
      <c r="I26" s="11"/>
    </row>
    <row r="27" spans="1:9" s="3" customFormat="1">
      <c r="A27" s="3" t="s">
        <v>48</v>
      </c>
      <c r="B27" s="106"/>
      <c r="C27" s="6" t="s">
        <v>35</v>
      </c>
      <c r="D27" s="13">
        <f>+'VERs costs assumptions'!C38</f>
        <v>0</v>
      </c>
      <c r="E27" s="13">
        <f>+'VERs costs assumptions'!D38</f>
        <v>0</v>
      </c>
      <c r="F27" s="13">
        <f>+'VERs costs assumptions'!E38</f>
        <v>0</v>
      </c>
      <c r="G27" s="13">
        <f>+'VERs costs assumptions'!F38</f>
        <v>0</v>
      </c>
      <c r="H27" s="13">
        <f>+'VERs costs assumptions'!G38</f>
        <v>267392.37</v>
      </c>
      <c r="I27" s="13">
        <f>+'VERs costs assumptions'!H38</f>
        <v>96089.05</v>
      </c>
    </row>
    <row r="28" spans="1:9" s="3" customFormat="1">
      <c r="A28" s="3" t="s">
        <v>49</v>
      </c>
      <c r="B28" s="106"/>
      <c r="C28" s="6" t="s">
        <v>35</v>
      </c>
      <c r="D28" s="13">
        <f>+'VERs costs assumptions'!C39</f>
        <v>0</v>
      </c>
      <c r="E28" s="13">
        <f>+'VERs costs assumptions'!D39</f>
        <v>0</v>
      </c>
      <c r="F28" s="13">
        <f>+'VERs costs assumptions'!E39</f>
        <v>0</v>
      </c>
      <c r="G28" s="13">
        <f>+'VERs costs assumptions'!F39</f>
        <v>0</v>
      </c>
      <c r="H28" s="13">
        <f>+'VERs costs assumptions'!G39</f>
        <v>57947.06</v>
      </c>
      <c r="I28" s="13">
        <f>+'VERs costs assumptions'!H39</f>
        <v>51525.07</v>
      </c>
    </row>
    <row r="29" spans="1:9" s="3" customFormat="1">
      <c r="A29" s="8" t="s">
        <v>50</v>
      </c>
      <c r="B29" s="106"/>
      <c r="C29" s="6" t="s">
        <v>35</v>
      </c>
      <c r="D29" s="11">
        <f>-SUM(D27:D28)</f>
        <v>0</v>
      </c>
      <c r="E29" s="11">
        <f t="shared" ref="E29:H29" si="4">-SUM(E27:E28)</f>
        <v>0</v>
      </c>
      <c r="F29" s="11">
        <f t="shared" si="4"/>
        <v>0</v>
      </c>
      <c r="G29" s="11">
        <f t="shared" si="4"/>
        <v>0</v>
      </c>
      <c r="H29" s="11">
        <f t="shared" si="4"/>
        <v>-325339.43</v>
      </c>
      <c r="I29" s="11">
        <f>-SUM(I27:I28)</f>
        <v>-147614.12</v>
      </c>
    </row>
    <row r="30" spans="1:9" s="3" customFormat="1">
      <c r="A30" s="8"/>
      <c r="B30" s="106"/>
      <c r="C30" s="6"/>
      <c r="D30" s="11"/>
      <c r="E30" s="11"/>
      <c r="F30" s="11"/>
      <c r="G30" s="11"/>
      <c r="H30" s="11"/>
      <c r="I30" s="11"/>
    </row>
    <row r="31" spans="1:9" s="3" customFormat="1">
      <c r="A31" s="99"/>
      <c r="B31" s="106"/>
    </row>
    <row r="32" spans="1:9" s="3" customFormat="1">
      <c r="A32" s="8" t="s">
        <v>51</v>
      </c>
      <c r="B32" s="106"/>
      <c r="C32" s="6" t="s">
        <v>35</v>
      </c>
      <c r="D32" s="10">
        <f>+D25+D29</f>
        <v>-553508.01177323167</v>
      </c>
      <c r="E32" s="10">
        <f t="shared" ref="E32:I32" si="5">+E25+E29</f>
        <v>-1108692.7979025282</v>
      </c>
      <c r="F32" s="10">
        <f t="shared" si="5"/>
        <v>-975367.29700239678</v>
      </c>
      <c r="G32" s="10">
        <f t="shared" si="5"/>
        <v>-903055.92121274769</v>
      </c>
      <c r="H32" s="10">
        <f t="shared" si="5"/>
        <v>-621096.39633834385</v>
      </c>
      <c r="I32" s="10">
        <f t="shared" si="5"/>
        <v>8225885.4677029522</v>
      </c>
    </row>
    <row r="33" spans="1:29" s="3" customFormat="1">
      <c r="B33" s="106"/>
      <c r="D33" s="13"/>
    </row>
    <row r="34" spans="1:29" s="3" customFormat="1" ht="23.25">
      <c r="A34" s="101" t="s">
        <v>52</v>
      </c>
      <c r="B34" s="110" t="s">
        <v>53</v>
      </c>
      <c r="C34" s="102" t="s">
        <v>53</v>
      </c>
      <c r="D34" s="102" t="s">
        <v>53</v>
      </c>
      <c r="E34" s="102" t="s">
        <v>53</v>
      </c>
      <c r="F34" s="102" t="s">
        <v>53</v>
      </c>
      <c r="G34" s="102" t="s">
        <v>53</v>
      </c>
      <c r="H34" s="102" t="s">
        <v>53</v>
      </c>
      <c r="I34" s="102" t="s">
        <v>53</v>
      </c>
      <c r="J34" s="102" t="s">
        <v>53</v>
      </c>
      <c r="K34" s="102" t="s">
        <v>53</v>
      </c>
      <c r="L34" s="102" t="s">
        <v>53</v>
      </c>
      <c r="M34" s="102" t="s">
        <v>53</v>
      </c>
      <c r="N34" s="102" t="s">
        <v>53</v>
      </c>
      <c r="O34" s="102" t="s">
        <v>53</v>
      </c>
      <c r="P34" s="102" t="s">
        <v>53</v>
      </c>
      <c r="Q34" s="102" t="s">
        <v>53</v>
      </c>
      <c r="R34" s="102" t="s">
        <v>53</v>
      </c>
      <c r="S34" s="102" t="s">
        <v>53</v>
      </c>
      <c r="T34" s="102" t="s">
        <v>53</v>
      </c>
      <c r="U34" s="102" t="s">
        <v>53</v>
      </c>
      <c r="V34" s="102" t="s">
        <v>53</v>
      </c>
      <c r="W34" s="102" t="s">
        <v>53</v>
      </c>
      <c r="X34" s="102" t="s">
        <v>53</v>
      </c>
      <c r="Y34" s="102" t="s">
        <v>53</v>
      </c>
      <c r="Z34" s="102" t="s">
        <v>53</v>
      </c>
      <c r="AA34" s="102" t="s">
        <v>53</v>
      </c>
      <c r="AB34" s="102" t="s">
        <v>53</v>
      </c>
      <c r="AC34" s="102" t="s">
        <v>53</v>
      </c>
    </row>
    <row r="35" spans="1:29" s="3" customFormat="1">
      <c r="B35" s="106"/>
    </row>
    <row r="36" spans="1:29" s="3" customFormat="1">
      <c r="A36" s="103" t="s">
        <v>54</v>
      </c>
      <c r="B36" s="111">
        <f>SUM(D6:I6)</f>
        <v>457946.98086425988</v>
      </c>
    </row>
    <row r="37" spans="1:29" s="3" customFormat="1">
      <c r="A37" s="104"/>
      <c r="B37" s="112"/>
    </row>
    <row r="38" spans="1:29" s="3" customFormat="1">
      <c r="A38" s="103" t="s">
        <v>55</v>
      </c>
      <c r="B38" s="179">
        <f>+SUM(D9:AH9)</f>
        <v>9616886.5981494579</v>
      </c>
    </row>
    <row r="39" spans="1:29" s="3" customFormat="1">
      <c r="A39" s="103" t="s">
        <v>56</v>
      </c>
      <c r="B39" s="179">
        <f>+SUM(D11:AH11)</f>
        <v>9683759.0399999991</v>
      </c>
    </row>
    <row r="40" spans="1:29" s="3" customFormat="1">
      <c r="A40" s="103" t="str">
        <f>+A14</f>
        <v>Total Net Revenue</v>
      </c>
      <c r="B40" s="179">
        <f>+B38+B39</f>
        <v>19300645.638149455</v>
      </c>
    </row>
    <row r="41" spans="1:29" s="3" customFormat="1">
      <c r="A41" s="103"/>
      <c r="B41" s="179"/>
    </row>
    <row r="42" spans="1:29" s="3" customFormat="1">
      <c r="A42" s="103" t="s">
        <v>57</v>
      </c>
      <c r="B42" s="179">
        <f>+SUM(D17:AH17)</f>
        <v>6158385.4909961876</v>
      </c>
    </row>
    <row r="43" spans="1:29" s="3" customFormat="1">
      <c r="A43" s="103" t="s">
        <v>58</v>
      </c>
      <c r="B43" s="179">
        <f>+SUM(D18:AH18)</f>
        <v>5529897.4400000004</v>
      </c>
    </row>
    <row r="44" spans="1:29" s="3" customFormat="1">
      <c r="A44" s="103" t="s">
        <v>42</v>
      </c>
      <c r="B44" s="179">
        <f>+SUM(D19:AH19)</f>
        <v>2471039.8994202898</v>
      </c>
    </row>
    <row r="45" spans="1:29" s="3" customFormat="1">
      <c r="A45" s="103" t="s">
        <v>43</v>
      </c>
      <c r="B45" s="179">
        <f>+SUM(D20:AH20)</f>
        <v>280856.62</v>
      </c>
    </row>
    <row r="46" spans="1:29" s="3" customFormat="1">
      <c r="A46" s="103" t="s">
        <v>59</v>
      </c>
      <c r="B46" s="179">
        <f>+SUM(D21:AH21)</f>
        <v>51963.5</v>
      </c>
    </row>
    <row r="47" spans="1:29" s="3" customFormat="1">
      <c r="A47" s="103" t="s">
        <v>60</v>
      </c>
      <c r="B47" s="179">
        <f>+SUM(D22:AH22)</f>
        <v>271384.09425927792</v>
      </c>
      <c r="C47" s="13"/>
    </row>
    <row r="48" spans="1:29" s="3" customFormat="1">
      <c r="A48" s="104"/>
      <c r="B48" s="179"/>
    </row>
    <row r="49" spans="1:4" s="3" customFormat="1">
      <c r="A49" s="103" t="s">
        <v>48</v>
      </c>
      <c r="B49" s="179">
        <f>+SUM(D27:AH27)</f>
        <v>363481.42</v>
      </c>
    </row>
    <row r="50" spans="1:4" s="3" customFormat="1">
      <c r="A50" s="103" t="s">
        <v>49</v>
      </c>
      <c r="B50" s="179">
        <f>+SUM(D28:AH28)</f>
        <v>109472.13</v>
      </c>
      <c r="C50" s="13"/>
    </row>
    <row r="51" spans="1:4" s="3" customFormat="1">
      <c r="A51" s="103"/>
      <c r="B51" s="179"/>
    </row>
    <row r="52" spans="1:4" s="3" customFormat="1">
      <c r="A52" s="103" t="s">
        <v>51</v>
      </c>
      <c r="B52" s="179">
        <f>+B40-SUM(B42:B47)-SUM(B49:B50)</f>
        <v>4064165.0434737029</v>
      </c>
      <c r="C52" s="13"/>
    </row>
    <row r="53" spans="1:4" s="3" customFormat="1">
      <c r="B53" s="106"/>
    </row>
    <row r="54" spans="1:4" s="3" customFormat="1" ht="14.45" customHeight="1">
      <c r="A54" s="201" t="s">
        <v>61</v>
      </c>
      <c r="B54" s="202"/>
      <c r="C54" s="203"/>
    </row>
    <row r="55" spans="1:4" s="3" customFormat="1" ht="14.45" customHeight="1">
      <c r="A55" s="169"/>
      <c r="B55" s="170" t="s">
        <v>62</v>
      </c>
      <c r="C55" s="171" t="s">
        <v>63</v>
      </c>
    </row>
    <row r="56" spans="1:4" s="3" customFormat="1">
      <c r="A56" s="165" t="s">
        <v>55</v>
      </c>
      <c r="B56" s="37">
        <f>+B38</f>
        <v>9616886.5981494579</v>
      </c>
      <c r="C56" s="166">
        <f>+B56/$B$58</f>
        <v>0.49826761127310787</v>
      </c>
    </row>
    <row r="57" spans="1:4" s="3" customFormat="1">
      <c r="A57" s="165" t="str">
        <f>+A39</f>
        <v>Non-Carbon Revenue</v>
      </c>
      <c r="B57" s="37">
        <f>+B39</f>
        <v>9683759.0399999991</v>
      </c>
      <c r="C57" s="166">
        <f>+B57/$B$58</f>
        <v>0.50173238872689219</v>
      </c>
    </row>
    <row r="58" spans="1:4" s="3" customFormat="1">
      <c r="A58" s="165" t="str">
        <f>+A40</f>
        <v>Total Net Revenue</v>
      </c>
      <c r="B58" s="37">
        <f>SUM(B56:B57)</f>
        <v>19300645.638149455</v>
      </c>
      <c r="C58" s="166">
        <f t="shared" ref="C58" si="6">+B58/$B$58</f>
        <v>1</v>
      </c>
    </row>
    <row r="59" spans="1:4" s="3" customFormat="1">
      <c r="A59" s="165"/>
      <c r="B59" s="37"/>
      <c r="C59" s="166"/>
    </row>
    <row r="60" spans="1:4" s="3" customFormat="1">
      <c r="A60" s="165" t="s">
        <v>57</v>
      </c>
      <c r="B60" s="37">
        <f t="shared" ref="B60:B65" si="7">+B42</f>
        <v>6158385.4909961876</v>
      </c>
      <c r="C60" s="166">
        <f t="shared" ref="C60:C65" si="8">+B60/$B$58</f>
        <v>0.31907665714682554</v>
      </c>
      <c r="D60" s="197"/>
    </row>
    <row r="61" spans="1:4" s="3" customFormat="1">
      <c r="A61" s="165" t="s">
        <v>64</v>
      </c>
      <c r="B61" s="37">
        <f t="shared" si="7"/>
        <v>5529897.4400000004</v>
      </c>
      <c r="C61" s="166">
        <f t="shared" si="8"/>
        <v>0.28651359875079324</v>
      </c>
    </row>
    <row r="62" spans="1:4" s="3" customFormat="1">
      <c r="A62" s="165" t="s">
        <v>42</v>
      </c>
      <c r="B62" s="37">
        <f t="shared" si="7"/>
        <v>2471039.8994202898</v>
      </c>
      <c r="C62" s="166">
        <f t="shared" si="8"/>
        <v>0.12802887249201955</v>
      </c>
    </row>
    <row r="63" spans="1:4" s="3" customFormat="1">
      <c r="A63" s="165" t="s">
        <v>43</v>
      </c>
      <c r="B63" s="37">
        <f t="shared" si="7"/>
        <v>280856.62</v>
      </c>
      <c r="C63" s="166">
        <f t="shared" si="8"/>
        <v>1.4551669683259804E-2</v>
      </c>
    </row>
    <row r="64" spans="1:4" s="3" customFormat="1">
      <c r="A64" s="165" t="s">
        <v>59</v>
      </c>
      <c r="B64" s="37">
        <f t="shared" si="7"/>
        <v>51963.5</v>
      </c>
      <c r="C64" s="166">
        <f t="shared" si="8"/>
        <v>2.6923192609313281E-3</v>
      </c>
    </row>
    <row r="65" spans="1:3" s="3" customFormat="1">
      <c r="A65" s="165" t="s">
        <v>45</v>
      </c>
      <c r="B65" s="37">
        <f t="shared" si="7"/>
        <v>271384.09425927792</v>
      </c>
      <c r="C65" s="166">
        <f t="shared" si="8"/>
        <v>1.4060881658946317E-2</v>
      </c>
    </row>
    <row r="66" spans="1:3" s="3" customFormat="1">
      <c r="A66" s="167"/>
      <c r="B66" s="37"/>
      <c r="C66" s="166"/>
    </row>
    <row r="67" spans="1:3" s="3" customFormat="1">
      <c r="A67" s="165" t="s">
        <v>48</v>
      </c>
      <c r="B67" s="37">
        <f>+B49</f>
        <v>363481.42</v>
      </c>
      <c r="C67" s="166">
        <f>+B67/$B$58</f>
        <v>1.8832604194418574E-2</v>
      </c>
    </row>
    <row r="68" spans="1:3" s="3" customFormat="1">
      <c r="A68" s="165" t="s">
        <v>49</v>
      </c>
      <c r="B68" s="37">
        <f>+B50</f>
        <v>109472.13</v>
      </c>
      <c r="C68" s="166">
        <f>+B68/$B$58</f>
        <v>5.6719413460251571E-3</v>
      </c>
    </row>
    <row r="69" spans="1:3" s="3" customFormat="1">
      <c r="A69" s="165"/>
      <c r="B69" s="37"/>
      <c r="C69" s="166"/>
    </row>
    <row r="70" spans="1:3" s="3" customFormat="1">
      <c r="A70" s="168" t="s">
        <v>51</v>
      </c>
      <c r="B70" s="178">
        <f>+B58-SUM(B60:B65)-SUM(B67:B68)</f>
        <v>4064165.0434737029</v>
      </c>
      <c r="C70" s="172">
        <f>+B70/$B$58</f>
        <v>0.21057145546678069</v>
      </c>
    </row>
    <row r="71" spans="1:3" s="3" customFormat="1">
      <c r="B71" s="106"/>
    </row>
    <row r="72" spans="1:3" s="150" customFormat="1">
      <c r="B72" s="151"/>
    </row>
    <row r="73" spans="1:3" s="3" customFormat="1">
      <c r="B73" s="106"/>
    </row>
    <row r="74" spans="1:3" s="3" customFormat="1">
      <c r="B74" s="106"/>
    </row>
    <row r="75" spans="1:3" s="3" customFormat="1">
      <c r="B75" s="106"/>
    </row>
    <row r="76" spans="1:3" s="3" customFormat="1">
      <c r="B76" s="106"/>
    </row>
    <row r="77" spans="1:3" s="3" customFormat="1">
      <c r="B77" s="106"/>
    </row>
    <row r="78" spans="1:3" s="3" customFormat="1">
      <c r="B78" s="106"/>
    </row>
    <row r="79" spans="1:3" s="3" customFormat="1">
      <c r="B79" s="106"/>
    </row>
    <row r="80" spans="1:3" s="3" customFormat="1">
      <c r="B80" s="106"/>
    </row>
    <row r="81" spans="2:2" s="3" customFormat="1">
      <c r="B81" s="106"/>
    </row>
    <row r="82" spans="2:2" s="3" customFormat="1">
      <c r="B82" s="106"/>
    </row>
    <row r="83" spans="2:2" s="3" customFormat="1">
      <c r="B83" s="106"/>
    </row>
    <row r="84" spans="2:2" s="3" customFormat="1">
      <c r="B84" s="106"/>
    </row>
    <row r="85" spans="2:2" s="3" customFormat="1">
      <c r="B85" s="106"/>
    </row>
    <row r="86" spans="2:2" s="3" customFormat="1">
      <c r="B86" s="106"/>
    </row>
    <row r="87" spans="2:2" s="3" customFormat="1">
      <c r="B87" s="106"/>
    </row>
    <row r="88" spans="2:2" s="3" customFormat="1">
      <c r="B88" s="106"/>
    </row>
    <row r="89" spans="2:2" s="3" customFormat="1">
      <c r="B89" s="106"/>
    </row>
    <row r="90" spans="2:2" s="3" customFormat="1">
      <c r="B90" s="106"/>
    </row>
    <row r="91" spans="2:2" s="3" customFormat="1">
      <c r="B91" s="106"/>
    </row>
    <row r="92" spans="2:2" s="3" customFormat="1">
      <c r="B92" s="106"/>
    </row>
    <row r="93" spans="2:2" s="3" customFormat="1">
      <c r="B93" s="106"/>
    </row>
  </sheetData>
  <sheetProtection algorithmName="SHA-512" hashValue="/AHqjgCnOhDw1DgTBUf4YxlsYtYYGpcss1Khw9axy4cZOfZO1Ko250xI7UD1N+PMPHqnmY3EdNuaqOdMSoLvYQ==" saltValue="fmmv6vXQ+WC+DrvAeIBJYg==" spinCount="100000" sheet="1" objects="1" scenarios="1"/>
  <mergeCells count="1">
    <mergeCell ref="A54:C54"/>
  </mergeCells>
  <conditionalFormatting sqref="B6:B8 I8 B14 A14:A22 B16:B23 A27:A28">
    <cfRule type="cellIs" dxfId="30" priority="10" operator="lessThan">
      <formula>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7365E-83BB-460F-B96E-2BFDAF38D773}">
  <sheetPr>
    <tabColor theme="9" tint="0.79998168889431442"/>
  </sheetPr>
  <dimension ref="B2:L27"/>
  <sheetViews>
    <sheetView workbookViewId="0">
      <selection activeCell="K7" sqref="K7"/>
    </sheetView>
  </sheetViews>
  <sheetFormatPr defaultRowHeight="15"/>
  <cols>
    <col min="2" max="2" width="37.5703125" customWidth="1"/>
    <col min="3" max="3" width="15.140625" customWidth="1"/>
    <col min="4" max="7" width="14.85546875" bestFit="1" customWidth="1"/>
    <col min="8" max="8" width="13.85546875" style="66" bestFit="1" customWidth="1"/>
    <col min="9" max="9" width="15.85546875" style="30" customWidth="1"/>
    <col min="11" max="11" width="25.7109375" customWidth="1"/>
    <col min="12" max="12" width="17.42578125" customWidth="1"/>
  </cols>
  <sheetData>
    <row r="2" spans="2:12">
      <c r="K2" s="68"/>
      <c r="L2" s="117" t="s">
        <v>65</v>
      </c>
    </row>
    <row r="3" spans="2:12">
      <c r="B3" s="16" t="s">
        <v>66</v>
      </c>
      <c r="C3" s="16">
        <v>2019</v>
      </c>
      <c r="D3" s="16">
        <v>2020</v>
      </c>
      <c r="E3" s="16">
        <v>2021</v>
      </c>
      <c r="F3" s="16">
        <v>2022</v>
      </c>
      <c r="G3" s="16">
        <v>2023</v>
      </c>
      <c r="H3" s="57">
        <v>2024</v>
      </c>
      <c r="I3" s="39" t="s">
        <v>6</v>
      </c>
      <c r="K3" s="118"/>
      <c r="L3" s="129" t="s">
        <v>6</v>
      </c>
    </row>
    <row r="4" spans="2:12">
      <c r="B4" s="34" t="s">
        <v>67</v>
      </c>
      <c r="K4" s="51" t="s">
        <v>68</v>
      </c>
      <c r="L4" s="65">
        <f>+I7</f>
        <v>7228860.2400000002</v>
      </c>
    </row>
    <row r="5" spans="2:12" ht="27.75" customHeight="1">
      <c r="B5" t="s">
        <v>69</v>
      </c>
      <c r="C5" s="35">
        <v>2058530.95</v>
      </c>
      <c r="D5" s="33">
        <v>907253.62</v>
      </c>
      <c r="E5" s="14">
        <v>1111144.01</v>
      </c>
      <c r="F5" s="14">
        <v>952902.59</v>
      </c>
      <c r="G5" s="14">
        <v>1939171.12</v>
      </c>
      <c r="H5" s="97">
        <v>82911.899999999994</v>
      </c>
      <c r="I5" s="41">
        <f>SUM(C5:H5)</f>
        <v>7051914.1900000004</v>
      </c>
      <c r="K5" s="51"/>
      <c r="L5" s="64"/>
    </row>
    <row r="6" spans="2:12" s="16" customFormat="1">
      <c r="B6" t="s">
        <v>70</v>
      </c>
      <c r="C6" s="17"/>
      <c r="D6" s="14"/>
      <c r="E6" s="14">
        <v>30343.81</v>
      </c>
      <c r="F6" s="14">
        <v>8226.32</v>
      </c>
      <c r="G6" s="14">
        <v>64360.08</v>
      </c>
      <c r="H6" s="97">
        <v>74015.839999999997</v>
      </c>
      <c r="I6" s="41">
        <f t="shared" ref="I6:I21" si="0">SUM(C6:H6)</f>
        <v>176946.05</v>
      </c>
      <c r="K6" s="51" t="s">
        <v>71</v>
      </c>
      <c r="L6" s="65">
        <f>+I14+I12</f>
        <v>9016699.2100000009</v>
      </c>
    </row>
    <row r="7" spans="2:12">
      <c r="B7" s="16" t="s">
        <v>72</v>
      </c>
      <c r="C7" s="15">
        <f>+C5+C6</f>
        <v>2058530.95</v>
      </c>
      <c r="D7" s="15">
        <f t="shared" ref="D7:H7" si="1">+D5+D6</f>
        <v>907253.62</v>
      </c>
      <c r="E7" s="15">
        <f t="shared" si="1"/>
        <v>1141487.82</v>
      </c>
      <c r="F7" s="15">
        <f t="shared" si="1"/>
        <v>961128.90999999992</v>
      </c>
      <c r="G7" s="15">
        <f t="shared" si="1"/>
        <v>2003531.2000000002</v>
      </c>
      <c r="H7" s="98">
        <f t="shared" si="1"/>
        <v>156927.74</v>
      </c>
      <c r="I7" s="41">
        <f t="shared" si="0"/>
        <v>7228860.2400000002</v>
      </c>
      <c r="K7" s="51" t="s">
        <v>42</v>
      </c>
      <c r="L7" s="65">
        <f>+I13</f>
        <v>1149499.6300000001</v>
      </c>
    </row>
    <row r="8" spans="2:12">
      <c r="B8" s="16"/>
      <c r="C8" s="14"/>
      <c r="D8" s="14"/>
      <c r="E8" s="14"/>
      <c r="F8" s="14"/>
      <c r="G8" s="14"/>
      <c r="H8" s="97"/>
      <c r="I8" s="41"/>
      <c r="K8" s="51" t="s">
        <v>43</v>
      </c>
      <c r="L8" s="65">
        <f>+G15</f>
        <v>0</v>
      </c>
    </row>
    <row r="9" spans="2:12">
      <c r="B9" s="16"/>
      <c r="C9" s="14"/>
      <c r="D9" s="14"/>
      <c r="E9" s="14"/>
      <c r="F9" s="14"/>
      <c r="G9" s="14"/>
      <c r="H9" s="97"/>
      <c r="I9" s="41"/>
      <c r="K9" s="50" t="s">
        <v>73</v>
      </c>
      <c r="L9" s="65">
        <f>+G16</f>
        <v>0</v>
      </c>
    </row>
    <row r="10" spans="2:12">
      <c r="B10" t="s">
        <v>74</v>
      </c>
      <c r="C10" s="14">
        <v>0</v>
      </c>
      <c r="D10" s="14">
        <v>0</v>
      </c>
      <c r="E10" s="14">
        <v>0</v>
      </c>
      <c r="F10" s="14">
        <v>0</v>
      </c>
      <c r="G10" s="14">
        <v>0</v>
      </c>
      <c r="H10" s="97">
        <v>0</v>
      </c>
      <c r="I10" s="41">
        <f t="shared" ref="I10" si="2">SUM(C10:H10)</f>
        <v>0</v>
      </c>
      <c r="K10" s="50"/>
      <c r="L10" s="64"/>
    </row>
    <row r="11" spans="2:12">
      <c r="B11" t="s">
        <v>75</v>
      </c>
      <c r="C11" s="14">
        <v>0</v>
      </c>
      <c r="D11" s="14">
        <v>0</v>
      </c>
      <c r="E11" s="14">
        <v>0</v>
      </c>
      <c r="F11" s="14">
        <v>0</v>
      </c>
      <c r="G11" s="14">
        <v>0</v>
      </c>
      <c r="H11" s="97">
        <v>0</v>
      </c>
      <c r="I11" s="41">
        <f t="shared" si="0"/>
        <v>0</v>
      </c>
      <c r="K11" s="51"/>
      <c r="L11" s="64"/>
    </row>
    <row r="12" spans="2:12">
      <c r="B12" t="s">
        <v>76</v>
      </c>
      <c r="C12" s="14">
        <v>1889063.41</v>
      </c>
      <c r="D12" s="14">
        <v>1318770.0900000001</v>
      </c>
      <c r="E12" s="14">
        <v>878312.93</v>
      </c>
      <c r="F12" s="14">
        <v>376968.57</v>
      </c>
      <c r="G12" s="14">
        <v>928953.04</v>
      </c>
      <c r="H12" s="97">
        <f>42937.34+6052.06</f>
        <v>48989.399999999994</v>
      </c>
      <c r="I12" s="41">
        <f>SUM(C12:H12)</f>
        <v>5441057.4400000004</v>
      </c>
      <c r="K12" s="51"/>
      <c r="L12" s="64"/>
    </row>
    <row r="13" spans="2:12">
      <c r="B13" t="s">
        <v>77</v>
      </c>
      <c r="C13" s="14">
        <v>170453.83</v>
      </c>
      <c r="D13" s="14">
        <v>130554.05</v>
      </c>
      <c r="E13" s="14">
        <v>166758.39000000001</v>
      </c>
      <c r="F13" s="14">
        <v>118344.12</v>
      </c>
      <c r="G13" s="14">
        <v>361394.69</v>
      </c>
      <c r="H13" s="97">
        <v>201994.55</v>
      </c>
      <c r="I13" s="41">
        <f t="shared" si="0"/>
        <v>1149499.6300000001</v>
      </c>
      <c r="K13" s="51" t="s">
        <v>48</v>
      </c>
      <c r="L13" s="65">
        <f>+I10</f>
        <v>0</v>
      </c>
    </row>
    <row r="14" spans="2:12">
      <c r="B14" t="s">
        <v>78</v>
      </c>
      <c r="C14" s="14">
        <v>388663.1</v>
      </c>
      <c r="D14" s="14">
        <v>451898.7</v>
      </c>
      <c r="E14" s="14">
        <v>932693.53</v>
      </c>
      <c r="F14" s="14">
        <v>1026249.89</v>
      </c>
      <c r="G14" s="14">
        <v>504648.74</v>
      </c>
      <c r="H14" s="97">
        <v>271487.81</v>
      </c>
      <c r="I14" s="41">
        <f t="shared" si="0"/>
        <v>3575641.77</v>
      </c>
      <c r="K14" s="51" t="s">
        <v>49</v>
      </c>
      <c r="L14" s="65">
        <f>+I11</f>
        <v>0</v>
      </c>
    </row>
    <row r="15" spans="2:12">
      <c r="B15" t="s">
        <v>43</v>
      </c>
      <c r="C15" s="14">
        <v>0</v>
      </c>
      <c r="D15" s="14">
        <v>0</v>
      </c>
      <c r="E15" s="14">
        <v>0</v>
      </c>
      <c r="F15" s="14">
        <v>0</v>
      </c>
      <c r="G15" s="14">
        <v>0</v>
      </c>
      <c r="H15" s="97">
        <v>0</v>
      </c>
      <c r="I15" s="14">
        <v>0</v>
      </c>
      <c r="K15" s="50"/>
      <c r="L15" s="66"/>
    </row>
    <row r="16" spans="2:12">
      <c r="B16" t="s">
        <v>73</v>
      </c>
      <c r="C16" s="14">
        <v>0</v>
      </c>
      <c r="D16" s="14">
        <v>0</v>
      </c>
      <c r="E16" s="14">
        <v>0</v>
      </c>
      <c r="F16" s="14">
        <v>0</v>
      </c>
      <c r="G16" s="14">
        <v>0</v>
      </c>
      <c r="H16" s="97">
        <v>0</v>
      </c>
      <c r="I16" s="14">
        <v>0</v>
      </c>
      <c r="K16" s="50"/>
      <c r="L16" s="64"/>
    </row>
    <row r="17" spans="2:12">
      <c r="B17" t="s">
        <v>79</v>
      </c>
      <c r="C17" s="14">
        <v>0</v>
      </c>
      <c r="D17" s="14">
        <v>0</v>
      </c>
      <c r="E17" s="14">
        <v>0</v>
      </c>
      <c r="F17" s="14">
        <v>0</v>
      </c>
      <c r="G17" s="14">
        <v>0</v>
      </c>
      <c r="H17" s="97">
        <v>0</v>
      </c>
      <c r="I17" s="14">
        <v>0</v>
      </c>
      <c r="K17" s="51"/>
      <c r="L17" s="64"/>
    </row>
    <row r="18" spans="2:12">
      <c r="B18" s="16" t="s">
        <v>80</v>
      </c>
      <c r="C18" s="15">
        <f>SUM(C10:C17)</f>
        <v>2448180.34</v>
      </c>
      <c r="D18" s="15">
        <f t="shared" ref="D18:H18" si="3">SUM(D10:D17)</f>
        <v>1901222.84</v>
      </c>
      <c r="E18" s="15">
        <f t="shared" si="3"/>
        <v>1977764.85</v>
      </c>
      <c r="F18" s="15">
        <f t="shared" si="3"/>
        <v>1521562.58</v>
      </c>
      <c r="G18" s="15">
        <f t="shared" si="3"/>
        <v>1794996.47</v>
      </c>
      <c r="H18" s="98">
        <f t="shared" si="3"/>
        <v>522471.76</v>
      </c>
      <c r="I18" s="32">
        <f t="shared" si="0"/>
        <v>10166198.84</v>
      </c>
      <c r="K18" s="69" t="s">
        <v>51</v>
      </c>
      <c r="L18" s="70">
        <f>+L4-L6-L7-L8-L9-L13-L14</f>
        <v>-2937338.6000000006</v>
      </c>
    </row>
    <row r="20" spans="2:12">
      <c r="C20" s="18"/>
      <c r="D20" s="14"/>
      <c r="E20" s="14"/>
      <c r="F20" s="14"/>
      <c r="G20" s="14"/>
      <c r="H20" s="97"/>
      <c r="I20" s="14"/>
    </row>
    <row r="21" spans="2:12" s="16" customFormat="1">
      <c r="B21" s="16" t="s">
        <v>51</v>
      </c>
      <c r="C21" s="15">
        <f>+C7-C18</f>
        <v>-389649.3899999999</v>
      </c>
      <c r="D21" s="15">
        <f t="shared" ref="D21:H21" si="4">+D7-D18</f>
        <v>-993969.22000000009</v>
      </c>
      <c r="E21" s="15">
        <f t="shared" si="4"/>
        <v>-836277.03</v>
      </c>
      <c r="F21" s="15">
        <f t="shared" si="4"/>
        <v>-560433.67000000016</v>
      </c>
      <c r="G21" s="15">
        <f t="shared" si="4"/>
        <v>208534.73000000021</v>
      </c>
      <c r="H21" s="98">
        <f t="shared" si="4"/>
        <v>-365544.02</v>
      </c>
      <c r="I21" s="32">
        <f t="shared" si="0"/>
        <v>-2937338.5999999992</v>
      </c>
    </row>
    <row r="22" spans="2:12">
      <c r="B22" s="16"/>
      <c r="C22" s="14"/>
      <c r="D22" s="14"/>
      <c r="E22" s="14"/>
    </row>
    <row r="23" spans="2:12">
      <c r="B23" t="s">
        <v>81</v>
      </c>
    </row>
    <row r="24" spans="2:12" s="19" customFormat="1">
      <c r="C24" s="20"/>
      <c r="D24" s="20"/>
      <c r="E24" s="20"/>
      <c r="H24" s="71"/>
      <c r="I24" s="40"/>
    </row>
    <row r="26" spans="2:12">
      <c r="B26" t="s">
        <v>82</v>
      </c>
    </row>
    <row r="27" spans="2:12">
      <c r="B27" s="23" t="s">
        <v>83</v>
      </c>
    </row>
  </sheetData>
  <conditionalFormatting sqref="B13:B16">
    <cfRule type="cellIs" dxfId="29" priority="10" operator="lessThan">
      <formula>0</formula>
    </cfRule>
  </conditionalFormatting>
  <conditionalFormatting sqref="B24">
    <cfRule type="cellIs" dxfId="28" priority="11" operator="lessThan">
      <formula>0</formula>
    </cfRule>
  </conditionalFormatting>
  <conditionalFormatting sqref="C5:C6">
    <cfRule type="cellIs" dxfId="27" priority="9" operator="lessThan">
      <formula>0</formula>
    </cfRule>
  </conditionalFormatting>
  <conditionalFormatting sqref="K4 K18">
    <cfRule type="cellIs" dxfId="26" priority="6" operator="lessThan">
      <formula>0</formula>
    </cfRule>
  </conditionalFormatting>
  <conditionalFormatting sqref="K6:K9">
    <cfRule type="cellIs" dxfId="25" priority="2" operator="lessThan">
      <formula>0</formula>
    </cfRule>
  </conditionalFormatting>
  <conditionalFormatting sqref="K13:K14">
    <cfRule type="cellIs" dxfId="24" priority="8" operator="lessThan">
      <formula>0</formula>
    </cfRule>
  </conditionalFormatting>
  <hyperlinks>
    <hyperlink ref="B27" r:id="rId1" xr:uid="{0F6B73BD-93AB-40DC-958D-42E5EBDEA31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41E7D-7389-41D1-84C9-A25F8021CF1B}">
  <sheetPr>
    <tabColor theme="9" tint="0.79998168889431442"/>
  </sheetPr>
  <dimension ref="B2:M25"/>
  <sheetViews>
    <sheetView workbookViewId="0">
      <selection activeCell="A14" sqref="A14"/>
    </sheetView>
  </sheetViews>
  <sheetFormatPr defaultRowHeight="15"/>
  <cols>
    <col min="2" max="2" width="37.5703125" customWidth="1"/>
    <col min="3" max="3" width="14.7109375" bestFit="1" customWidth="1"/>
    <col min="4" max="4" width="13.85546875" bestFit="1" customWidth="1"/>
    <col min="5" max="5" width="14.7109375" bestFit="1" customWidth="1"/>
    <col min="6" max="6" width="13.42578125" customWidth="1"/>
    <col min="7" max="7" width="15" customWidth="1"/>
    <col min="8" max="8" width="14.140625" style="66" customWidth="1"/>
    <col min="9" max="9" width="17.42578125" style="30" customWidth="1"/>
    <col min="12" max="12" width="20.42578125" customWidth="1"/>
    <col min="13" max="13" width="20.28515625" customWidth="1"/>
  </cols>
  <sheetData>
    <row r="2" spans="2:13">
      <c r="B2" s="16" t="s">
        <v>66</v>
      </c>
      <c r="C2" s="16">
        <v>2019</v>
      </c>
      <c r="D2" s="16">
        <v>2020</v>
      </c>
      <c r="E2" s="16">
        <v>2021</v>
      </c>
      <c r="F2" s="16">
        <v>2022</v>
      </c>
      <c r="G2" s="16">
        <v>2023</v>
      </c>
      <c r="H2" s="57">
        <v>2024</v>
      </c>
      <c r="I2" s="39" t="s">
        <v>6</v>
      </c>
      <c r="M2" s="117" t="s">
        <v>65</v>
      </c>
    </row>
    <row r="3" spans="2:13">
      <c r="B3" s="34" t="s">
        <v>8</v>
      </c>
      <c r="L3" s="68"/>
      <c r="M3" s="129" t="s">
        <v>6</v>
      </c>
    </row>
    <row r="4" spans="2:13" ht="42.75" customHeight="1">
      <c r="B4" t="s">
        <v>69</v>
      </c>
      <c r="C4" s="17"/>
      <c r="D4" s="33">
        <v>87178</v>
      </c>
      <c r="E4" s="14"/>
      <c r="F4" s="14"/>
      <c r="G4" s="14"/>
      <c r="H4" s="97"/>
      <c r="I4" s="41">
        <f>SUM(C4:H4)</f>
        <v>87178</v>
      </c>
      <c r="L4" s="51" t="s">
        <v>68</v>
      </c>
      <c r="M4" s="65">
        <f>+I6</f>
        <v>87178</v>
      </c>
    </row>
    <row r="5" spans="2:13" s="16" customFormat="1">
      <c r="B5" t="s">
        <v>70</v>
      </c>
      <c r="C5" s="17"/>
      <c r="D5" s="14"/>
      <c r="E5" s="14"/>
      <c r="F5" s="14"/>
      <c r="G5" s="14"/>
      <c r="H5" s="97"/>
      <c r="I5" s="41"/>
      <c r="L5" s="51"/>
      <c r="M5" s="64"/>
    </row>
    <row r="6" spans="2:13">
      <c r="B6" s="16" t="s">
        <v>72</v>
      </c>
      <c r="C6" s="15">
        <f>+C4+C5</f>
        <v>0</v>
      </c>
      <c r="D6" s="15">
        <f t="shared" ref="D6:H6" si="0">+D4+D5</f>
        <v>87178</v>
      </c>
      <c r="E6" s="15">
        <f t="shared" si="0"/>
        <v>0</v>
      </c>
      <c r="F6" s="15">
        <f t="shared" si="0"/>
        <v>0</v>
      </c>
      <c r="G6" s="15">
        <f t="shared" si="0"/>
        <v>0</v>
      </c>
      <c r="H6" s="98">
        <f t="shared" si="0"/>
        <v>0</v>
      </c>
      <c r="I6" s="32">
        <f>SUM(C6:H6)</f>
        <v>87178</v>
      </c>
      <c r="L6" s="51" t="s">
        <v>71</v>
      </c>
      <c r="M6" s="65">
        <f>+I13+I12</f>
        <v>607270.48099618708</v>
      </c>
    </row>
    <row r="7" spans="2:13">
      <c r="I7"/>
      <c r="L7" s="51" t="s">
        <v>42</v>
      </c>
      <c r="M7" s="65">
        <f>+I11+I16</f>
        <v>269301.8494202898</v>
      </c>
    </row>
    <row r="8" spans="2:13">
      <c r="B8" s="16"/>
      <c r="C8" s="16"/>
      <c r="D8" s="16"/>
      <c r="E8" s="16"/>
      <c r="F8" s="16"/>
      <c r="G8" s="16"/>
      <c r="H8" s="57"/>
      <c r="I8" s="16"/>
      <c r="L8" s="51" t="s">
        <v>43</v>
      </c>
      <c r="M8" s="65">
        <f>+I14</f>
        <v>0</v>
      </c>
    </row>
    <row r="9" spans="2:13">
      <c r="B9" t="s">
        <v>74</v>
      </c>
      <c r="C9" s="14">
        <v>0</v>
      </c>
      <c r="D9" s="14">
        <v>0</v>
      </c>
      <c r="E9" s="14">
        <v>0</v>
      </c>
      <c r="F9" s="14">
        <v>0</v>
      </c>
      <c r="G9" s="14">
        <v>0</v>
      </c>
      <c r="H9" s="97">
        <v>0</v>
      </c>
      <c r="I9" s="14">
        <v>0</v>
      </c>
      <c r="L9" s="51" t="s">
        <v>73</v>
      </c>
      <c r="M9" s="65">
        <f>+I15</f>
        <v>27000</v>
      </c>
    </row>
    <row r="10" spans="2:13">
      <c r="B10" t="s">
        <v>75</v>
      </c>
      <c r="C10" s="14">
        <v>0</v>
      </c>
      <c r="D10" s="14">
        <v>0</v>
      </c>
      <c r="E10" s="14">
        <v>0</v>
      </c>
      <c r="F10" s="14">
        <v>0</v>
      </c>
      <c r="G10" s="14">
        <v>0</v>
      </c>
      <c r="H10" s="97">
        <v>0</v>
      </c>
      <c r="I10" s="14">
        <v>0</v>
      </c>
      <c r="L10" s="50"/>
      <c r="M10" s="64"/>
    </row>
    <row r="11" spans="2:13">
      <c r="B11" t="s">
        <v>77</v>
      </c>
      <c r="C11" s="14">
        <v>44883.641570048298</v>
      </c>
      <c r="D11" s="14">
        <v>44883.641570048298</v>
      </c>
      <c r="E11" s="14">
        <v>44883.641570048298</v>
      </c>
      <c r="F11" s="14">
        <v>44883.641570048298</v>
      </c>
      <c r="G11" s="14">
        <v>44883.641570048298</v>
      </c>
      <c r="H11" s="97">
        <v>44883.641570048298</v>
      </c>
      <c r="I11" s="41">
        <f t="shared" ref="I11:I20" si="1">SUM(C11:H11)</f>
        <v>269301.8494202898</v>
      </c>
      <c r="L11" s="51"/>
      <c r="M11" s="64"/>
    </row>
    <row r="12" spans="2:13">
      <c r="B12" t="s">
        <v>76</v>
      </c>
      <c r="C12" s="14"/>
      <c r="D12" s="14">
        <v>47840</v>
      </c>
      <c r="E12" s="14"/>
      <c r="F12" s="14"/>
      <c r="G12" s="14"/>
      <c r="H12" s="97"/>
      <c r="I12" s="41">
        <f>SUM(C12:H12)</f>
        <v>47840</v>
      </c>
      <c r="L12" s="51" t="s">
        <v>48</v>
      </c>
      <c r="M12" s="65">
        <f>+I9</f>
        <v>0</v>
      </c>
    </row>
    <row r="13" spans="2:13">
      <c r="B13" t="s">
        <v>84</v>
      </c>
      <c r="C13" s="14">
        <v>114474.980203183</v>
      </c>
      <c r="D13" s="14">
        <v>104677.93633248001</v>
      </c>
      <c r="E13" s="14">
        <v>89706.625432348606</v>
      </c>
      <c r="F13" s="14">
        <v>85366.609642699201</v>
      </c>
      <c r="G13" s="14">
        <v>83404.424768295503</v>
      </c>
      <c r="H13" s="97">
        <v>81799.9046171808</v>
      </c>
      <c r="I13" s="41">
        <f t="shared" si="1"/>
        <v>559430.48099618708</v>
      </c>
      <c r="L13" s="51" t="s">
        <v>49</v>
      </c>
      <c r="M13" s="65">
        <f>+I10</f>
        <v>0</v>
      </c>
    </row>
    <row r="14" spans="2:13">
      <c r="B14" t="s">
        <v>43</v>
      </c>
      <c r="C14" s="14"/>
      <c r="D14" s="14"/>
      <c r="E14" s="14"/>
      <c r="F14" s="14"/>
      <c r="G14" s="14"/>
      <c r="H14" s="97"/>
      <c r="I14" s="41">
        <f t="shared" si="1"/>
        <v>0</v>
      </c>
      <c r="L14" s="50"/>
      <c r="M14" s="66"/>
    </row>
    <row r="15" spans="2:13">
      <c r="B15" t="s">
        <v>73</v>
      </c>
      <c r="C15" s="14">
        <v>4500</v>
      </c>
      <c r="D15" s="14">
        <v>4500</v>
      </c>
      <c r="E15" s="14">
        <v>4500</v>
      </c>
      <c r="F15" s="14">
        <v>4500</v>
      </c>
      <c r="G15" s="14">
        <v>4500</v>
      </c>
      <c r="H15" s="97">
        <v>4500</v>
      </c>
      <c r="I15" s="41">
        <f>SUM(C15:H15)</f>
        <v>27000</v>
      </c>
      <c r="L15" s="50"/>
      <c r="M15" s="64"/>
    </row>
    <row r="16" spans="2:13">
      <c r="B16" t="s">
        <v>79</v>
      </c>
      <c r="C16" s="18"/>
      <c r="D16" s="14"/>
      <c r="E16" s="14"/>
      <c r="F16" s="14"/>
      <c r="G16" s="14"/>
      <c r="H16" s="97"/>
      <c r="I16" s="41">
        <f t="shared" si="1"/>
        <v>0</v>
      </c>
      <c r="L16" s="51"/>
      <c r="M16" s="64"/>
    </row>
    <row r="17" spans="2:13">
      <c r="B17" s="16" t="s">
        <v>80</v>
      </c>
      <c r="C17" s="15">
        <f t="shared" ref="C17:H17" si="2">SUM(C10:C16)</f>
        <v>163858.62177323131</v>
      </c>
      <c r="D17" s="15">
        <f t="shared" si="2"/>
        <v>201901.57790252828</v>
      </c>
      <c r="E17" s="15">
        <f t="shared" si="2"/>
        <v>139090.2670023969</v>
      </c>
      <c r="F17" s="15">
        <f t="shared" si="2"/>
        <v>134750.25121274751</v>
      </c>
      <c r="G17" s="15">
        <f t="shared" si="2"/>
        <v>132788.06633834381</v>
      </c>
      <c r="H17" s="98">
        <f t="shared" si="2"/>
        <v>131183.54618722911</v>
      </c>
      <c r="I17" s="32">
        <f>SUM(C17:H17)</f>
        <v>903572.33041647694</v>
      </c>
      <c r="L17" s="69" t="s">
        <v>51</v>
      </c>
      <c r="M17" s="70">
        <f>+M4-M6-M7-M8-M9-M12-M13</f>
        <v>-816394.33041647682</v>
      </c>
    </row>
    <row r="18" spans="2:13">
      <c r="I18" s="41">
        <f t="shared" si="1"/>
        <v>0</v>
      </c>
    </row>
    <row r="19" spans="2:13">
      <c r="B19" s="16"/>
      <c r="C19" s="18"/>
      <c r="D19" s="14"/>
      <c r="E19" s="14"/>
      <c r="F19" s="14"/>
      <c r="G19" s="14"/>
      <c r="H19" s="97"/>
      <c r="I19" s="41">
        <f t="shared" si="1"/>
        <v>0</v>
      </c>
    </row>
    <row r="20" spans="2:13">
      <c r="B20" s="16" t="s">
        <v>51</v>
      </c>
      <c r="C20" s="15">
        <f t="shared" ref="C20:H20" si="3">+C6-C17</f>
        <v>-163858.62177323131</v>
      </c>
      <c r="D20" s="15">
        <f t="shared" si="3"/>
        <v>-114723.57790252828</v>
      </c>
      <c r="E20" s="15">
        <f t="shared" si="3"/>
        <v>-139090.2670023969</v>
      </c>
      <c r="F20" s="15">
        <f t="shared" si="3"/>
        <v>-134750.25121274751</v>
      </c>
      <c r="G20" s="15">
        <f t="shared" si="3"/>
        <v>-132788.06633834381</v>
      </c>
      <c r="H20" s="98">
        <f t="shared" si="3"/>
        <v>-131183.54618722911</v>
      </c>
      <c r="I20" s="32">
        <f t="shared" si="1"/>
        <v>-816394.33041647694</v>
      </c>
    </row>
    <row r="22" spans="2:13" s="19" customFormat="1">
      <c r="C22" s="20"/>
      <c r="D22" s="20"/>
      <c r="E22" s="20"/>
      <c r="H22" s="71"/>
      <c r="I22" s="40"/>
    </row>
    <row r="24" spans="2:13">
      <c r="B24" t="s">
        <v>82</v>
      </c>
    </row>
    <row r="25" spans="2:13">
      <c r="B25" s="23" t="s">
        <v>83</v>
      </c>
    </row>
  </sheetData>
  <conditionalFormatting sqref="B14:B17">
    <cfRule type="cellIs" dxfId="23" priority="6" operator="lessThan">
      <formula>0</formula>
    </cfRule>
  </conditionalFormatting>
  <conditionalFormatting sqref="C4:C5">
    <cfRule type="cellIs" dxfId="22" priority="11" operator="lessThan">
      <formula>0</formula>
    </cfRule>
  </conditionalFormatting>
  <conditionalFormatting sqref="L4 L17">
    <cfRule type="cellIs" dxfId="21" priority="7" operator="lessThan">
      <formula>0</formula>
    </cfRule>
  </conditionalFormatting>
  <conditionalFormatting sqref="L6:L9">
    <cfRule type="cellIs" dxfId="20" priority="8" operator="lessThan">
      <formula>0</formula>
    </cfRule>
  </conditionalFormatting>
  <conditionalFormatting sqref="L12:L13 B22">
    <cfRule type="cellIs" dxfId="19" priority="12" operator="lessThan">
      <formula>0</formula>
    </cfRule>
  </conditionalFormatting>
  <hyperlinks>
    <hyperlink ref="B25" r:id="rId1" xr:uid="{B877C03C-503C-4012-9B06-1463C94B231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1D8C-2F1E-4472-BACC-5851EBAA1EB1}">
  <sheetPr>
    <tabColor theme="9" tint="0.79998168889431442"/>
  </sheetPr>
  <dimension ref="B2:AO30"/>
  <sheetViews>
    <sheetView workbookViewId="0">
      <selection activeCell="C36" sqref="C36"/>
    </sheetView>
  </sheetViews>
  <sheetFormatPr defaultRowHeight="15"/>
  <cols>
    <col min="2" max="2" width="48.5703125" customWidth="1"/>
    <col min="3" max="3" width="16.28515625" customWidth="1"/>
    <col min="4" max="4" width="14.42578125" customWidth="1"/>
    <col min="5" max="5" width="15.85546875" customWidth="1"/>
    <col min="6" max="6" width="17.42578125" customWidth="1"/>
    <col min="7" max="8" width="14.7109375" bestFit="1" customWidth="1"/>
    <col min="9" max="9" width="23" style="50" customWidth="1"/>
    <col min="10" max="10" width="4.5703125" customWidth="1"/>
    <col min="11" max="11" width="6.42578125" customWidth="1"/>
    <col min="12" max="12" width="19.42578125" style="43" customWidth="1"/>
    <col min="13" max="13" width="19.140625" style="30" customWidth="1"/>
    <col min="14" max="14" width="4.7109375" customWidth="1"/>
    <col min="15" max="15" width="6.140625" customWidth="1"/>
    <col min="16" max="16" width="18.28515625" customWidth="1"/>
    <col min="17" max="17" width="18" customWidth="1"/>
    <col min="18" max="18" width="16.85546875" customWidth="1"/>
    <col min="19" max="20" width="19.5703125" customWidth="1"/>
    <col min="22" max="22" width="70.7109375" customWidth="1"/>
  </cols>
  <sheetData>
    <row r="2" spans="2:41" ht="30">
      <c r="B2" s="16" t="s">
        <v>66</v>
      </c>
      <c r="C2" s="130"/>
      <c r="D2" s="130"/>
      <c r="E2" s="130"/>
      <c r="F2" s="131"/>
      <c r="Q2" t="s">
        <v>85</v>
      </c>
      <c r="R2" s="29" t="s">
        <v>86</v>
      </c>
      <c r="S2" s="29" t="s">
        <v>87</v>
      </c>
      <c r="T2" s="29"/>
      <c r="V2" t="s">
        <v>88</v>
      </c>
      <c r="AC2" s="29"/>
    </row>
    <row r="3" spans="2:41">
      <c r="B3" s="16"/>
      <c r="C3" s="16"/>
      <c r="D3" s="16"/>
      <c r="E3" s="16"/>
      <c r="F3" s="16"/>
      <c r="M3" s="129" t="s">
        <v>21</v>
      </c>
      <c r="Q3">
        <v>2022</v>
      </c>
      <c r="R3">
        <v>2023</v>
      </c>
      <c r="S3">
        <v>2024</v>
      </c>
      <c r="T3" s="29"/>
      <c r="V3" t="s">
        <v>89</v>
      </c>
      <c r="AO3" t="s">
        <v>90</v>
      </c>
    </row>
    <row r="4" spans="2:41">
      <c r="B4" s="16" t="s">
        <v>91</v>
      </c>
      <c r="C4" s="134">
        <v>2019</v>
      </c>
      <c r="D4" s="134">
        <v>2020</v>
      </c>
      <c r="E4" s="134">
        <v>2021</v>
      </c>
      <c r="F4" s="16">
        <v>2022</v>
      </c>
      <c r="G4" s="24">
        <v>2023</v>
      </c>
      <c r="H4" s="24" t="s">
        <v>92</v>
      </c>
      <c r="I4" s="52" t="s">
        <v>93</v>
      </c>
      <c r="J4" s="24"/>
      <c r="K4" s="24"/>
      <c r="L4" s="138"/>
      <c r="M4" s="139" t="s">
        <v>6</v>
      </c>
      <c r="P4" t="s">
        <v>94</v>
      </c>
      <c r="Q4" s="14">
        <v>39322</v>
      </c>
      <c r="R4" s="14">
        <v>39322</v>
      </c>
      <c r="S4" s="14">
        <v>42008</v>
      </c>
      <c r="T4" s="29"/>
      <c r="V4" t="s">
        <v>95</v>
      </c>
      <c r="AO4" t="s">
        <v>89</v>
      </c>
    </row>
    <row r="5" spans="2:41">
      <c r="B5" s="34" t="s">
        <v>96</v>
      </c>
      <c r="C5" s="137"/>
      <c r="D5" s="137"/>
      <c r="E5" s="137"/>
      <c r="F5" s="34"/>
      <c r="G5" s="25"/>
      <c r="H5" s="25"/>
      <c r="I5" s="53"/>
      <c r="J5" s="25"/>
      <c r="K5" s="25"/>
      <c r="L5" s="140" t="s">
        <v>68</v>
      </c>
      <c r="M5" s="141">
        <f>+I10</f>
        <v>120673</v>
      </c>
      <c r="P5" t="s">
        <v>97</v>
      </c>
      <c r="Q5" s="14">
        <f>42927-2000</f>
        <v>40927</v>
      </c>
      <c r="R5" s="14">
        <f>41280-5700</f>
        <v>35580</v>
      </c>
      <c r="S5" s="14">
        <f>32940-2300-107</f>
        <v>30533</v>
      </c>
      <c r="T5" s="29"/>
      <c r="V5" t="s">
        <v>98</v>
      </c>
      <c r="AO5" t="s">
        <v>95</v>
      </c>
    </row>
    <row r="6" spans="2:41" s="16" customFormat="1">
      <c r="C6" s="134"/>
      <c r="D6" s="134"/>
      <c r="E6" s="134"/>
      <c r="G6" s="24"/>
      <c r="H6" s="24"/>
      <c r="I6" s="54"/>
      <c r="J6" s="25"/>
      <c r="K6" s="24"/>
      <c r="L6" s="140"/>
      <c r="M6" s="56"/>
      <c r="P6" t="s">
        <v>99</v>
      </c>
      <c r="Q6" s="14">
        <v>73584</v>
      </c>
      <c r="R6" s="14">
        <v>73584</v>
      </c>
      <c r="S6" s="14">
        <v>80893</v>
      </c>
      <c r="T6" s="29"/>
      <c r="U6"/>
      <c r="V6" t="s">
        <v>100</v>
      </c>
      <c r="W6"/>
      <c r="X6"/>
      <c r="Y6"/>
      <c r="Z6"/>
      <c r="AA6"/>
      <c r="AO6" s="16" t="s">
        <v>98</v>
      </c>
    </row>
    <row r="7" spans="2:41">
      <c r="B7" t="s">
        <v>101</v>
      </c>
      <c r="C7" s="26">
        <v>0</v>
      </c>
      <c r="D7" s="26">
        <v>0</v>
      </c>
      <c r="E7" s="26">
        <v>0</v>
      </c>
      <c r="F7" s="26">
        <v>0</v>
      </c>
      <c r="G7" s="26">
        <v>0</v>
      </c>
      <c r="H7" s="31">
        <v>0</v>
      </c>
      <c r="I7" s="55">
        <f>SUM(C7:H7)</f>
        <v>0</v>
      </c>
      <c r="J7" s="25"/>
      <c r="K7" s="42"/>
      <c r="L7" s="140" t="s">
        <v>71</v>
      </c>
      <c r="M7" s="141">
        <f>+I16+I12</f>
        <v>356773</v>
      </c>
      <c r="P7" s="16" t="s">
        <v>102</v>
      </c>
      <c r="Q7" s="15">
        <f>SUM(Q4:Q6)</f>
        <v>153833</v>
      </c>
      <c r="R7" s="15">
        <f>SUM(R4:R6)</f>
        <v>148486</v>
      </c>
      <c r="S7" s="15">
        <f>SUM(S4:S6)</f>
        <v>153434</v>
      </c>
      <c r="T7" s="29"/>
      <c r="V7" t="s">
        <v>103</v>
      </c>
      <c r="AO7" t="s">
        <v>100</v>
      </c>
    </row>
    <row r="8" spans="2:41">
      <c r="B8" t="s">
        <v>104</v>
      </c>
      <c r="C8" s="26">
        <v>0</v>
      </c>
      <c r="D8" s="26">
        <v>0</v>
      </c>
      <c r="E8" s="26">
        <v>0</v>
      </c>
      <c r="F8" s="26">
        <v>50173</v>
      </c>
      <c r="G8" s="31">
        <v>60000</v>
      </c>
      <c r="H8" s="31">
        <v>10500</v>
      </c>
      <c r="I8" s="55">
        <f>SUM(C8:H8)</f>
        <v>120673</v>
      </c>
      <c r="J8" s="25"/>
      <c r="K8" s="42"/>
      <c r="L8" s="140" t="s">
        <v>42</v>
      </c>
      <c r="M8" s="141">
        <f>+I15</f>
        <v>455753</v>
      </c>
      <c r="P8" s="16" t="s">
        <v>105</v>
      </c>
      <c r="Q8" s="15">
        <f>102212</f>
        <v>102212</v>
      </c>
      <c r="R8" s="15">
        <f>148012-41000</f>
        <v>107012</v>
      </c>
      <c r="S8" s="15">
        <f>106163+386</f>
        <v>106549</v>
      </c>
      <c r="T8" s="29"/>
      <c r="V8" t="s">
        <v>106</v>
      </c>
      <c r="AO8" t="s">
        <v>103</v>
      </c>
    </row>
    <row r="9" spans="2:41">
      <c r="B9" t="s">
        <v>70</v>
      </c>
      <c r="C9" s="26">
        <v>0</v>
      </c>
      <c r="D9" s="26">
        <v>0</v>
      </c>
      <c r="E9" s="26">
        <v>0</v>
      </c>
      <c r="F9" s="26">
        <f t="shared" ref="F9:F22" si="0">+G9*$F$2+G9</f>
        <v>0</v>
      </c>
      <c r="G9" s="31">
        <v>0</v>
      </c>
      <c r="H9" s="31">
        <v>0</v>
      </c>
      <c r="I9" s="55">
        <f t="shared" ref="I9:I19" si="1">SUM(C9:H9)</f>
        <v>0</v>
      </c>
      <c r="J9" s="25"/>
      <c r="K9" s="42"/>
      <c r="L9" s="140" t="s">
        <v>43</v>
      </c>
      <c r="M9" s="141">
        <f>+I17</f>
        <v>0</v>
      </c>
      <c r="N9" s="42"/>
      <c r="O9" s="42"/>
      <c r="P9" s="16" t="s">
        <v>107</v>
      </c>
      <c r="Q9" s="15"/>
      <c r="R9" s="15"/>
      <c r="S9" s="15">
        <v>119</v>
      </c>
      <c r="T9" s="29"/>
      <c r="V9" t="s">
        <v>108</v>
      </c>
      <c r="AO9" t="s">
        <v>106</v>
      </c>
    </row>
    <row r="10" spans="2:41">
      <c r="B10" s="16" t="s">
        <v>72</v>
      </c>
      <c r="C10" s="26">
        <v>0</v>
      </c>
      <c r="D10" s="26">
        <v>0</v>
      </c>
      <c r="E10" s="26">
        <v>0</v>
      </c>
      <c r="F10" s="116">
        <f>SUM(F7:F9)</f>
        <v>50173</v>
      </c>
      <c r="G10" s="116">
        <f>SUM(G7:G9)</f>
        <v>60000</v>
      </c>
      <c r="H10" s="116">
        <f t="shared" ref="H10" si="2">SUM(H7:H9)</f>
        <v>10500</v>
      </c>
      <c r="I10" s="55">
        <f>SUM(C10:H10)</f>
        <v>120673</v>
      </c>
      <c r="J10" s="25"/>
      <c r="K10" s="31"/>
      <c r="L10" s="140" t="s">
        <v>109</v>
      </c>
      <c r="M10" s="141">
        <f>+I18</f>
        <v>10000</v>
      </c>
      <c r="P10" s="16" t="s">
        <v>110</v>
      </c>
      <c r="R10" s="15">
        <v>41000</v>
      </c>
      <c r="T10" s="29"/>
      <c r="V10" t="s">
        <v>111</v>
      </c>
      <c r="AO10" t="s">
        <v>108</v>
      </c>
    </row>
    <row r="11" spans="2:41">
      <c r="B11" s="16"/>
      <c r="C11" s="134"/>
      <c r="D11" s="134"/>
      <c r="E11" s="134"/>
      <c r="F11" s="26">
        <f t="shared" si="0"/>
        <v>0</v>
      </c>
      <c r="G11" s="26"/>
      <c r="H11" s="26"/>
      <c r="I11" s="55"/>
      <c r="J11" s="25"/>
      <c r="K11" s="26"/>
      <c r="L11" s="142"/>
      <c r="M11" s="56"/>
      <c r="N11" s="26"/>
      <c r="P11" s="16" t="s">
        <v>112</v>
      </c>
      <c r="Q11" s="15">
        <v>2000</v>
      </c>
      <c r="R11" s="15">
        <v>5700</v>
      </c>
      <c r="S11" s="15">
        <v>2300</v>
      </c>
      <c r="T11" s="14"/>
      <c r="V11" t="s">
        <v>113</v>
      </c>
      <c r="AO11" t="s">
        <v>111</v>
      </c>
    </row>
    <row r="12" spans="2:41">
      <c r="B12" t="s">
        <v>114</v>
      </c>
      <c r="C12" s="135"/>
      <c r="D12" s="135"/>
      <c r="E12" s="135"/>
      <c r="F12" s="26"/>
      <c r="G12" s="26">
        <v>41000</v>
      </c>
      <c r="H12" s="26"/>
      <c r="I12" s="55">
        <f>SUM(C12:H12)</f>
        <v>41000</v>
      </c>
      <c r="J12" s="25"/>
      <c r="K12" s="26"/>
      <c r="L12" s="142"/>
      <c r="M12" s="56"/>
      <c r="N12" s="26"/>
      <c r="T12" s="14"/>
      <c r="V12" t="s">
        <v>115</v>
      </c>
      <c r="AF12" t="s">
        <v>116</v>
      </c>
      <c r="AO12" t="s">
        <v>113</v>
      </c>
    </row>
    <row r="13" spans="2:41">
      <c r="B13" t="s">
        <v>48</v>
      </c>
      <c r="C13" s="26">
        <v>0</v>
      </c>
      <c r="D13" s="26">
        <v>0</v>
      </c>
      <c r="E13" s="26">
        <v>0</v>
      </c>
      <c r="F13" s="26">
        <f>+Q12</f>
        <v>0</v>
      </c>
      <c r="G13" s="26">
        <f>+R12</f>
        <v>0</v>
      </c>
      <c r="H13" s="26">
        <f>+S12</f>
        <v>0</v>
      </c>
      <c r="I13" s="55">
        <f>SUM(C13:H13)</f>
        <v>0</v>
      </c>
      <c r="J13" s="25"/>
      <c r="K13" s="31"/>
      <c r="L13" s="140" t="s">
        <v>48</v>
      </c>
      <c r="M13" s="141">
        <f>+I13</f>
        <v>0</v>
      </c>
      <c r="Q13" s="61">
        <f>+Q7+Q8+Q12+Q11</f>
        <v>258045</v>
      </c>
      <c r="R13" s="61">
        <f>+R7+R8+R10+R11</f>
        <v>302198</v>
      </c>
      <c r="S13" s="61">
        <f>+S7+S8+S12+S11</f>
        <v>262283</v>
      </c>
      <c r="T13" s="14"/>
      <c r="V13" t="s">
        <v>117</v>
      </c>
      <c r="AF13" t="s">
        <v>118</v>
      </c>
      <c r="AO13" t="s">
        <v>115</v>
      </c>
    </row>
    <row r="14" spans="2:41">
      <c r="B14" t="s">
        <v>75</v>
      </c>
      <c r="C14" s="26">
        <v>0</v>
      </c>
      <c r="D14" s="26">
        <v>0</v>
      </c>
      <c r="E14" s="26">
        <v>0</v>
      </c>
      <c r="F14" s="26">
        <f t="shared" si="0"/>
        <v>0</v>
      </c>
      <c r="G14" s="26">
        <v>0</v>
      </c>
      <c r="H14" s="26">
        <v>0</v>
      </c>
      <c r="I14" s="55">
        <f t="shared" si="1"/>
        <v>0</v>
      </c>
      <c r="J14" s="25"/>
      <c r="K14" s="31"/>
      <c r="L14" s="140" t="s">
        <v>49</v>
      </c>
      <c r="M14" s="141">
        <f>+I14</f>
        <v>0</v>
      </c>
      <c r="T14" s="14"/>
      <c r="V14" t="s">
        <v>119</v>
      </c>
      <c r="AO14" t="s">
        <v>117</v>
      </c>
    </row>
    <row r="15" spans="2:41">
      <c r="B15" t="s">
        <v>77</v>
      </c>
      <c r="C15" s="26">
        <v>0</v>
      </c>
      <c r="D15" s="26">
        <v>0</v>
      </c>
      <c r="E15" s="26">
        <v>0</v>
      </c>
      <c r="F15" s="26">
        <f t="shared" ref="F15:H16" si="3">+Q7</f>
        <v>153833</v>
      </c>
      <c r="G15" s="26">
        <f>+R7</f>
        <v>148486</v>
      </c>
      <c r="H15" s="26">
        <f t="shared" si="3"/>
        <v>153434</v>
      </c>
      <c r="I15" s="55">
        <f>SUM(C15:H15)</f>
        <v>455753</v>
      </c>
      <c r="J15" s="25"/>
      <c r="K15" s="31"/>
      <c r="L15" s="142"/>
      <c r="M15" s="56"/>
      <c r="T15" s="14"/>
      <c r="AF15" t="s">
        <v>120</v>
      </c>
      <c r="AO15" t="s">
        <v>121</v>
      </c>
    </row>
    <row r="16" spans="2:41">
      <c r="B16" t="s">
        <v>78</v>
      </c>
      <c r="C16" s="26">
        <v>0</v>
      </c>
      <c r="D16" s="26">
        <v>0</v>
      </c>
      <c r="E16" s="26">
        <v>0</v>
      </c>
      <c r="F16" s="26">
        <f t="shared" si="3"/>
        <v>102212</v>
      </c>
      <c r="G16" s="26">
        <f>+R8</f>
        <v>107012</v>
      </c>
      <c r="H16" s="26">
        <f t="shared" si="3"/>
        <v>106549</v>
      </c>
      <c r="I16" s="55">
        <f>SUM(C16:H16)</f>
        <v>315773</v>
      </c>
      <c r="J16" s="25"/>
      <c r="K16" s="31"/>
      <c r="L16" s="140"/>
      <c r="M16" s="56"/>
      <c r="T16" s="14"/>
      <c r="AF16" t="s">
        <v>122</v>
      </c>
    </row>
    <row r="17" spans="2:32">
      <c r="B17" t="s">
        <v>43</v>
      </c>
      <c r="C17" s="26">
        <v>0</v>
      </c>
      <c r="D17" s="26">
        <v>0</v>
      </c>
      <c r="E17" s="26">
        <v>0</v>
      </c>
      <c r="F17" s="26">
        <f t="shared" si="0"/>
        <v>0</v>
      </c>
      <c r="G17" s="26">
        <v>0</v>
      </c>
      <c r="H17" s="26">
        <v>0</v>
      </c>
      <c r="I17" s="55">
        <f t="shared" si="1"/>
        <v>0</v>
      </c>
      <c r="J17" s="31"/>
      <c r="K17" s="31"/>
      <c r="L17" s="143" t="s">
        <v>51</v>
      </c>
      <c r="M17" s="144">
        <f>+I23</f>
        <v>-701853</v>
      </c>
      <c r="T17" s="14"/>
      <c r="AF17" t="s">
        <v>123</v>
      </c>
    </row>
    <row r="18" spans="2:32">
      <c r="B18" t="s">
        <v>73</v>
      </c>
      <c r="C18" s="26">
        <v>0</v>
      </c>
      <c r="D18" s="26">
        <v>0</v>
      </c>
      <c r="E18" s="26">
        <v>0</v>
      </c>
      <c r="F18" s="26">
        <f>+Q11</f>
        <v>2000</v>
      </c>
      <c r="G18" s="26">
        <f>+R11</f>
        <v>5700</v>
      </c>
      <c r="H18" s="26">
        <v>2300</v>
      </c>
      <c r="I18" s="55">
        <f>SUM(C18:H18)</f>
        <v>10000</v>
      </c>
      <c r="J18" s="31"/>
      <c r="K18" s="31"/>
      <c r="L18" s="44"/>
      <c r="M18" s="47"/>
      <c r="T18" s="14"/>
      <c r="AF18" t="s">
        <v>124</v>
      </c>
    </row>
    <row r="19" spans="2:32">
      <c r="B19" t="s">
        <v>125</v>
      </c>
      <c r="C19" s="26">
        <v>0</v>
      </c>
      <c r="D19" s="26">
        <v>0</v>
      </c>
      <c r="E19" s="26">
        <v>0</v>
      </c>
      <c r="F19" s="26">
        <f t="shared" si="0"/>
        <v>0</v>
      </c>
      <c r="G19" s="26"/>
      <c r="H19" s="26"/>
      <c r="I19" s="55">
        <f t="shared" si="1"/>
        <v>0</v>
      </c>
      <c r="J19" s="31"/>
      <c r="K19" s="31"/>
      <c r="L19" s="44"/>
      <c r="M19" s="47"/>
      <c r="T19" s="14"/>
      <c r="AF19" t="s">
        <v>126</v>
      </c>
    </row>
    <row r="20" spans="2:32">
      <c r="B20" s="16" t="s">
        <v>80</v>
      </c>
      <c r="C20" s="26">
        <v>0</v>
      </c>
      <c r="D20" s="26">
        <v>0</v>
      </c>
      <c r="E20" s="26">
        <v>0</v>
      </c>
      <c r="F20" s="27">
        <f>SUM(F13:F19)</f>
        <v>258045</v>
      </c>
      <c r="G20" s="27">
        <f>SUM(G12:G19)</f>
        <v>302198</v>
      </c>
      <c r="H20" s="27">
        <f>SUM(H13:H19)</f>
        <v>262283</v>
      </c>
      <c r="I20" s="55">
        <f>SUM(C20:H20)</f>
        <v>822526</v>
      </c>
      <c r="J20" s="31"/>
      <c r="K20" s="31"/>
      <c r="L20" s="44"/>
      <c r="M20" s="47"/>
      <c r="N20" s="14"/>
      <c r="O20" s="14"/>
      <c r="T20" s="14"/>
      <c r="AF20" t="s">
        <v>127</v>
      </c>
    </row>
    <row r="21" spans="2:32">
      <c r="C21" s="26"/>
      <c r="D21" s="26"/>
      <c r="E21" s="26"/>
      <c r="F21" s="26">
        <f t="shared" si="0"/>
        <v>0</v>
      </c>
      <c r="G21" s="25"/>
      <c r="H21" s="25"/>
      <c r="I21" s="55"/>
      <c r="J21" s="25"/>
      <c r="K21" s="25"/>
      <c r="N21" s="25"/>
      <c r="O21" s="25"/>
      <c r="T21" s="14"/>
      <c r="AF21" t="s">
        <v>128</v>
      </c>
    </row>
    <row r="22" spans="2:32">
      <c r="C22" s="26"/>
      <c r="D22" s="26"/>
      <c r="E22" s="26"/>
      <c r="F22" s="26">
        <f t="shared" si="0"/>
        <v>0</v>
      </c>
      <c r="G22" s="26"/>
      <c r="H22" s="26"/>
      <c r="I22" s="55"/>
      <c r="J22" s="26"/>
      <c r="K22" s="26"/>
      <c r="L22" s="45"/>
      <c r="M22" s="41"/>
      <c r="N22" s="26"/>
      <c r="O22" s="26"/>
      <c r="T22" s="14"/>
    </row>
    <row r="23" spans="2:32">
      <c r="B23" s="16" t="s">
        <v>51</v>
      </c>
      <c r="C23" s="26">
        <v>0</v>
      </c>
      <c r="D23" s="26">
        <v>0</v>
      </c>
      <c r="E23" s="26">
        <v>0</v>
      </c>
      <c r="F23" s="27">
        <f>+F10-F20</f>
        <v>-207872</v>
      </c>
      <c r="G23" s="27">
        <f>+G10-G20</f>
        <v>-242198</v>
      </c>
      <c r="H23" s="27">
        <f>+H10-H20</f>
        <v>-251783</v>
      </c>
      <c r="I23" s="63">
        <f>SUM(I10-I20)</f>
        <v>-701853</v>
      </c>
      <c r="J23" s="31"/>
      <c r="K23" s="31"/>
      <c r="L23" s="44"/>
      <c r="M23" s="47"/>
      <c r="T23" s="14"/>
    </row>
    <row r="24" spans="2:32">
      <c r="S24" s="14"/>
    </row>
    <row r="25" spans="2:32" s="19" customFormat="1">
      <c r="B25" s="133" t="s">
        <v>129</v>
      </c>
      <c r="G25" s="20"/>
      <c r="H25" s="20"/>
      <c r="I25" s="114"/>
      <c r="J25" s="20"/>
      <c r="K25" s="20"/>
      <c r="L25" s="46"/>
      <c r="M25" s="48"/>
    </row>
    <row r="26" spans="2:32">
      <c r="B26" s="21" t="s">
        <v>130</v>
      </c>
      <c r="G26" s="28"/>
    </row>
    <row r="27" spans="2:32">
      <c r="B27" s="22"/>
      <c r="C27" s="22"/>
      <c r="D27" s="22"/>
      <c r="E27" s="22"/>
      <c r="F27" s="132"/>
      <c r="G27" s="14"/>
      <c r="H27" s="14"/>
      <c r="I27" s="113"/>
      <c r="J27" s="14"/>
      <c r="K27" s="14"/>
      <c r="L27" s="45"/>
      <c r="M27" s="41"/>
    </row>
    <row r="29" spans="2:32">
      <c r="B29" t="s">
        <v>82</v>
      </c>
    </row>
    <row r="30" spans="2:32">
      <c r="B30" s="23" t="s">
        <v>131</v>
      </c>
      <c r="C30" s="23"/>
      <c r="D30" s="23"/>
      <c r="E30" s="23"/>
      <c r="F30" s="23"/>
    </row>
  </sheetData>
  <conditionalFormatting sqref="B15:B18">
    <cfRule type="cellIs" dxfId="18" priority="3" operator="lessThan">
      <formula>0</formula>
    </cfRule>
  </conditionalFormatting>
  <conditionalFormatting sqref="B25:F25">
    <cfRule type="cellIs" dxfId="17" priority="9" operator="lessThan">
      <formula>0</formula>
    </cfRule>
  </conditionalFormatting>
  <conditionalFormatting sqref="L5 L13:L14 L17">
    <cfRule type="cellIs" dxfId="16" priority="5" operator="lessThan">
      <formula>0</formula>
    </cfRule>
  </conditionalFormatting>
  <conditionalFormatting sqref="L7:L10">
    <cfRule type="cellIs" dxfId="15" priority="6" operator="lessThan">
      <formula>0</formula>
    </cfRule>
  </conditionalFormatting>
  <hyperlinks>
    <hyperlink ref="B30" r:id="rId1" xr:uid="{6837F482-AC70-44B4-A4FA-83065C37336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78C46-F7F1-4AE1-B28F-3268B2D98FCB}">
  <sheetPr>
    <tabColor theme="8" tint="0.59999389629810485"/>
  </sheetPr>
  <dimension ref="B1:M38"/>
  <sheetViews>
    <sheetView workbookViewId="0">
      <selection activeCell="A13" sqref="A13"/>
    </sheetView>
  </sheetViews>
  <sheetFormatPr defaultRowHeight="15"/>
  <cols>
    <col min="2" max="2" width="37.5703125" customWidth="1"/>
    <col min="3" max="5" width="13.85546875" bestFit="1" customWidth="1"/>
    <col min="6" max="6" width="13.42578125" customWidth="1"/>
    <col min="7" max="7" width="17.28515625" style="30" customWidth="1"/>
    <col min="8" max="8" width="17.28515625" style="64" customWidth="1"/>
    <col min="9" max="9" width="15.140625" customWidth="1"/>
    <col min="12" max="12" width="16.85546875" customWidth="1"/>
    <col min="13" max="13" width="21" customWidth="1"/>
  </cols>
  <sheetData>
    <row r="1" spans="2:13">
      <c r="H1" s="30"/>
    </row>
    <row r="2" spans="2:13">
      <c r="H2" s="30"/>
      <c r="I2" s="39"/>
      <c r="M2" s="117" t="s">
        <v>65</v>
      </c>
    </row>
    <row r="3" spans="2:13">
      <c r="B3" s="16" t="s">
        <v>66</v>
      </c>
      <c r="C3" s="58">
        <v>2019</v>
      </c>
      <c r="D3" s="58">
        <v>2020</v>
      </c>
      <c r="E3" s="58">
        <v>2021</v>
      </c>
      <c r="F3" s="58">
        <v>2022</v>
      </c>
      <c r="G3" s="39">
        <v>2023</v>
      </c>
      <c r="H3" s="125">
        <v>2024</v>
      </c>
      <c r="I3" s="125" t="s">
        <v>11</v>
      </c>
      <c r="L3" s="68"/>
      <c r="M3" s="129" t="s">
        <v>6</v>
      </c>
    </row>
    <row r="4" spans="2:13">
      <c r="B4" s="34" t="s">
        <v>132</v>
      </c>
      <c r="C4" s="135"/>
      <c r="D4" s="135"/>
      <c r="E4" s="135"/>
      <c r="F4" s="135"/>
      <c r="L4" s="51" t="s">
        <v>68</v>
      </c>
      <c r="M4" s="65">
        <f>+I8</f>
        <v>0</v>
      </c>
    </row>
    <row r="5" spans="2:13" ht="15.75" customHeight="1">
      <c r="B5" s="16"/>
      <c r="C5" s="135"/>
      <c r="D5" s="135"/>
      <c r="E5" s="135"/>
      <c r="F5" s="135"/>
      <c r="G5" s="39"/>
      <c r="H5" s="125"/>
      <c r="I5" s="29"/>
      <c r="L5" s="51"/>
      <c r="M5" s="64"/>
    </row>
    <row r="6" spans="2:13" ht="18" customHeight="1">
      <c r="B6" t="s">
        <v>69</v>
      </c>
      <c r="C6" s="41">
        <v>0</v>
      </c>
      <c r="D6" s="41">
        <v>0</v>
      </c>
      <c r="E6" s="41">
        <v>0</v>
      </c>
      <c r="F6" s="41">
        <v>0</v>
      </c>
      <c r="G6" s="41">
        <v>0</v>
      </c>
      <c r="H6" s="65">
        <v>0</v>
      </c>
      <c r="I6" s="49">
        <f>SUM(C6:H6)</f>
        <v>0</v>
      </c>
      <c r="L6" s="51" t="s">
        <v>57</v>
      </c>
      <c r="M6" s="65">
        <f>+I14</f>
        <v>246918.84999999998</v>
      </c>
    </row>
    <row r="7" spans="2:13" s="16" customFormat="1">
      <c r="B7" t="s">
        <v>70</v>
      </c>
      <c r="C7" s="41">
        <v>0</v>
      </c>
      <c r="D7" s="41">
        <v>0</v>
      </c>
      <c r="E7" s="41">
        <v>0</v>
      </c>
      <c r="F7" s="41">
        <v>0</v>
      </c>
      <c r="G7" s="41">
        <v>0</v>
      </c>
      <c r="H7" s="65">
        <v>0</v>
      </c>
      <c r="I7" s="49">
        <f>SUM(C7:H7)</f>
        <v>0</v>
      </c>
      <c r="L7" s="51" t="s">
        <v>42</v>
      </c>
      <c r="M7" s="65">
        <f>+I13</f>
        <v>70791.23</v>
      </c>
    </row>
    <row r="8" spans="2:13">
      <c r="B8" s="16" t="s">
        <v>72</v>
      </c>
      <c r="C8" s="126">
        <f t="shared" ref="C8:F8" si="0">+C6+C7</f>
        <v>0</v>
      </c>
      <c r="D8" s="126">
        <f t="shared" si="0"/>
        <v>0</v>
      </c>
      <c r="E8" s="126">
        <f t="shared" si="0"/>
        <v>0</v>
      </c>
      <c r="F8" s="126">
        <f t="shared" si="0"/>
        <v>0</v>
      </c>
      <c r="G8" s="126">
        <f t="shared" ref="G8" si="1">+G6+G7</f>
        <v>0</v>
      </c>
      <c r="H8" s="126">
        <f t="shared" ref="H8" si="2">+H6+H7</f>
        <v>0</v>
      </c>
      <c r="I8" s="67">
        <f>SUM(C8:H8)</f>
        <v>0</v>
      </c>
      <c r="L8" s="51" t="s">
        <v>43</v>
      </c>
      <c r="M8" s="65">
        <f>+D15</f>
        <v>0</v>
      </c>
    </row>
    <row r="9" spans="2:13">
      <c r="B9" s="16"/>
      <c r="C9" s="135"/>
      <c r="D9" s="135"/>
      <c r="E9" s="135"/>
      <c r="F9" s="135"/>
      <c r="G9" s="14"/>
      <c r="H9" s="97"/>
      <c r="I9" s="14"/>
      <c r="J9" s="14"/>
      <c r="K9" s="14"/>
      <c r="L9" s="51" t="s">
        <v>109</v>
      </c>
      <c r="M9" s="65">
        <f>+D16</f>
        <v>0</v>
      </c>
    </row>
    <row r="10" spans="2:13">
      <c r="B10" t="s">
        <v>133</v>
      </c>
      <c r="C10" s="135"/>
      <c r="D10" s="135"/>
      <c r="E10" s="135"/>
      <c r="F10" s="135"/>
      <c r="G10" s="14"/>
      <c r="H10" s="97"/>
      <c r="I10" s="14"/>
      <c r="J10" s="14"/>
      <c r="K10" s="14"/>
      <c r="L10" s="50"/>
      <c r="M10" s="64"/>
    </row>
    <row r="11" spans="2:13">
      <c r="B11" t="s">
        <v>76</v>
      </c>
      <c r="C11" s="135"/>
      <c r="D11" s="135"/>
      <c r="E11" s="135"/>
      <c r="F11" s="135"/>
      <c r="G11" s="14"/>
      <c r="H11" s="97"/>
      <c r="I11" s="14"/>
      <c r="J11" s="14"/>
      <c r="K11" s="14"/>
      <c r="L11" s="51"/>
      <c r="M11" s="64"/>
    </row>
    <row r="12" spans="2:13">
      <c r="B12" t="s">
        <v>75</v>
      </c>
      <c r="C12" s="135"/>
      <c r="D12" s="135"/>
      <c r="E12" s="135"/>
      <c r="F12" s="135"/>
      <c r="G12" s="14"/>
      <c r="H12" s="97"/>
      <c r="I12" s="14"/>
      <c r="J12" s="14"/>
      <c r="K12" s="14"/>
      <c r="L12" s="51" t="s">
        <v>48</v>
      </c>
      <c r="M12" s="65">
        <f>+D11</f>
        <v>0</v>
      </c>
    </row>
    <row r="13" spans="2:13">
      <c r="B13" t="s">
        <v>77</v>
      </c>
      <c r="C13" s="41">
        <v>0</v>
      </c>
      <c r="D13" s="41">
        <v>0</v>
      </c>
      <c r="E13" s="41">
        <v>0</v>
      </c>
      <c r="F13" s="41">
        <v>0</v>
      </c>
      <c r="G13" s="41">
        <v>45023.59</v>
      </c>
      <c r="H13" s="65">
        <f>17106.09+8661.55</f>
        <v>25767.64</v>
      </c>
      <c r="I13" s="49">
        <f>SUM(C13:H13)</f>
        <v>70791.23</v>
      </c>
      <c r="L13" s="51" t="s">
        <v>49</v>
      </c>
      <c r="M13" s="65">
        <f>+D12</f>
        <v>0</v>
      </c>
    </row>
    <row r="14" spans="2:13">
      <c r="B14" t="s">
        <v>78</v>
      </c>
      <c r="C14" s="41">
        <v>0</v>
      </c>
      <c r="D14" s="41">
        <v>0</v>
      </c>
      <c r="E14" s="41">
        <v>0</v>
      </c>
      <c r="F14" s="41">
        <v>0</v>
      </c>
      <c r="G14" s="41">
        <v>141541.4</v>
      </c>
      <c r="H14" s="65">
        <v>105377.45</v>
      </c>
      <c r="I14" s="49">
        <f>SUM(C14:H14)</f>
        <v>246918.84999999998</v>
      </c>
      <c r="L14" s="50"/>
      <c r="M14" s="64"/>
    </row>
    <row r="15" spans="2:13">
      <c r="B15" t="s">
        <v>43</v>
      </c>
      <c r="C15" s="135"/>
      <c r="D15" s="135"/>
      <c r="E15" s="135"/>
      <c r="F15" s="135"/>
      <c r="G15" s="14"/>
      <c r="H15" s="66"/>
      <c r="L15" s="51"/>
      <c r="M15" s="64"/>
    </row>
    <row r="16" spans="2:13">
      <c r="B16" t="s">
        <v>73</v>
      </c>
      <c r="C16" s="135"/>
      <c r="D16" s="135"/>
      <c r="E16" s="135"/>
      <c r="F16" s="135"/>
      <c r="G16"/>
      <c r="H16" s="66"/>
      <c r="L16" s="69" t="s">
        <v>51</v>
      </c>
      <c r="M16" s="70">
        <f>+M4-M6-M7-M8-M9-M12-M13</f>
        <v>-317710.07999999996</v>
      </c>
    </row>
    <row r="17" spans="2:9">
      <c r="B17" t="s">
        <v>79</v>
      </c>
      <c r="C17" s="135"/>
      <c r="D17" s="135"/>
      <c r="E17" s="135"/>
      <c r="F17" s="135"/>
      <c r="G17"/>
      <c r="H17" s="66"/>
    </row>
    <row r="18" spans="2:9">
      <c r="B18" s="16" t="s">
        <v>80</v>
      </c>
      <c r="C18" s="41">
        <v>0</v>
      </c>
      <c r="D18" s="41">
        <v>0</v>
      </c>
      <c r="E18" s="41">
        <v>0</v>
      </c>
      <c r="F18" s="41">
        <v>0</v>
      </c>
      <c r="G18" s="32">
        <f>SUM(G10:G17)</f>
        <v>186564.99</v>
      </c>
      <c r="H18" s="126">
        <f>SUM(H11:H17)</f>
        <v>131145.09</v>
      </c>
      <c r="I18" s="67">
        <f>SUM(C18:H18)</f>
        <v>317710.07999999996</v>
      </c>
    </row>
    <row r="19" spans="2:9">
      <c r="C19" s="135"/>
      <c r="D19" s="135"/>
      <c r="E19" s="135"/>
      <c r="F19" s="135"/>
    </row>
    <row r="20" spans="2:9">
      <c r="C20" s="135"/>
      <c r="D20" s="135"/>
      <c r="E20" s="135"/>
      <c r="F20" s="135"/>
      <c r="G20" s="41"/>
      <c r="H20" s="65"/>
    </row>
    <row r="21" spans="2:9">
      <c r="B21" s="16" t="s">
        <v>51</v>
      </c>
      <c r="C21" s="41">
        <v>0</v>
      </c>
      <c r="D21" s="41">
        <v>0</v>
      </c>
      <c r="E21" s="41">
        <v>0</v>
      </c>
      <c r="F21" s="41">
        <v>0</v>
      </c>
      <c r="G21" s="32">
        <f>+G8-G18</f>
        <v>-186564.99</v>
      </c>
      <c r="H21" s="126">
        <f t="shared" ref="H21" si="3">+H8-H18</f>
        <v>-131145.09</v>
      </c>
      <c r="I21" s="67">
        <f>SUM(C21:H21)</f>
        <v>-317710.07999999996</v>
      </c>
    </row>
    <row r="22" spans="2:9" s="60" customFormat="1">
      <c r="C22" s="136"/>
      <c r="D22" s="136"/>
      <c r="E22" s="136"/>
      <c r="F22" s="136"/>
      <c r="G22" s="128"/>
      <c r="H22" s="128"/>
    </row>
    <row r="23" spans="2:9">
      <c r="H23" s="30"/>
    </row>
    <row r="24" spans="2:9">
      <c r="H24" s="30"/>
    </row>
    <row r="25" spans="2:9">
      <c r="B25" t="s">
        <v>82</v>
      </c>
      <c r="H25" s="30"/>
    </row>
    <row r="26" spans="2:9">
      <c r="B26" s="23" t="s">
        <v>83</v>
      </c>
      <c r="H26" s="30"/>
    </row>
    <row r="27" spans="2:9">
      <c r="H27" s="30"/>
    </row>
    <row r="28" spans="2:9">
      <c r="H28" s="30"/>
    </row>
    <row r="29" spans="2:9">
      <c r="H29" s="30"/>
    </row>
    <row r="30" spans="2:9">
      <c r="H30" s="30"/>
    </row>
    <row r="31" spans="2:9">
      <c r="H31" s="30"/>
    </row>
    <row r="32" spans="2:9">
      <c r="H32" s="30"/>
    </row>
    <row r="33" spans="8:8">
      <c r="H33" s="30"/>
    </row>
    <row r="34" spans="8:8">
      <c r="H34" s="30"/>
    </row>
    <row r="35" spans="8:8">
      <c r="H35" s="30"/>
    </row>
    <row r="36" spans="8:8">
      <c r="H36" s="30"/>
    </row>
    <row r="37" spans="8:8">
      <c r="H37" s="30"/>
    </row>
    <row r="38" spans="8:8">
      <c r="H38" s="30"/>
    </row>
  </sheetData>
  <conditionalFormatting sqref="B13:B16">
    <cfRule type="cellIs" dxfId="14" priority="5" operator="lessThan">
      <formula>0</formula>
    </cfRule>
  </conditionalFormatting>
  <conditionalFormatting sqref="B22">
    <cfRule type="cellIs" dxfId="13" priority="6" operator="lessThan">
      <formula>0</formula>
    </cfRule>
  </conditionalFormatting>
  <conditionalFormatting sqref="L4 L12:L13 L16">
    <cfRule type="cellIs" dxfId="12" priority="3" operator="lessThan">
      <formula>0</formula>
    </cfRule>
  </conditionalFormatting>
  <conditionalFormatting sqref="L6:L9">
    <cfRule type="cellIs" dxfId="11" priority="4" operator="lessThan">
      <formula>0</formula>
    </cfRule>
  </conditionalFormatting>
  <hyperlinks>
    <hyperlink ref="B26" r:id="rId1" xr:uid="{44B0BA67-230C-486E-AC73-6D1712E6183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F877-7F1C-4ABD-B2D0-4BB9F86D34BF}">
  <sheetPr>
    <tabColor theme="8" tint="0.59999389629810485"/>
  </sheetPr>
  <dimension ref="B1:P56"/>
  <sheetViews>
    <sheetView workbookViewId="0">
      <selection activeCell="D31" sqref="D31"/>
    </sheetView>
  </sheetViews>
  <sheetFormatPr defaultRowHeight="15"/>
  <cols>
    <col min="2" max="2" width="37.5703125" customWidth="1"/>
    <col min="3" max="3" width="24.140625" customWidth="1"/>
    <col min="4" max="4" width="16" customWidth="1"/>
    <col min="5" max="5" width="19.28515625" customWidth="1"/>
    <col min="6" max="6" width="17.42578125" customWidth="1"/>
    <col min="7" max="8" width="14.7109375" bestFit="1" customWidth="1"/>
    <col min="9" max="9" width="20" style="50" customWidth="1"/>
    <col min="10" max="12" width="10.7109375" customWidth="1"/>
    <col min="13" max="13" width="24.85546875" customWidth="1"/>
    <col min="14" max="14" width="17.85546875" customWidth="1"/>
    <col min="15" max="15" width="15.7109375" customWidth="1"/>
    <col min="16" max="16" width="50.42578125" customWidth="1"/>
  </cols>
  <sheetData>
    <row r="1" spans="2:16">
      <c r="I1"/>
    </row>
    <row r="2" spans="2:16">
      <c r="G2" s="59"/>
      <c r="I2"/>
    </row>
    <row r="3" spans="2:16">
      <c r="B3" s="16" t="s">
        <v>66</v>
      </c>
      <c r="H3" s="62"/>
      <c r="I3"/>
      <c r="N3" s="117" t="s">
        <v>65</v>
      </c>
      <c r="O3" s="16"/>
      <c r="P3" t="s">
        <v>134</v>
      </c>
    </row>
    <row r="4" spans="2:16" s="16" customFormat="1" ht="20.25" customHeight="1">
      <c r="B4" s="16" t="s">
        <v>91</v>
      </c>
      <c r="C4" s="134">
        <v>2019</v>
      </c>
      <c r="D4" s="134">
        <v>2020</v>
      </c>
      <c r="E4" s="134">
        <v>2021</v>
      </c>
      <c r="F4" s="134">
        <v>2022</v>
      </c>
      <c r="G4" s="24">
        <v>2023</v>
      </c>
      <c r="H4" s="115" t="s">
        <v>92</v>
      </c>
      <c r="I4" s="52" t="s">
        <v>135</v>
      </c>
      <c r="M4" s="121"/>
      <c r="N4" s="129" t="s">
        <v>11</v>
      </c>
      <c r="P4" s="204" t="s">
        <v>136</v>
      </c>
    </row>
    <row r="5" spans="2:16" ht="14.25" customHeight="1">
      <c r="B5" s="34" t="s">
        <v>137</v>
      </c>
      <c r="C5" s="135"/>
      <c r="D5" s="135"/>
      <c r="E5" s="135"/>
      <c r="F5" s="135"/>
      <c r="G5" s="25"/>
      <c r="H5" s="25"/>
      <c r="I5" s="53"/>
      <c r="M5" s="122" t="s">
        <v>68</v>
      </c>
      <c r="N5" s="119">
        <f>+I9</f>
        <v>2247047.7999999998</v>
      </c>
      <c r="P5" s="204"/>
    </row>
    <row r="6" spans="2:16" s="16" customFormat="1">
      <c r="C6" s="135"/>
      <c r="D6" s="135"/>
      <c r="E6" s="135"/>
      <c r="F6" s="135"/>
      <c r="G6" s="24"/>
      <c r="H6" s="24"/>
      <c r="I6" s="55"/>
      <c r="J6"/>
      <c r="M6" s="123"/>
      <c r="N6" s="66"/>
      <c r="P6" s="204"/>
    </row>
    <row r="7" spans="2:16">
      <c r="B7" t="s">
        <v>69</v>
      </c>
      <c r="C7" s="26">
        <v>0</v>
      </c>
      <c r="D7" s="26">
        <v>0</v>
      </c>
      <c r="E7" s="26">
        <v>0</v>
      </c>
      <c r="F7" s="26">
        <v>0</v>
      </c>
      <c r="G7" s="26">
        <v>1226157.5</v>
      </c>
      <c r="H7" s="26">
        <v>1020890.3</v>
      </c>
      <c r="I7" s="63">
        <f>SUM(C7:H7)</f>
        <v>2247047.7999999998</v>
      </c>
      <c r="J7" s="28"/>
      <c r="M7" s="123" t="str">
        <f>+B15</f>
        <v>Maintenance costs (OPEX)</v>
      </c>
      <c r="N7" s="97">
        <f>+I15</f>
        <v>1460621.39</v>
      </c>
      <c r="O7" s="14"/>
      <c r="P7" s="204"/>
    </row>
    <row r="8" spans="2:16">
      <c r="B8" t="s">
        <v>70</v>
      </c>
      <c r="C8" s="26">
        <v>0</v>
      </c>
      <c r="D8" s="26">
        <v>0</v>
      </c>
      <c r="E8" s="26">
        <v>0</v>
      </c>
      <c r="F8" s="26">
        <v>0</v>
      </c>
      <c r="G8" s="26">
        <v>0</v>
      </c>
      <c r="H8" s="26">
        <v>0</v>
      </c>
      <c r="I8" s="63">
        <f t="shared" ref="I8:I22" si="0">SUM(C8:H8)</f>
        <v>0</v>
      </c>
      <c r="M8" s="123" t="s">
        <v>42</v>
      </c>
      <c r="N8" s="97">
        <f>+I14+I18</f>
        <v>525694.18999999994</v>
      </c>
      <c r="P8" s="204"/>
    </row>
    <row r="9" spans="2:16">
      <c r="B9" s="16" t="s">
        <v>72</v>
      </c>
      <c r="C9" s="135"/>
      <c r="D9" s="135"/>
      <c r="E9" s="135"/>
      <c r="F9" s="135"/>
      <c r="G9" s="27">
        <f>+G7+G8</f>
        <v>1226157.5</v>
      </c>
      <c r="H9" s="27">
        <f t="shared" ref="H9" si="1">+H7+H8</f>
        <v>1020890.3</v>
      </c>
      <c r="I9" s="63">
        <f t="shared" si="0"/>
        <v>2247047.7999999998</v>
      </c>
      <c r="M9" s="123" t="s">
        <v>43</v>
      </c>
      <c r="N9" s="97">
        <f>+I16</f>
        <v>280856.62</v>
      </c>
      <c r="P9" s="204"/>
    </row>
    <row r="10" spans="2:16">
      <c r="B10" s="16"/>
      <c r="C10" s="135"/>
      <c r="D10" s="135"/>
      <c r="E10" s="135"/>
      <c r="F10" s="135"/>
      <c r="G10" s="26"/>
      <c r="H10" s="26"/>
      <c r="I10" s="63">
        <f t="shared" si="0"/>
        <v>0</v>
      </c>
      <c r="M10" s="123" t="s">
        <v>73</v>
      </c>
      <c r="N10" s="97">
        <f>+I17</f>
        <v>14963.5</v>
      </c>
    </row>
    <row r="11" spans="2:16">
      <c r="B11" s="16"/>
      <c r="C11" s="135"/>
      <c r="D11" s="135"/>
      <c r="E11" s="135"/>
      <c r="F11" s="135"/>
      <c r="G11" s="26"/>
      <c r="H11" s="26"/>
      <c r="I11" s="63">
        <f t="shared" si="0"/>
        <v>0</v>
      </c>
      <c r="M11" s="123"/>
      <c r="N11" s="66"/>
    </row>
    <row r="12" spans="2:16">
      <c r="B12" t="s">
        <v>48</v>
      </c>
      <c r="C12" s="26">
        <v>0</v>
      </c>
      <c r="D12" s="26">
        <v>0</v>
      </c>
      <c r="E12" s="26">
        <v>0</v>
      </c>
      <c r="F12" s="26">
        <v>0</v>
      </c>
      <c r="G12" s="26">
        <v>267392.37</v>
      </c>
      <c r="H12" s="26">
        <v>96089.05</v>
      </c>
      <c r="I12" s="63">
        <f t="shared" si="0"/>
        <v>363481.42</v>
      </c>
      <c r="J12" s="28">
        <f>+I12/$I$19</f>
        <v>0.13193090568663068</v>
      </c>
      <c r="L12" s="28"/>
      <c r="M12" s="123"/>
      <c r="N12" s="66"/>
    </row>
    <row r="13" spans="2:16">
      <c r="B13" t="s">
        <v>75</v>
      </c>
      <c r="C13" s="26">
        <v>0</v>
      </c>
      <c r="D13" s="26">
        <v>0</v>
      </c>
      <c r="E13" s="26">
        <v>0</v>
      </c>
      <c r="F13" s="26">
        <v>0</v>
      </c>
      <c r="G13" s="26">
        <v>57947.06</v>
      </c>
      <c r="H13" s="26">
        <v>51525.07</v>
      </c>
      <c r="I13" s="63">
        <f t="shared" si="0"/>
        <v>109472.13</v>
      </c>
      <c r="J13" s="28">
        <f t="shared" ref="J13:J19" si="2">+I13/$I$19</f>
        <v>3.9734513137823037E-2</v>
      </c>
      <c r="L13" s="28"/>
      <c r="M13" s="123" t="s">
        <v>48</v>
      </c>
      <c r="N13" s="97">
        <f>+I12</f>
        <v>363481.42</v>
      </c>
    </row>
    <row r="14" spans="2:16">
      <c r="B14" t="s">
        <v>77</v>
      </c>
      <c r="C14" s="26">
        <v>0</v>
      </c>
      <c r="D14" s="26">
        <v>0</v>
      </c>
      <c r="E14" s="26">
        <v>0</v>
      </c>
      <c r="F14" s="26">
        <v>0</v>
      </c>
      <c r="G14" s="26">
        <v>194308.8</v>
      </c>
      <c r="H14" s="26">
        <v>152221.35999999999</v>
      </c>
      <c r="I14" s="63">
        <f t="shared" si="0"/>
        <v>346530.16</v>
      </c>
      <c r="J14" s="28">
        <f t="shared" si="2"/>
        <v>0.12577819756655798</v>
      </c>
      <c r="L14" s="28"/>
      <c r="M14" s="123" t="s">
        <v>49</v>
      </c>
      <c r="N14" s="97">
        <f>+I13</f>
        <v>109472.13</v>
      </c>
    </row>
    <row r="15" spans="2:16">
      <c r="B15" t="s">
        <v>84</v>
      </c>
      <c r="C15" s="26">
        <v>0</v>
      </c>
      <c r="D15" s="26">
        <v>0</v>
      </c>
      <c r="E15" s="26">
        <v>0</v>
      </c>
      <c r="F15" s="26">
        <v>0</v>
      </c>
      <c r="G15" s="26">
        <v>697363.07</v>
      </c>
      <c r="H15" s="26">
        <v>763258.32</v>
      </c>
      <c r="I15" s="63">
        <f t="shared" si="0"/>
        <v>1460621.39</v>
      </c>
      <c r="J15" s="28">
        <f t="shared" si="2"/>
        <v>0.53015392877018419</v>
      </c>
      <c r="L15" s="28"/>
      <c r="M15" s="123"/>
      <c r="N15" s="66"/>
    </row>
    <row r="16" spans="2:16">
      <c r="B16" t="s">
        <v>43</v>
      </c>
      <c r="C16" s="26">
        <v>0</v>
      </c>
      <c r="D16" s="26">
        <v>0</v>
      </c>
      <c r="E16" s="26">
        <v>0</v>
      </c>
      <c r="F16" s="26">
        <v>0</v>
      </c>
      <c r="G16" s="26">
        <v>164461.14000000001</v>
      </c>
      <c r="H16" s="26">
        <v>116395.48</v>
      </c>
      <c r="I16" s="63">
        <f t="shared" si="0"/>
        <v>280856.62</v>
      </c>
      <c r="J16" s="28">
        <f t="shared" si="2"/>
        <v>0.10194102423360697</v>
      </c>
      <c r="L16" s="28"/>
      <c r="M16" s="123"/>
      <c r="N16" s="66"/>
    </row>
    <row r="17" spans="2:15">
      <c r="B17" t="s">
        <v>73</v>
      </c>
      <c r="C17" s="26">
        <v>0</v>
      </c>
      <c r="D17" s="26">
        <v>0</v>
      </c>
      <c r="E17" s="26">
        <v>0</v>
      </c>
      <c r="F17" s="26">
        <v>0</v>
      </c>
      <c r="G17" s="26">
        <v>3132.5</v>
      </c>
      <c r="H17" s="26">
        <v>11831</v>
      </c>
      <c r="I17" s="63">
        <f t="shared" si="0"/>
        <v>14963.5</v>
      </c>
      <c r="J17" s="28">
        <f t="shared" si="2"/>
        <v>5.4312215112450541E-3</v>
      </c>
      <c r="L17" s="28"/>
      <c r="M17" s="124" t="s">
        <v>51</v>
      </c>
      <c r="N17" s="120">
        <f>+N5-N7-N8-N9-N10-N13-N14</f>
        <v>-508041.45</v>
      </c>
      <c r="O17" s="30"/>
    </row>
    <row r="18" spans="2:15">
      <c r="B18" t="s">
        <v>79</v>
      </c>
      <c r="C18" s="26">
        <v>0</v>
      </c>
      <c r="D18" s="26">
        <v>0</v>
      </c>
      <c r="E18" s="26">
        <v>0</v>
      </c>
      <c r="F18" s="26">
        <v>0</v>
      </c>
      <c r="G18" s="26">
        <v>109632.63</v>
      </c>
      <c r="H18" s="26">
        <v>69531.399999999994</v>
      </c>
      <c r="I18" s="63">
        <f t="shared" si="0"/>
        <v>179164.03</v>
      </c>
      <c r="J18" s="28">
        <f t="shared" si="2"/>
        <v>6.5030209093952226E-2</v>
      </c>
      <c r="L18" s="28"/>
    </row>
    <row r="19" spans="2:15">
      <c r="B19" s="16" t="s">
        <v>80</v>
      </c>
      <c r="C19" s="26">
        <v>0</v>
      </c>
      <c r="D19" s="26">
        <v>0</v>
      </c>
      <c r="E19" s="26">
        <v>0</v>
      </c>
      <c r="F19" s="26">
        <v>0</v>
      </c>
      <c r="G19" s="27">
        <f>SUM(G12:G18)</f>
        <v>1494237.5699999998</v>
      </c>
      <c r="H19" s="27">
        <f>SUM(H12:H18)</f>
        <v>1260851.6799999997</v>
      </c>
      <c r="I19" s="63">
        <f t="shared" si="0"/>
        <v>2755089.2499999995</v>
      </c>
      <c r="J19" s="28">
        <f t="shared" si="2"/>
        <v>1</v>
      </c>
      <c r="L19" s="28"/>
    </row>
    <row r="20" spans="2:15">
      <c r="C20" s="135"/>
      <c r="D20" s="135"/>
      <c r="E20" s="135"/>
      <c r="F20" s="135"/>
      <c r="G20" s="25"/>
      <c r="H20" s="25"/>
      <c r="I20" s="63">
        <f t="shared" si="0"/>
        <v>0</v>
      </c>
      <c r="J20" s="25"/>
    </row>
    <row r="21" spans="2:15">
      <c r="C21" s="135"/>
      <c r="D21" s="135"/>
      <c r="E21" s="135"/>
      <c r="F21" s="135"/>
      <c r="G21" s="26"/>
      <c r="H21" s="26"/>
      <c r="I21" s="63">
        <f t="shared" si="0"/>
        <v>0</v>
      </c>
      <c r="J21" s="26"/>
    </row>
    <row r="22" spans="2:15">
      <c r="B22" s="16" t="s">
        <v>51</v>
      </c>
      <c r="C22" s="26">
        <v>0</v>
      </c>
      <c r="D22" s="26">
        <v>0</v>
      </c>
      <c r="E22" s="26">
        <v>0</v>
      </c>
      <c r="F22" s="26">
        <v>0</v>
      </c>
      <c r="G22" s="27">
        <f>+G9-G19</f>
        <v>-268080.06999999983</v>
      </c>
      <c r="H22" s="27">
        <f>+H9-H19</f>
        <v>-239961.37999999966</v>
      </c>
      <c r="I22" s="63">
        <f t="shared" si="0"/>
        <v>-508041.44999999949</v>
      </c>
      <c r="J22" s="28">
        <f>+(G19-G9)/G19</f>
        <v>0.17940926890226691</v>
      </c>
      <c r="L22" s="28"/>
    </row>
    <row r="23" spans="2:15" s="19" customFormat="1">
      <c r="B23" s="19" t="s">
        <v>138</v>
      </c>
    </row>
    <row r="24" spans="2:15">
      <c r="G24" s="14"/>
      <c r="H24" s="14"/>
      <c r="I24" s="14"/>
    </row>
    <row r="25" spans="2:15">
      <c r="I25"/>
    </row>
    <row r="26" spans="2:15">
      <c r="B26" t="s">
        <v>82</v>
      </c>
      <c r="I26"/>
    </row>
    <row r="27" spans="2:15">
      <c r="B27" s="23" t="s">
        <v>139</v>
      </c>
      <c r="C27" s="23"/>
      <c r="D27" s="23"/>
      <c r="E27" s="23"/>
      <c r="F27" s="23"/>
      <c r="I27"/>
    </row>
    <row r="28" spans="2:15">
      <c r="I28"/>
    </row>
    <row r="29" spans="2:15">
      <c r="I29"/>
    </row>
    <row r="30" spans="2:15">
      <c r="I30"/>
    </row>
    <row r="31" spans="2:15">
      <c r="I31"/>
    </row>
    <row r="32" spans="2:15">
      <c r="I32"/>
    </row>
    <row r="33" spans="9:9">
      <c r="I33"/>
    </row>
    <row r="34" spans="9:9">
      <c r="I34"/>
    </row>
    <row r="35" spans="9:9">
      <c r="I35"/>
    </row>
    <row r="36" spans="9:9">
      <c r="I36"/>
    </row>
    <row r="37" spans="9:9">
      <c r="I37"/>
    </row>
    <row r="38" spans="9:9">
      <c r="I38"/>
    </row>
    <row r="39" spans="9:9">
      <c r="I39"/>
    </row>
    <row r="40" spans="9:9">
      <c r="I40"/>
    </row>
    <row r="41" spans="9:9">
      <c r="I41"/>
    </row>
    <row r="42" spans="9:9">
      <c r="I42"/>
    </row>
    <row r="43" spans="9:9">
      <c r="I43"/>
    </row>
    <row r="44" spans="9:9">
      <c r="I44"/>
    </row>
    <row r="45" spans="9:9">
      <c r="I45"/>
    </row>
    <row r="46" spans="9:9">
      <c r="I46"/>
    </row>
    <row r="47" spans="9:9">
      <c r="I47"/>
    </row>
    <row r="48" spans="9:9">
      <c r="I48"/>
    </row>
    <row r="49" spans="9:9">
      <c r="I49"/>
    </row>
    <row r="50" spans="9:9">
      <c r="I50"/>
    </row>
    <row r="51" spans="9:9">
      <c r="I51"/>
    </row>
    <row r="52" spans="9:9">
      <c r="I52"/>
    </row>
    <row r="53" spans="9:9">
      <c r="I53"/>
    </row>
    <row r="54" spans="9:9">
      <c r="I54"/>
    </row>
    <row r="55" spans="9:9">
      <c r="I55"/>
    </row>
    <row r="56" spans="9:9">
      <c r="I56"/>
    </row>
  </sheetData>
  <mergeCells count="1">
    <mergeCell ref="P4:P9"/>
  </mergeCells>
  <conditionalFormatting sqref="B14:B17">
    <cfRule type="cellIs" dxfId="10" priority="5" operator="lessThan">
      <formula>0</formula>
    </cfRule>
  </conditionalFormatting>
  <conditionalFormatting sqref="B24:F24">
    <cfRule type="cellIs" dxfId="9" priority="8" operator="lessThan">
      <formula>0</formula>
    </cfRule>
  </conditionalFormatting>
  <conditionalFormatting sqref="M5 M13:M14 M17">
    <cfRule type="cellIs" dxfId="8" priority="6" operator="lessThan">
      <formula>0</formula>
    </cfRule>
  </conditionalFormatting>
  <conditionalFormatting sqref="M7:M10">
    <cfRule type="cellIs" dxfId="7" priority="4" operator="lessThan">
      <formula>0</formula>
    </cfRule>
  </conditionalFormatting>
  <hyperlinks>
    <hyperlink ref="B27" r:id="rId1" xr:uid="{94EEF352-BA28-45CD-80AE-A75B4DCE81B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4F48-AAA1-4B1C-84F8-8439F5A24AFC}">
  <sheetPr>
    <tabColor rgb="FF002060"/>
  </sheetPr>
  <dimension ref="A1:Y47"/>
  <sheetViews>
    <sheetView zoomScale="72" zoomScaleNormal="72" workbookViewId="0">
      <selection activeCell="G23" sqref="G23"/>
    </sheetView>
  </sheetViews>
  <sheetFormatPr defaultRowHeight="15" customHeight="1"/>
  <cols>
    <col min="1" max="1" width="9.140625" style="3"/>
    <col min="2" max="2" width="47.28515625" customWidth="1"/>
    <col min="3" max="3" width="27.5703125" customWidth="1"/>
    <col min="4" max="4" width="10.7109375" style="3" customWidth="1"/>
    <col min="5" max="5" width="10.85546875" style="3" customWidth="1"/>
    <col min="6" max="25" width="9.140625" style="3"/>
  </cols>
  <sheetData>
    <row r="1" spans="2:5" s="3" customFormat="1"/>
    <row r="2" spans="2:5" s="3" customFormat="1"/>
    <row r="3" spans="2:5" ht="18.75">
      <c r="B3" s="198" t="s">
        <v>140</v>
      </c>
      <c r="C3" s="199" t="s">
        <v>141</v>
      </c>
      <c r="D3" s="76"/>
      <c r="E3" s="76"/>
    </row>
    <row r="4" spans="2:5">
      <c r="B4" s="148" t="s">
        <v>142</v>
      </c>
      <c r="C4" s="175">
        <v>9683759.0399999991</v>
      </c>
    </row>
    <row r="5" spans="2:5">
      <c r="B5" s="72"/>
      <c r="C5" s="173"/>
    </row>
    <row r="6" spans="2:5">
      <c r="B6" s="149" t="s">
        <v>143</v>
      </c>
      <c r="C6" s="173">
        <v>11688282.930996189</v>
      </c>
    </row>
    <row r="7" spans="2:5">
      <c r="B7" s="72" t="s">
        <v>42</v>
      </c>
      <c r="C7" s="173">
        <v>2471039.8994202898</v>
      </c>
    </row>
    <row r="8" spans="2:5">
      <c r="B8" s="72" t="s">
        <v>43</v>
      </c>
      <c r="C8" s="173">
        <v>280856.62</v>
      </c>
    </row>
    <row r="9" spans="2:5">
      <c r="B9" s="51" t="s">
        <v>73</v>
      </c>
      <c r="C9" s="173">
        <v>51963.5</v>
      </c>
    </row>
    <row r="10" spans="2:5">
      <c r="B10" s="72"/>
      <c r="C10" s="173"/>
    </row>
    <row r="11" spans="2:5">
      <c r="B11" s="72" t="s">
        <v>48</v>
      </c>
      <c r="C11" s="173">
        <v>363481.42</v>
      </c>
    </row>
    <row r="12" spans="2:5">
      <c r="B12" s="72" t="s">
        <v>49</v>
      </c>
      <c r="C12" s="173">
        <v>109472.13</v>
      </c>
    </row>
    <row r="13" spans="2:5">
      <c r="B13" s="72" t="s">
        <v>80</v>
      </c>
      <c r="C13" s="176">
        <v>14965096.500416478</v>
      </c>
      <c r="D13" s="77"/>
    </row>
    <row r="14" spans="2:5">
      <c r="B14" s="72"/>
      <c r="C14" s="173"/>
    </row>
    <row r="15" spans="2:5">
      <c r="B15" s="73" t="s">
        <v>51</v>
      </c>
      <c r="C15" s="174">
        <v>-5281337.4604164772</v>
      </c>
      <c r="D15" s="11"/>
    </row>
    <row r="16" spans="2:5" s="3" customFormat="1"/>
    <row r="17" spans="2:5" s="3" customFormat="1"/>
    <row r="18" spans="2:5" s="3" customFormat="1">
      <c r="B18" s="3" t="s">
        <v>144</v>
      </c>
    </row>
    <row r="19" spans="2:5" s="3" customFormat="1" ht="34.5" customHeight="1">
      <c r="B19" s="206" t="s">
        <v>145</v>
      </c>
      <c r="C19" s="206"/>
      <c r="D19" s="206"/>
      <c r="E19" s="206"/>
    </row>
    <row r="20" spans="2:5" s="3" customFormat="1">
      <c r="B20" s="205" t="s">
        <v>146</v>
      </c>
      <c r="C20" s="205"/>
      <c r="D20" s="205"/>
      <c r="E20" s="205"/>
    </row>
    <row r="21" spans="2:5" s="3" customFormat="1"/>
    <row r="22" spans="2:5" s="3" customFormat="1"/>
    <row r="23" spans="2:5" s="3" customFormat="1"/>
    <row r="24" spans="2:5" s="3" customFormat="1" ht="15" customHeight="1">
      <c r="B24" s="207" t="s">
        <v>147</v>
      </c>
      <c r="C24" s="207" t="s">
        <v>148</v>
      </c>
    </row>
    <row r="25" spans="2:5" s="3" customFormat="1">
      <c r="B25" s="208"/>
      <c r="C25" s="208"/>
    </row>
    <row r="26" spans="2:5" s="3" customFormat="1">
      <c r="B26" s="193" t="s">
        <v>149</v>
      </c>
      <c r="C26" s="194">
        <v>-5281337.4604164772</v>
      </c>
    </row>
    <row r="27" spans="2:5" s="3" customFormat="1">
      <c r="B27" s="195" t="s">
        <v>150</v>
      </c>
      <c r="C27" s="196">
        <v>4064165.0434737029</v>
      </c>
    </row>
    <row r="28" spans="2:5" s="3" customFormat="1"/>
    <row r="29" spans="2:5" s="3" customFormat="1"/>
    <row r="30" spans="2:5" s="3" customFormat="1"/>
    <row r="31" spans="2:5" s="3" customFormat="1"/>
    <row r="32" spans="2:5"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sheetData>
  <sheetProtection sheet="1" objects="1" scenarios="1"/>
  <mergeCells count="4">
    <mergeCell ref="B20:E20"/>
    <mergeCell ref="B19:E19"/>
    <mergeCell ref="B24:B25"/>
    <mergeCell ref="C24:C25"/>
  </mergeCells>
  <conditionalFormatting sqref="B4 B15">
    <cfRule type="cellIs" dxfId="6" priority="8" operator="lessThan">
      <formula>0</formula>
    </cfRule>
  </conditionalFormatting>
  <conditionalFormatting sqref="B6:B9">
    <cfRule type="cellIs" dxfId="5" priority="7" operator="lessThan">
      <formula>0</formula>
    </cfRule>
  </conditionalFormatting>
  <conditionalFormatting sqref="B11:B12">
    <cfRule type="cellIs" dxfId="4" priority="10" operator="lessThan">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6584A-0D56-46B9-9B1C-49ECE86E87BE}">
  <sheetPr>
    <tabColor rgb="FF002060"/>
  </sheetPr>
  <dimension ref="A1:W78"/>
  <sheetViews>
    <sheetView topLeftCell="A11" zoomScale="76" zoomScaleNormal="76" workbookViewId="0">
      <selection activeCell="J21" sqref="J21"/>
    </sheetView>
  </sheetViews>
  <sheetFormatPr defaultRowHeight="15"/>
  <cols>
    <col min="1" max="1" width="9.140625" style="3"/>
    <col min="2" max="2" width="36.28515625" customWidth="1"/>
    <col min="3" max="3" width="18.5703125" style="3" customWidth="1"/>
    <col min="4" max="4" width="20.42578125" style="3" customWidth="1"/>
    <col min="5" max="5" width="28.42578125" style="3" bestFit="1" customWidth="1"/>
    <col min="6" max="6" width="23.7109375" style="3" customWidth="1"/>
    <col min="7" max="7" width="15.42578125" style="3" customWidth="1"/>
    <col min="8" max="8" width="23" style="3" customWidth="1"/>
    <col min="9" max="9" width="19.140625" style="3" customWidth="1"/>
    <col min="10" max="10" width="19.42578125" style="3" customWidth="1"/>
    <col min="11" max="11" width="23.28515625" style="3" customWidth="1"/>
    <col min="12" max="23" width="9.140625" style="3"/>
  </cols>
  <sheetData>
    <row r="1" spans="2:9" s="3" customFormat="1"/>
    <row r="2" spans="2:9" s="3" customFormat="1"/>
    <row r="3" spans="2:9" s="3" customFormat="1" ht="18.75">
      <c r="B3" s="78" t="s">
        <v>151</v>
      </c>
    </row>
    <row r="4" spans="2:9" s="3" customFormat="1"/>
    <row r="5" spans="2:9" s="3" customFormat="1">
      <c r="D5" s="83" t="s">
        <v>152</v>
      </c>
      <c r="E5" s="83" t="s">
        <v>153</v>
      </c>
    </row>
    <row r="6" spans="2:9" s="3" customFormat="1">
      <c r="B6" s="81" t="s">
        <v>154</v>
      </c>
      <c r="C6" s="81"/>
      <c r="D6" s="13">
        <v>95000</v>
      </c>
      <c r="E6" s="13">
        <f>SUM(C6:D6)</f>
        <v>95000</v>
      </c>
    </row>
    <row r="7" spans="2:9" s="3" customFormat="1">
      <c r="B7" s="81" t="s">
        <v>155</v>
      </c>
      <c r="C7" s="81"/>
      <c r="D7" s="13">
        <f>30000</f>
        <v>30000</v>
      </c>
      <c r="E7" s="13">
        <f>SUM(C7:D7)</f>
        <v>30000</v>
      </c>
    </row>
    <row r="8" spans="2:9" s="3" customFormat="1">
      <c r="B8" s="81" t="s">
        <v>156</v>
      </c>
      <c r="C8" s="81"/>
      <c r="D8" s="13" cm="1">
        <f t="array" ref="D8">+Table2[2024]*0.3</f>
        <v>137384.09425927795</v>
      </c>
      <c r="E8" s="13">
        <f>SUM(C8:D8)</f>
        <v>137384.09425927795</v>
      </c>
    </row>
    <row r="9" spans="2:9" s="3" customFormat="1">
      <c r="D9" s="80">
        <f>SUM(D6:D8)</f>
        <v>262384.09425927792</v>
      </c>
      <c r="E9" s="80">
        <f>SUM(E6:E8)</f>
        <v>262384.09425927792</v>
      </c>
    </row>
    <row r="10" spans="2:9" s="3" customFormat="1"/>
    <row r="11" spans="2:9" s="3" customFormat="1"/>
    <row r="12" spans="2:9" s="3" customFormat="1"/>
    <row r="13" spans="2:9" s="79" customFormat="1" ht="21">
      <c r="B13" s="79" t="s">
        <v>60</v>
      </c>
    </row>
    <row r="14" spans="2:9">
      <c r="C14" s="8">
        <v>2019</v>
      </c>
      <c r="D14" s="8">
        <v>2020</v>
      </c>
      <c r="E14" s="8">
        <v>2021</v>
      </c>
      <c r="F14" s="8">
        <v>2022</v>
      </c>
      <c r="G14" s="8">
        <v>2023</v>
      </c>
      <c r="H14" s="108">
        <v>2024</v>
      </c>
      <c r="I14" s="74" t="s">
        <v>157</v>
      </c>
    </row>
    <row r="15" spans="2:9">
      <c r="B15" s="81" t="s">
        <v>158</v>
      </c>
      <c r="C15" s="14">
        <v>0</v>
      </c>
      <c r="D15" s="14">
        <v>0</v>
      </c>
      <c r="E15" s="14">
        <v>0</v>
      </c>
      <c r="F15" s="14">
        <v>0</v>
      </c>
      <c r="G15" s="14">
        <v>0</v>
      </c>
      <c r="H15" s="14">
        <v>0</v>
      </c>
      <c r="I15" s="14">
        <f t="shared" ref="I15:I20" si="0">SUM(C15:H15)</f>
        <v>0</v>
      </c>
    </row>
    <row r="16" spans="2:9">
      <c r="B16" s="82" t="s">
        <v>159</v>
      </c>
      <c r="C16" s="14">
        <v>0</v>
      </c>
      <c r="D16" s="14">
        <v>0</v>
      </c>
      <c r="E16" s="14"/>
      <c r="F16" s="14">
        <v>0</v>
      </c>
      <c r="G16" s="14">
        <v>0</v>
      </c>
      <c r="H16" s="14">
        <v>4000</v>
      </c>
      <c r="I16" s="14">
        <f t="shared" si="0"/>
        <v>4000</v>
      </c>
    </row>
    <row r="17" spans="2:9">
      <c r="B17" s="82" t="s">
        <v>160</v>
      </c>
      <c r="C17" s="14">
        <v>0</v>
      </c>
      <c r="D17" s="14">
        <v>0</v>
      </c>
      <c r="E17" s="14">
        <v>0</v>
      </c>
      <c r="F17" s="14">
        <v>0</v>
      </c>
      <c r="G17" s="14">
        <f>+C8</f>
        <v>0</v>
      </c>
      <c r="H17" s="14">
        <f>+D8</f>
        <v>137384.09425927795</v>
      </c>
      <c r="I17" s="14">
        <f t="shared" si="0"/>
        <v>137384.09425927795</v>
      </c>
    </row>
    <row r="18" spans="2:9">
      <c r="B18" s="81" t="s">
        <v>161</v>
      </c>
      <c r="C18" s="14">
        <v>0</v>
      </c>
      <c r="D18" s="14">
        <v>0</v>
      </c>
      <c r="E18" s="14">
        <v>0</v>
      </c>
      <c r="F18" s="14">
        <v>0</v>
      </c>
      <c r="G18" s="14">
        <f>+C6</f>
        <v>0</v>
      </c>
      <c r="H18" s="14">
        <f>+D6</f>
        <v>95000</v>
      </c>
      <c r="I18" s="14">
        <f t="shared" si="0"/>
        <v>95000</v>
      </c>
    </row>
    <row r="19" spans="2:9">
      <c r="B19" s="82" t="s">
        <v>162</v>
      </c>
      <c r="C19" s="14">
        <v>0</v>
      </c>
      <c r="D19" s="14">
        <v>0</v>
      </c>
      <c r="E19" s="14">
        <v>0</v>
      </c>
      <c r="F19" s="14">
        <v>0</v>
      </c>
      <c r="G19" s="14">
        <f>+C7</f>
        <v>0</v>
      </c>
      <c r="H19" s="14">
        <f>+D7</f>
        <v>30000</v>
      </c>
      <c r="I19" s="14">
        <f t="shared" si="0"/>
        <v>30000</v>
      </c>
    </row>
    <row r="20" spans="2:9">
      <c r="B20" s="86" t="s">
        <v>163</v>
      </c>
      <c r="C20" s="14">
        <v>0</v>
      </c>
      <c r="D20" s="14">
        <v>0</v>
      </c>
      <c r="E20" s="14">
        <v>0</v>
      </c>
      <c r="F20" s="14">
        <v>0</v>
      </c>
      <c r="G20" s="14">
        <v>0</v>
      </c>
      <c r="H20" s="14">
        <v>5000</v>
      </c>
      <c r="I20" s="14">
        <f t="shared" si="0"/>
        <v>5000</v>
      </c>
    </row>
    <row r="21" spans="2:9" s="8" customFormat="1">
      <c r="B21" s="87" t="s">
        <v>157</v>
      </c>
      <c r="C21" s="88">
        <f>SUM(C15:C20)</f>
        <v>0</v>
      </c>
      <c r="D21" s="88">
        <f t="shared" ref="D21:F21" si="1">SUM(D15:D20)</f>
        <v>0</v>
      </c>
      <c r="E21" s="88">
        <f t="shared" si="1"/>
        <v>0</v>
      </c>
      <c r="F21" s="88">
        <f t="shared" si="1"/>
        <v>0</v>
      </c>
      <c r="G21" s="88">
        <f>SUM(G15:G20)</f>
        <v>0</v>
      </c>
      <c r="H21" s="88">
        <f>SUM(H15:H20)</f>
        <v>271384.09425927792</v>
      </c>
      <c r="I21" s="89">
        <f>SUM(I15:I20)</f>
        <v>271384.09425927792</v>
      </c>
    </row>
    <row r="22" spans="2:9" s="3" customFormat="1"/>
    <row r="23" spans="2:9" s="3" customFormat="1"/>
    <row r="24" spans="2:9" s="3" customFormat="1" ht="21">
      <c r="B24" s="79" t="s">
        <v>164</v>
      </c>
      <c r="C24" s="8">
        <v>2019</v>
      </c>
      <c r="D24" s="8">
        <v>2020</v>
      </c>
      <c r="E24" s="8">
        <v>2021</v>
      </c>
      <c r="F24" s="8">
        <v>2022</v>
      </c>
      <c r="G24" s="8">
        <v>2023</v>
      </c>
      <c r="H24" s="8">
        <v>2024</v>
      </c>
      <c r="I24" s="74" t="s">
        <v>157</v>
      </c>
    </row>
    <row r="25" spans="2:9" s="3" customFormat="1">
      <c r="B25" s="146" t="s">
        <v>165</v>
      </c>
      <c r="C25" s="75">
        <f t="shared" ref="C25" si="2">SUM(C26:C28)</f>
        <v>4500</v>
      </c>
      <c r="D25" s="75">
        <f>SUM(D26:D28)</f>
        <v>4500</v>
      </c>
      <c r="E25" s="75">
        <f>SUM(E26:E28)</f>
        <v>4500</v>
      </c>
      <c r="F25" s="75">
        <f>SUM(F26:F28)</f>
        <v>6500</v>
      </c>
      <c r="G25" s="75">
        <f>SUM(G26:G28)</f>
        <v>13332.5</v>
      </c>
      <c r="H25" s="75">
        <f>SUM(H26:H28)</f>
        <v>18631</v>
      </c>
      <c r="I25" s="147">
        <f>SUM(C25:H25)</f>
        <v>51963.5</v>
      </c>
    </row>
    <row r="26" spans="2:9" s="3" customFormat="1">
      <c r="C26" s="84">
        <f>+'Model Revenue QB'!C15</f>
        <v>4500</v>
      </c>
      <c r="D26" s="84">
        <f>+'Model Revenue QB'!D15</f>
        <v>4500</v>
      </c>
      <c r="E26" s="84">
        <f>+'Model Revenue QB'!E15</f>
        <v>4500</v>
      </c>
      <c r="F26" s="84">
        <f>+'Model Revenue QB'!F15</f>
        <v>4500</v>
      </c>
      <c r="G26" s="84">
        <f>+'Model Revenue QB'!G15</f>
        <v>4500</v>
      </c>
      <c r="H26" s="84">
        <f>+'Model Revenue QB'!H15</f>
        <v>4500</v>
      </c>
      <c r="I26" s="85"/>
    </row>
    <row r="27" spans="2:9" s="3" customFormat="1">
      <c r="C27" s="84" cm="1">
        <f t="array" ref="C27:H27">+'Model Revenue FOFI'!C17:H17</f>
        <v>0</v>
      </c>
      <c r="D27" s="84">
        <v>0</v>
      </c>
      <c r="E27" s="84">
        <v>0</v>
      </c>
      <c r="F27" s="84">
        <v>0</v>
      </c>
      <c r="G27" s="84">
        <v>3132.5</v>
      </c>
      <c r="H27" s="84">
        <v>11831</v>
      </c>
      <c r="I27" s="85"/>
    </row>
    <row r="28" spans="2:9" s="3" customFormat="1">
      <c r="C28" s="84" cm="1">
        <f t="array" ref="C28:H28">+'Model Revenue 12Tree'!C18:H18</f>
        <v>0</v>
      </c>
      <c r="D28" s="84">
        <v>0</v>
      </c>
      <c r="E28" s="84">
        <v>0</v>
      </c>
      <c r="F28" s="84">
        <v>2000</v>
      </c>
      <c r="G28" s="84">
        <v>5700</v>
      </c>
      <c r="H28" s="84">
        <v>2300</v>
      </c>
    </row>
    <row r="29" spans="2:9" s="3" customFormat="1"/>
    <row r="30" spans="2:9" s="3" customFormat="1"/>
    <row r="31" spans="2:9" ht="21">
      <c r="B31" s="79" t="s">
        <v>166</v>
      </c>
      <c r="C31" s="8">
        <v>2019</v>
      </c>
      <c r="D31" s="8">
        <v>2020</v>
      </c>
      <c r="E31" s="8">
        <v>2021</v>
      </c>
      <c r="F31" s="8">
        <v>2022</v>
      </c>
      <c r="G31" s="156">
        <v>2023</v>
      </c>
      <c r="H31" s="156">
        <v>2024</v>
      </c>
      <c r="I31" s="74" t="s">
        <v>157</v>
      </c>
    </row>
    <row r="32" spans="2:9">
      <c r="B32" s="3"/>
      <c r="G32" s="157"/>
      <c r="H32" s="157"/>
    </row>
    <row r="33" spans="2:9">
      <c r="B33" s="82" t="s">
        <v>167</v>
      </c>
      <c r="C33" s="13">
        <f>+'Model Revenue ST'!C14+'Model Revenue QB'!C13+'Model Revenue 12Tree'!C16</f>
        <v>503138.080203183</v>
      </c>
      <c r="D33" s="13">
        <f>+'Model Revenue ST'!D14+'Model Revenue QB'!D13+'Model Revenue 12Tree'!D16</f>
        <v>556576.63633248</v>
      </c>
      <c r="E33" s="13">
        <f>+'Model Revenue ST'!E14+'Model Revenue QB'!E13+'Model Revenue 12Tree'!E16</f>
        <v>1022400.1554323486</v>
      </c>
      <c r="F33" s="13">
        <f>+'Model Revenue ST'!F14+'Model Revenue QB'!F13+'Model Revenue 12Tree'!F16</f>
        <v>1213828.4996426993</v>
      </c>
      <c r="G33" s="158">
        <f>+'Model Revenue ST'!G14+'Model Revenue QB'!G13+'Model Revenue ECO'!G14+'Model Revenue FOFI'!G15+'Model Revenue 12Tree'!G16</f>
        <v>1533969.6347682956</v>
      </c>
      <c r="H33" s="158">
        <f>+'Model Revenue ST'!H14+'Model Revenue QB'!H13+'Model Revenue ECO'!H14+'Model Revenue FOFI'!H15+'Model Revenue 12Tree'!H16</f>
        <v>1328472.4846171807</v>
      </c>
      <c r="I33" s="13">
        <f>SUM(C33:H33)</f>
        <v>6158385.4909961876</v>
      </c>
    </row>
    <row r="34" spans="2:9">
      <c r="B34" s="82" t="s">
        <v>168</v>
      </c>
      <c r="C34" s="13">
        <f>+'Model Revenue ST'!C12+'Model Revenue QB'!C12</f>
        <v>1889063.41</v>
      </c>
      <c r="D34" s="13">
        <f>+'Model Revenue ST'!D12+'Model Revenue QB'!D12</f>
        <v>1366610.09</v>
      </c>
      <c r="E34" s="13">
        <f>+'Model Revenue ST'!E12+'Model Revenue QB'!E12</f>
        <v>878312.93</v>
      </c>
      <c r="F34" s="13">
        <f>+'Model Revenue ST'!F12+'Model Revenue QB'!F12</f>
        <v>376968.57</v>
      </c>
      <c r="G34" s="158">
        <f>+'Model Revenue ST'!G12+'Model Revenue QB'!G12+'Model Revenue 12Tree'!G12</f>
        <v>969953.04</v>
      </c>
      <c r="H34" s="158">
        <f>+'Model Revenue ST'!H12+'Model Revenue QB'!H12</f>
        <v>48989.399999999994</v>
      </c>
      <c r="I34" s="13">
        <f>SUM(C34:H34)</f>
        <v>5529897.4400000004</v>
      </c>
    </row>
    <row r="35" spans="2:9">
      <c r="B35" s="82" t="s">
        <v>42</v>
      </c>
      <c r="C35" s="13">
        <f>+'Model Revenue ST'!C13+'Model Revenue QB'!C11+'Model Revenue 12Tree'!C15</f>
        <v>215337.47157004828</v>
      </c>
      <c r="D35" s="13">
        <f>+'Model Revenue ST'!D13+'Model Revenue QB'!D11+'Model Revenue 12Tree'!D15</f>
        <v>175437.69157004831</v>
      </c>
      <c r="E35" s="13">
        <f>+'Model Revenue ST'!E13+'Model Revenue QB'!E11+'Model Revenue 12Tree'!E15</f>
        <v>211642.0315700483</v>
      </c>
      <c r="F35" s="13">
        <f>+'Model Revenue ST'!F13+'Model Revenue QB'!F11+'Model Revenue 12Tree'!F15</f>
        <v>317060.76157004829</v>
      </c>
      <c r="G35" s="158">
        <f>+'Model Revenue ST'!G13+'Model Revenue QB'!G11+'Model Revenue ECO'!G13+'Model Revenue FOFI'!G14+'Model Revenue 12Tree'!G15+'Model Revenue FOFI'!G18</f>
        <v>903729.35157004825</v>
      </c>
      <c r="H35" s="158">
        <f>+'Model Revenue ST'!H13+'Model Revenue QB'!H11+'Model Revenue ECO'!H13+'Model Revenue FOFI'!H14+'Model Revenue 12Tree'!H15+'Model Revenue FOFI'!H18</f>
        <v>647832.59157004824</v>
      </c>
      <c r="I35" s="13">
        <f>SUM(C35:H35)</f>
        <v>2471039.8994202898</v>
      </c>
    </row>
    <row r="36" spans="2:9">
      <c r="B36" s="82" t="s">
        <v>43</v>
      </c>
      <c r="C36" s="13">
        <f>+'Model Revenue ST'!C15+'Model Revenue QB'!C14+'Model Revenue 12Tree'!C16</f>
        <v>0</v>
      </c>
      <c r="D36" s="13">
        <f>+'Model Revenue ST'!D15+'Model Revenue QB'!D14+'Model Revenue 12Tree'!D16</f>
        <v>0</v>
      </c>
      <c r="E36" s="13">
        <f>+'Model Revenue ST'!E15+'Model Revenue QB'!E14+'Model Revenue 12Tree'!E16</f>
        <v>0</v>
      </c>
      <c r="F36" s="13">
        <v>0</v>
      </c>
      <c r="G36" s="158">
        <f>+'Model Revenue FOFI'!G16</f>
        <v>164461.14000000001</v>
      </c>
      <c r="H36" s="158">
        <f>+'Model Revenue FOFI'!H16</f>
        <v>116395.48</v>
      </c>
      <c r="I36" s="13">
        <f t="shared" ref="I36:I39" si="3">SUM(C36:H36)</f>
        <v>280856.62</v>
      </c>
    </row>
    <row r="37" spans="2:9">
      <c r="B37" s="82" t="s">
        <v>73</v>
      </c>
      <c r="C37" s="13">
        <f>+'Model Revenue ST'!C16+'Model Revenue QB'!C15+'Model Revenue 12Tree'!C18</f>
        <v>4500</v>
      </c>
      <c r="D37" s="13">
        <f>+'Model Revenue ST'!D16+'Model Revenue QB'!D15+'Model Revenue 12Tree'!D18</f>
        <v>4500</v>
      </c>
      <c r="E37" s="13">
        <f>+'Model Revenue ST'!E16+'Model Revenue QB'!E15+'Model Revenue 12Tree'!E18</f>
        <v>4500</v>
      </c>
      <c r="F37" s="13">
        <f>+'Model Revenue ST'!F16+'Model Revenue QB'!F15+'Model Revenue 12Tree'!F18</f>
        <v>6500</v>
      </c>
      <c r="G37" s="158">
        <f>+'Model Revenue ST'!G16+'Model Revenue QB'!G15+'Model Revenue ECO'!G16+'Model Revenue FOFI'!G17+'Model Revenue 12Tree'!G18</f>
        <v>13332.5</v>
      </c>
      <c r="H37" s="158">
        <f>+'Model Revenue ST'!H16+'Model Revenue QB'!H15+'Model Revenue ECO'!H16+'Model Revenue FOFI'!H17+'Model Revenue 12Tree'!H18</f>
        <v>18631</v>
      </c>
      <c r="I37" s="13">
        <f t="shared" si="3"/>
        <v>51963.5</v>
      </c>
    </row>
    <row r="38" spans="2:9">
      <c r="B38" s="82" t="s">
        <v>48</v>
      </c>
      <c r="C38" s="13">
        <f>+'Model Revenue ST'!C10+'Model Revenue QB'!C9+'Model Revenue 12Tree'!C13</f>
        <v>0</v>
      </c>
      <c r="D38" s="13">
        <f>+'Model Revenue ST'!D10+'Model Revenue QB'!D9+'Model Revenue 12Tree'!D13</f>
        <v>0</v>
      </c>
      <c r="E38" s="13">
        <f>+'Model Revenue ST'!E10+'Model Revenue QB'!E9+'Model Revenue 12Tree'!E13</f>
        <v>0</v>
      </c>
      <c r="F38" s="13">
        <f>+'Model Revenue ST'!F10+'Model Revenue QB'!F9+'Model Revenue 12Tree'!F13</f>
        <v>0</v>
      </c>
      <c r="G38" s="158">
        <f>+'Model Revenue ST'!G10+'Model Revenue QB'!G9+'Model Revenue ECO'!G10+'Model Revenue FOFI'!G12+'Model Revenue 12Tree'!G13</f>
        <v>267392.37</v>
      </c>
      <c r="H38" s="158">
        <f>+'Model Revenue ST'!H10+'Model Revenue QB'!H9+'Model Revenue ECO'!H10+'Model Revenue FOFI'!H12+'Model Revenue 12Tree'!H13</f>
        <v>96089.05</v>
      </c>
      <c r="I38" s="13">
        <f>+'Model Revenue ST'!I10+'Model Revenue QB'!I9+'Model Revenue ECO'!I10+'Model Revenue FOFI'!I12+'Model Revenue 12Tree'!I13</f>
        <v>363481.42</v>
      </c>
    </row>
    <row r="39" spans="2:9">
      <c r="B39" s="93" t="s">
        <v>49</v>
      </c>
      <c r="C39" s="13">
        <f>+'Model Revenue ST'!C11+'Model Revenue QB'!C10+'Model Revenue 12Tree'!C14</f>
        <v>0</v>
      </c>
      <c r="D39" s="13">
        <f>+'Model Revenue ST'!D11+'Model Revenue QB'!D10+'Model Revenue 12Tree'!D14</f>
        <v>0</v>
      </c>
      <c r="E39" s="13">
        <f>+'Model Revenue ST'!E11+'Model Revenue QB'!E10+'Model Revenue 12Tree'!E14</f>
        <v>0</v>
      </c>
      <c r="F39" s="13">
        <f>+'Model Revenue ST'!F11+'Model Revenue QB'!F10+'Model Revenue 12Tree'!F14</f>
        <v>0</v>
      </c>
      <c r="G39" s="158">
        <f>+'Model Revenue ST'!G11+'Model Revenue QB'!G10+'Model Revenue ECO'!G11+'Model Revenue FOFI'!G13+'Model Revenue 12Tree'!G14</f>
        <v>57947.06</v>
      </c>
      <c r="H39" s="158">
        <f>+'Model Revenue ST'!H11+'Model Revenue QB'!H10+'Model Revenue ECO'!H11+'Model Revenue FOFI'!H13+'Model Revenue 12Tree'!H14</f>
        <v>51525.07</v>
      </c>
      <c r="I39" s="13">
        <f t="shared" si="3"/>
        <v>109472.13</v>
      </c>
    </row>
    <row r="40" spans="2:9">
      <c r="B40" s="87" t="s">
        <v>157</v>
      </c>
      <c r="C40" s="80">
        <f>SUM(C33:C39)</f>
        <v>2612038.9617732316</v>
      </c>
      <c r="D40" s="80">
        <f t="shared" ref="D40:H40" si="4">SUM(D33:D39)</f>
        <v>2103124.4179025283</v>
      </c>
      <c r="E40" s="80">
        <f t="shared" si="4"/>
        <v>2116855.1170023968</v>
      </c>
      <c r="F40" s="80">
        <f t="shared" si="4"/>
        <v>1914357.8312127476</v>
      </c>
      <c r="G40" s="159">
        <f t="shared" si="4"/>
        <v>3910785.0963383443</v>
      </c>
      <c r="H40" s="159">
        <f t="shared" si="4"/>
        <v>2307935.0761872283</v>
      </c>
      <c r="I40" s="80">
        <f>SUM(I33:I39)</f>
        <v>14965096.500416476</v>
      </c>
    </row>
    <row r="42" spans="2:9">
      <c r="B42" s="177" t="s">
        <v>144</v>
      </c>
    </row>
    <row r="43" spans="2:9">
      <c r="B43" s="154" t="s">
        <v>169</v>
      </c>
      <c r="C43" s="153"/>
      <c r="D43" s="153"/>
      <c r="E43" s="153"/>
      <c r="F43" s="153"/>
      <c r="G43" s="153"/>
      <c r="H43" s="153"/>
      <c r="I43" s="153"/>
    </row>
    <row r="44" spans="2:9">
      <c r="B44" s="155" t="s">
        <v>170</v>
      </c>
    </row>
    <row r="45" spans="2:9">
      <c r="B45" s="3"/>
    </row>
    <row r="46" spans="2:9">
      <c r="B46" s="3"/>
    </row>
    <row r="47" spans="2:9">
      <c r="B47" s="3"/>
    </row>
    <row r="48" spans="2:9"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7DA44862487D4EA6A77468477E4563" ma:contentTypeVersion="16" ma:contentTypeDescription="Create a new document." ma:contentTypeScope="" ma:versionID="37e22350ca30dfe1a865b3bb17b9244d">
  <xsd:schema xmlns:xsd="http://www.w3.org/2001/XMLSchema" xmlns:xs="http://www.w3.org/2001/XMLSchema" xmlns:p="http://schemas.microsoft.com/office/2006/metadata/properties" xmlns:ns2="9ecebf30-e226-460f-96ee-74872a04efa4" xmlns:ns3="3e6411cd-9535-4878-8482-731a21e93823" xmlns:ns4="f21edc80-4771-4a8b-b7e2-be153f0379e4" targetNamespace="http://schemas.microsoft.com/office/2006/metadata/properties" ma:root="true" ma:fieldsID="520cf80e112b05ccfb8ba2872944b208" ns2:_="" ns3:_="" ns4:_="">
    <xsd:import namespace="9ecebf30-e226-460f-96ee-74872a04efa4"/>
    <xsd:import namespace="3e6411cd-9535-4878-8482-731a21e93823"/>
    <xsd:import namespace="f21edc80-4771-4a8b-b7e2-be153f0379e4"/>
    <xsd:element name="properties">
      <xsd:complexType>
        <xsd:sequence>
          <xsd:element name="documentManagement">
            <xsd:complexType>
              <xsd:all>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EventHashCode" minOccurs="0"/>
                <xsd:element ref="ns4:MediaServiceGenerationTime" minOccurs="0"/>
                <xsd:element ref="ns4:MediaServiceAutoKeyPoints" minOccurs="0"/>
                <xsd:element ref="ns4:MediaServiceKeyPoints" minOccurs="0"/>
                <xsd:element ref="ns4:MediaLengthInSeconds" minOccurs="0"/>
                <xsd:element ref="ns4:lcf76f155ced4ddcb4097134ff3c332f" minOccurs="0"/>
                <xsd:element ref="ns2:TaxCatchAll" minOccurs="0"/>
                <xsd:element ref="ns4:MediaServiceObjectDetectorVersions" minOccurs="0"/>
                <xsd:element ref="ns4:MediaServiceSearchProperties" minOccurs="0"/>
                <xsd:element ref="ns4:DeadlineofGSFeedba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cebf30-e226-460f-96ee-74872a04efa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96a4a94f-a41f-4016-a66b-9208a1845355}" ma:internalName="TaxCatchAll" ma:readOnly="false" ma:showField="CatchAllData" ma:web="9ecebf30-e226-460f-96ee-74872a04efa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e6411cd-9535-4878-8482-731a21e93823" elementFormDefault="qualified">
    <xsd:import namespace="http://schemas.microsoft.com/office/2006/documentManagement/types"/>
    <xsd:import namespace="http://schemas.microsoft.com/office/infopath/2007/PartnerControls"/>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21edc80-4771-4a8b-b7e2-be153f0379e4"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f161edd-7b79-4478-98eb-f673e2ec4f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DeadlineofGSFeedback" ma:index="28" nillable="true" ma:displayName="Deadline of GS Feedback" ma:format="DateOnly" ma:internalName="DeadlineofGSFeedback">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ecebf30-e226-460f-96ee-74872a04efa4" xsi:nil="true"/>
    <lcf76f155ced4ddcb4097134ff3c332f xmlns="f21edc80-4771-4a8b-b7e2-be153f0379e4">
      <Terms xmlns="http://schemas.microsoft.com/office/infopath/2007/PartnerControls"/>
    </lcf76f155ced4ddcb4097134ff3c332f>
    <DeadlineofGSFeedback xmlns="f21edc80-4771-4a8b-b7e2-be153f0379e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744A0C-0A06-45FD-ADCC-786A5A11D968}"/>
</file>

<file path=customXml/itemProps2.xml><?xml version="1.0" encoding="utf-8"?>
<ds:datastoreItem xmlns:ds="http://schemas.openxmlformats.org/officeDocument/2006/customXml" ds:itemID="{5E4CE6F3-3775-4BDD-9F90-4E3EFB3CD58C}"/>
</file>

<file path=customXml/itemProps3.xml><?xml version="1.0" encoding="utf-8"?>
<ds:datastoreItem xmlns:ds="http://schemas.openxmlformats.org/officeDocument/2006/customXml" ds:itemID="{C0945CA0-0575-464E-812C-23AB177CA9A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 Martinez</dc:creator>
  <cp:keywords/>
  <dc:description/>
  <cp:lastModifiedBy>Andrea Pacheco-Moellgaard</cp:lastModifiedBy>
  <cp:revision/>
  <dcterms:created xsi:type="dcterms:W3CDTF">2024-02-14T19:05:38Z</dcterms:created>
  <dcterms:modified xsi:type="dcterms:W3CDTF">2025-02-27T14:02:55Z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0x0101003F7DA44862487D4EA6A77468477E4563</vt:lpwstr>
  </property>
</Properties>
</file>