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filterPrivacy="1"/>
  <xr:revisionPtr revIDLastSave="1" documentId="13_ncr:1_{FBA9634E-C0A6-47EB-AA08-52C227F90037}" xr6:coauthVersionLast="47" xr6:coauthVersionMax="47" xr10:uidLastSave="{B9781583-56D4-477D-B07E-19C68E4A2965}"/>
  <bookViews>
    <workbookView xWindow="-110" yWindow="-110" windowWidth="19420" windowHeight="11500" tabRatio="813" activeTab="3" xr2:uid="{00000000-000D-0000-FFFF-FFFF00000000}"/>
  </bookViews>
  <sheets>
    <sheet name="Summary of Avgs" sheetId="28" r:id="rId1"/>
    <sheet name="VCUs for 2022-23" sheetId="26" r:id="rId2"/>
    <sheet name="Growth data" sheetId="25" r:id="rId3"/>
    <sheet name="Uncertainty Calc and Final VCUs" sheetId="27" r:id="rId4"/>
  </sheets>
  <externalReferences>
    <externalReference r:id="rId5"/>
    <externalReference r:id="rId6"/>
    <externalReference r:id="rId7"/>
  </externalReferences>
  <definedNames>
    <definedName name="_xlnm._FilterDatabase" localSheetId="2" hidden="1">'Growth data'!$A$2:$Y$61</definedName>
    <definedName name="_Toc121086254" localSheetId="3">'Uncertainty Calc and Final VCUs'!$A$112</definedName>
    <definedName name="solver_eng" localSheetId="3" hidden="1">1</definedName>
    <definedName name="solver_neg" localSheetId="3" hidden="1">1</definedName>
    <definedName name="solver_num" localSheetId="3" hidden="1">0</definedName>
    <definedName name="solver_opt" localSheetId="3" hidden="1">'Uncertainty Calc and Final VCUs'!$K$1</definedName>
    <definedName name="solver_typ" localSheetId="3" hidden="1">1</definedName>
    <definedName name="solver_val" localSheetId="3" hidden="1">0</definedName>
    <definedName name="solver_ver" localSheetId="3" hidden="1">3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109" i="27" l="1"/>
  <c r="M13" i="28"/>
  <c r="I88" i="27" l="1"/>
  <c r="I87" i="27"/>
  <c r="I86" i="27"/>
  <c r="I85" i="27"/>
  <c r="I63" i="27"/>
  <c r="I62" i="27"/>
  <c r="I61" i="27"/>
  <c r="I60" i="27"/>
  <c r="I43" i="27" l="1"/>
  <c r="I42" i="27"/>
  <c r="I41" i="27"/>
  <c r="I40" i="27"/>
  <c r="I28" i="27"/>
  <c r="I27" i="27"/>
  <c r="I26" i="27"/>
  <c r="I25" i="27"/>
  <c r="I14" i="27"/>
  <c r="I13" i="27"/>
  <c r="I12" i="27"/>
  <c r="I11" i="27"/>
  <c r="I64" i="27" l="1"/>
  <c r="F7" i="26" l="1"/>
  <c r="C7" i="26"/>
  <c r="F6" i="26" l="1"/>
  <c r="C6" i="26"/>
  <c r="F5" i="26" l="1"/>
  <c r="D5" i="26"/>
  <c r="C5" i="26"/>
  <c r="I89" i="27" l="1"/>
  <c r="B94" i="27" s="1"/>
  <c r="I44" i="27"/>
  <c r="I29" i="27"/>
  <c r="I15" i="27"/>
  <c r="AD44" i="25" l="1"/>
  <c r="AE44" i="25" s="1"/>
  <c r="AD45" i="25"/>
  <c r="AE45" i="25" s="1"/>
  <c r="AD46" i="25"/>
  <c r="AE46" i="25" s="1"/>
  <c r="AD47" i="25"/>
  <c r="AE47" i="25" s="1"/>
  <c r="AD48" i="25"/>
  <c r="AE48" i="25" s="1"/>
  <c r="AD49" i="25"/>
  <c r="AE49" i="25" s="1"/>
  <c r="AD50" i="25"/>
  <c r="AE50" i="25" s="1"/>
  <c r="AD51" i="25"/>
  <c r="AE51" i="25" s="1"/>
  <c r="AD52" i="25"/>
  <c r="AE52" i="25" s="1"/>
  <c r="AD53" i="25"/>
  <c r="AE53" i="25" s="1"/>
  <c r="AD54" i="25"/>
  <c r="AE54" i="25" s="1"/>
  <c r="AD55" i="25"/>
  <c r="AE55" i="25" s="1"/>
  <c r="AD56" i="25"/>
  <c r="AE56" i="25" s="1"/>
  <c r="AD57" i="25"/>
  <c r="AE57" i="25" s="1"/>
  <c r="AD58" i="25"/>
  <c r="AE58" i="25" s="1"/>
  <c r="AD59" i="25"/>
  <c r="AE59" i="25" s="1"/>
  <c r="AD60" i="25"/>
  <c r="AE60" i="25" s="1"/>
  <c r="AD43" i="25"/>
  <c r="AE43" i="25" s="1"/>
  <c r="AD30" i="25"/>
  <c r="AE30" i="25" s="1"/>
  <c r="AD31" i="25"/>
  <c r="AE31" i="25" s="1"/>
  <c r="AD32" i="25"/>
  <c r="AE32" i="25" s="1"/>
  <c r="AD33" i="25"/>
  <c r="AE33" i="25" s="1"/>
  <c r="AD34" i="25"/>
  <c r="AE34" i="25" s="1"/>
  <c r="AD35" i="25"/>
  <c r="AE35" i="25" s="1"/>
  <c r="AD36" i="25"/>
  <c r="AE36" i="25" s="1"/>
  <c r="AD37" i="25"/>
  <c r="AE37" i="25" s="1"/>
  <c r="AD38" i="25"/>
  <c r="AE38" i="25" s="1"/>
  <c r="AD39" i="25"/>
  <c r="AE39" i="25" s="1"/>
  <c r="AD40" i="25"/>
  <c r="AE40" i="25" s="1"/>
  <c r="AD41" i="25"/>
  <c r="AE41" i="25" s="1"/>
  <c r="AD29" i="25"/>
  <c r="AE29" i="25" s="1"/>
  <c r="AD20" i="25" a="1"/>
  <c r="AD20" i="25" s="1"/>
  <c r="AE20" i="25" s="1"/>
  <c r="AD13" i="25" a="1"/>
  <c r="AD13" i="25" s="1"/>
  <c r="AE13" i="25" s="1"/>
  <c r="AD6" i="25"/>
  <c r="AE6" i="25" s="1"/>
  <c r="AD7" i="25"/>
  <c r="AE7" i="25" s="1"/>
  <c r="AD8" i="25"/>
  <c r="AE8" i="25" s="1"/>
  <c r="AD9" i="25"/>
  <c r="AE9" i="25" s="1"/>
  <c r="AD10" i="25"/>
  <c r="AE10" i="25" s="1"/>
  <c r="AD11" i="25"/>
  <c r="AE11" i="25" s="1"/>
  <c r="AD12" i="25"/>
  <c r="AE12" i="25" s="1"/>
  <c r="AD5" i="25"/>
  <c r="AE5" i="25" s="1"/>
  <c r="I44" i="25"/>
  <c r="I45" i="25"/>
  <c r="I46" i="25"/>
  <c r="I47" i="25"/>
  <c r="I48" i="25"/>
  <c r="I49" i="25"/>
  <c r="I50" i="25"/>
  <c r="I51" i="25"/>
  <c r="I52" i="25"/>
  <c r="I53" i="25"/>
  <c r="I54" i="25"/>
  <c r="I55" i="25"/>
  <c r="I56" i="25"/>
  <c r="I57" i="25"/>
  <c r="I58" i="25"/>
  <c r="I59" i="25"/>
  <c r="I60" i="25"/>
  <c r="I43" i="25"/>
  <c r="J44" i="25"/>
  <c r="J45" i="25"/>
  <c r="J46" i="25"/>
  <c r="J47" i="25"/>
  <c r="J48" i="25"/>
  <c r="J49" i="25"/>
  <c r="J50" i="25"/>
  <c r="J51" i="25"/>
  <c r="J52" i="25"/>
  <c r="J53" i="25"/>
  <c r="J54" i="25"/>
  <c r="J55" i="25"/>
  <c r="J56" i="25"/>
  <c r="J57" i="25"/>
  <c r="J58" i="25"/>
  <c r="J59" i="25"/>
  <c r="J60" i="25"/>
  <c r="J43" i="25"/>
  <c r="K30" i="25"/>
  <c r="K31" i="25"/>
  <c r="K32" i="25"/>
  <c r="K33" i="25"/>
  <c r="K34" i="25"/>
  <c r="K35" i="25"/>
  <c r="K36" i="25"/>
  <c r="K37" i="25"/>
  <c r="K38" i="25"/>
  <c r="K39" i="25"/>
  <c r="K40" i="25"/>
  <c r="K41" i="25"/>
  <c r="K29" i="25"/>
  <c r="L30" i="25"/>
  <c r="L31" i="25"/>
  <c r="L32" i="25"/>
  <c r="L33" i="25"/>
  <c r="L34" i="25"/>
  <c r="L35" i="25"/>
  <c r="L36" i="25"/>
  <c r="L37" i="25"/>
  <c r="L38" i="25"/>
  <c r="L39" i="25"/>
  <c r="L40" i="25"/>
  <c r="L41" i="25"/>
  <c r="L29" i="25"/>
  <c r="M21" i="25"/>
  <c r="M22" i="25"/>
  <c r="M23" i="25"/>
  <c r="M24" i="25"/>
  <c r="M25" i="25"/>
  <c r="M26" i="25"/>
  <c r="M27" i="25"/>
  <c r="M20" i="25"/>
  <c r="N21" i="25"/>
  <c r="N22" i="25"/>
  <c r="N23" i="25"/>
  <c r="N24" i="25"/>
  <c r="N25" i="25"/>
  <c r="N26" i="25"/>
  <c r="N27" i="25"/>
  <c r="N20" i="25"/>
  <c r="O14" i="25"/>
  <c r="O15" i="25"/>
  <c r="O16" i="25"/>
  <c r="O17" i="25"/>
  <c r="O18" i="25"/>
  <c r="O19" i="25"/>
  <c r="O13" i="25"/>
  <c r="P14" i="25"/>
  <c r="P15" i="25"/>
  <c r="P16" i="25"/>
  <c r="P17" i="25"/>
  <c r="P18" i="25"/>
  <c r="P19" i="25"/>
  <c r="P13" i="25"/>
  <c r="Q6" i="25"/>
  <c r="Q7" i="25"/>
  <c r="Q8" i="25"/>
  <c r="Q9" i="25"/>
  <c r="Q10" i="25"/>
  <c r="Q11" i="25"/>
  <c r="Q12" i="25"/>
  <c r="Q5" i="25"/>
  <c r="R6" i="25"/>
  <c r="R7" i="25"/>
  <c r="R8" i="25"/>
  <c r="R9" i="25"/>
  <c r="R10" i="25"/>
  <c r="R11" i="25"/>
  <c r="R12" i="25"/>
  <c r="R5" i="25"/>
  <c r="AE25" i="25" l="1"/>
  <c r="AE24" i="25"/>
  <c r="AE22" i="25"/>
  <c r="AE19" i="25"/>
  <c r="AE18" i="25"/>
  <c r="AE17" i="25"/>
  <c r="AE15" i="25"/>
  <c r="AE26" i="25"/>
  <c r="O28" i="25"/>
  <c r="P28" i="25"/>
  <c r="L42" i="25"/>
  <c r="AE42" i="25"/>
  <c r="AE61" i="25"/>
  <c r="J61" i="25"/>
  <c r="AE16" i="25"/>
  <c r="AE23" i="25"/>
  <c r="I61" i="25"/>
  <c r="K42" i="25"/>
  <c r="AE14" i="25"/>
  <c r="AE21" i="25"/>
  <c r="N28" i="25"/>
  <c r="M28" i="25"/>
  <c r="AE27" i="25"/>
  <c r="AC6" i="25"/>
  <c r="AC7" i="25"/>
  <c r="AC8" i="25"/>
  <c r="AC9" i="25"/>
  <c r="AC10" i="25"/>
  <c r="AC11" i="25"/>
  <c r="AC12" i="25"/>
  <c r="AC13" i="25"/>
  <c r="AC14" i="25"/>
  <c r="AC15" i="25"/>
  <c r="AC16" i="25"/>
  <c r="AC17" i="25"/>
  <c r="AC18" i="25"/>
  <c r="AC19" i="25"/>
  <c r="AC20" i="25"/>
  <c r="AC21" i="25"/>
  <c r="AC22" i="25"/>
  <c r="AC23" i="25"/>
  <c r="AC24" i="25"/>
  <c r="AC25" i="25"/>
  <c r="AC26" i="25"/>
  <c r="AC27" i="25"/>
  <c r="AC29" i="25"/>
  <c r="AC30" i="25"/>
  <c r="AC31" i="25"/>
  <c r="AC32" i="25"/>
  <c r="AC33" i="25"/>
  <c r="AC34" i="25"/>
  <c r="AC35" i="25"/>
  <c r="AC36" i="25"/>
  <c r="AC37" i="25"/>
  <c r="AC38" i="25"/>
  <c r="AC39" i="25"/>
  <c r="AC40" i="25"/>
  <c r="AC41" i="25"/>
  <c r="AC43" i="25"/>
  <c r="AC44" i="25"/>
  <c r="AC45" i="25"/>
  <c r="AC46" i="25"/>
  <c r="AC47" i="25"/>
  <c r="AC48" i="25"/>
  <c r="AC49" i="25"/>
  <c r="AC50" i="25"/>
  <c r="AC51" i="25"/>
  <c r="AC52" i="25"/>
  <c r="AC53" i="25"/>
  <c r="AC54" i="25"/>
  <c r="AC55" i="25"/>
  <c r="AC56" i="25"/>
  <c r="AC57" i="25"/>
  <c r="AC58" i="25"/>
  <c r="AC59" i="25"/>
  <c r="AC60" i="25"/>
  <c r="AC5" i="25"/>
  <c r="AE28" i="25" l="1"/>
  <c r="AE62" i="25" s="1"/>
  <c r="AC42" i="25"/>
  <c r="AC61" i="25"/>
  <c r="AC28" i="25"/>
  <c r="B73" i="25" l="1"/>
  <c r="Q28" i="25" l="1"/>
  <c r="R28" i="25"/>
  <c r="C3" i="27"/>
  <c r="D84" i="27"/>
  <c r="D13" i="28" l="1"/>
  <c r="W5" i="25"/>
  <c r="Y5" i="25"/>
  <c r="AA5" i="25"/>
  <c r="V29" i="25" l="1"/>
  <c r="W29" i="25" s="1"/>
  <c r="I38" i="28" l="1"/>
  <c r="H38" i="28"/>
  <c r="D33" i="28" l="1"/>
  <c r="C33" i="28"/>
  <c r="N13" i="28" l="1"/>
  <c r="I13" i="28"/>
  <c r="H13" i="28"/>
  <c r="C13" i="28"/>
  <c r="D83" i="27" l="1"/>
  <c r="D82" i="27"/>
  <c r="D81" i="27"/>
  <c r="D80" i="27"/>
  <c r="D79" i="27"/>
  <c r="D78" i="27"/>
  <c r="D77" i="27"/>
  <c r="D76" i="27"/>
  <c r="D75" i="27"/>
  <c r="D74" i="27"/>
  <c r="D73" i="27"/>
  <c r="D72" i="27"/>
  <c r="D71" i="27"/>
  <c r="D70" i="27"/>
  <c r="D69" i="27"/>
  <c r="D68" i="27"/>
  <c r="D67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D59" i="27"/>
  <c r="D58" i="27"/>
  <c r="D57" i="27"/>
  <c r="D56" i="27"/>
  <c r="D55" i="27"/>
  <c r="D54" i="27"/>
  <c r="D53" i="27"/>
  <c r="D52" i="27"/>
  <c r="D51" i="27"/>
  <c r="D50" i="27"/>
  <c r="D49" i="27"/>
  <c r="D48" i="27"/>
  <c r="D47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D39" i="27"/>
  <c r="D38" i="27"/>
  <c r="D37" i="27"/>
  <c r="D36" i="27"/>
  <c r="D35" i="27"/>
  <c r="D34" i="27"/>
  <c r="D33" i="27"/>
  <c r="D32" i="27"/>
  <c r="C32" i="27"/>
  <c r="C33" i="27"/>
  <c r="C34" i="27"/>
  <c r="C35" i="27"/>
  <c r="C36" i="27"/>
  <c r="C37" i="27"/>
  <c r="C38" i="27"/>
  <c r="C39" i="27"/>
  <c r="D24" i="27"/>
  <c r="D23" i="27"/>
  <c r="D22" i="27"/>
  <c r="D21" i="27"/>
  <c r="D20" i="27"/>
  <c r="D19" i="27"/>
  <c r="D18" i="27"/>
  <c r="C18" i="27"/>
  <c r="C19" i="27"/>
  <c r="C20" i="27"/>
  <c r="C21" i="27"/>
  <c r="C22" i="27"/>
  <c r="C23" i="27"/>
  <c r="C24" i="27"/>
  <c r="D10" i="27"/>
  <c r="D9" i="27"/>
  <c r="D8" i="27"/>
  <c r="D7" i="27"/>
  <c r="D6" i="27"/>
  <c r="D5" i="27"/>
  <c r="D4" i="27"/>
  <c r="D3" i="27"/>
  <c r="C4" i="27"/>
  <c r="C5" i="27"/>
  <c r="C6" i="27"/>
  <c r="C7" i="27"/>
  <c r="C8" i="27"/>
  <c r="C9" i="27"/>
  <c r="C10" i="27"/>
  <c r="E23" i="27" l="1"/>
  <c r="E22" i="27"/>
  <c r="F22" i="27"/>
  <c r="E47" i="27"/>
  <c r="F47" i="27"/>
  <c r="F39" i="27"/>
  <c r="E39" i="27"/>
  <c r="E59" i="27"/>
  <c r="F59" i="27"/>
  <c r="E78" i="27"/>
  <c r="F78" i="27"/>
  <c r="F4" i="27"/>
  <c r="E4" i="27"/>
  <c r="E50" i="27"/>
  <c r="F50" i="27"/>
  <c r="F69" i="27"/>
  <c r="E69" i="27"/>
  <c r="E3" i="27"/>
  <c r="F3" i="27"/>
  <c r="E24" i="27"/>
  <c r="F24" i="27"/>
  <c r="E37" i="27"/>
  <c r="F37" i="27"/>
  <c r="F57" i="27"/>
  <c r="E57" i="27"/>
  <c r="F49" i="27"/>
  <c r="E49" i="27"/>
  <c r="E84" i="27"/>
  <c r="F84" i="27"/>
  <c r="E76" i="27"/>
  <c r="F76" i="27"/>
  <c r="F68" i="27"/>
  <c r="E68" i="27"/>
  <c r="F55" i="27"/>
  <c r="E55" i="27"/>
  <c r="F5" i="27"/>
  <c r="E5" i="27"/>
  <c r="F18" i="27"/>
  <c r="E18" i="27"/>
  <c r="E51" i="27"/>
  <c r="F51" i="27"/>
  <c r="E70" i="27"/>
  <c r="F70" i="27"/>
  <c r="E38" i="27"/>
  <c r="F38" i="27"/>
  <c r="F58" i="27"/>
  <c r="E58" i="27"/>
  <c r="F77" i="27"/>
  <c r="E77" i="27"/>
  <c r="E10" i="27"/>
  <c r="F10" i="27"/>
  <c r="F23" i="27"/>
  <c r="F36" i="27"/>
  <c r="E36" i="27"/>
  <c r="F56" i="27"/>
  <c r="E56" i="27"/>
  <c r="F48" i="27"/>
  <c r="E48" i="27"/>
  <c r="E83" i="27"/>
  <c r="F83" i="27"/>
  <c r="F75" i="27"/>
  <c r="E75" i="27"/>
  <c r="F67" i="27"/>
  <c r="E67" i="27"/>
  <c r="E9" i="27"/>
  <c r="F9" i="27"/>
  <c r="F35" i="27"/>
  <c r="E35" i="27"/>
  <c r="F74" i="27"/>
  <c r="E74" i="27"/>
  <c r="F81" i="27"/>
  <c r="E81" i="27"/>
  <c r="E7" i="27"/>
  <c r="F7" i="27"/>
  <c r="E20" i="27"/>
  <c r="F20" i="27"/>
  <c r="F33" i="27"/>
  <c r="E33" i="27"/>
  <c r="E53" i="27"/>
  <c r="F53" i="27"/>
  <c r="F80" i="27"/>
  <c r="E80" i="27"/>
  <c r="F72" i="27"/>
  <c r="E72" i="27"/>
  <c r="E82" i="27"/>
  <c r="F82" i="27"/>
  <c r="F8" i="27"/>
  <c r="E8" i="27"/>
  <c r="E21" i="27"/>
  <c r="F21" i="27"/>
  <c r="F34" i="27"/>
  <c r="E34" i="27"/>
  <c r="E54" i="27"/>
  <c r="F54" i="27"/>
  <c r="F73" i="27"/>
  <c r="E73" i="27"/>
  <c r="F6" i="27"/>
  <c r="E6" i="27"/>
  <c r="E19" i="27"/>
  <c r="F19" i="27"/>
  <c r="F32" i="27"/>
  <c r="E32" i="27"/>
  <c r="E52" i="27"/>
  <c r="F52" i="27"/>
  <c r="E79" i="27"/>
  <c r="F79" i="27"/>
  <c r="E71" i="27"/>
  <c r="F71" i="27"/>
  <c r="AA43" i="25"/>
  <c r="AA29" i="25" l="1"/>
  <c r="Y30" i="25"/>
  <c r="Y29" i="25"/>
  <c r="AA51" i="25" l="1"/>
  <c r="AA44" i="25"/>
  <c r="AA45" i="25"/>
  <c r="AA46" i="25"/>
  <c r="AA47" i="25"/>
  <c r="AA48" i="25"/>
  <c r="AA49" i="25"/>
  <c r="AA50" i="25"/>
  <c r="AA52" i="25"/>
  <c r="AA53" i="25"/>
  <c r="AA54" i="25"/>
  <c r="AA55" i="25"/>
  <c r="AA56" i="25"/>
  <c r="AA57" i="25"/>
  <c r="AA58" i="25"/>
  <c r="AA59" i="25"/>
  <c r="AA60" i="25"/>
  <c r="AA30" i="25"/>
  <c r="AA31" i="25"/>
  <c r="AA32" i="25"/>
  <c r="AA33" i="25"/>
  <c r="AA34" i="25"/>
  <c r="AA35" i="25"/>
  <c r="AA36" i="25"/>
  <c r="AA37" i="25"/>
  <c r="AA38" i="25"/>
  <c r="AA39" i="25"/>
  <c r="AA40" i="25"/>
  <c r="AA41" i="25"/>
  <c r="AA21" i="25"/>
  <c r="AA22" i="25"/>
  <c r="AA23" i="25"/>
  <c r="AA24" i="25"/>
  <c r="AA25" i="25"/>
  <c r="AA26" i="25"/>
  <c r="AA27" i="25"/>
  <c r="AA20" i="25"/>
  <c r="AA18" i="25"/>
  <c r="AA13" i="25"/>
  <c r="AA14" i="25"/>
  <c r="AA15" i="25"/>
  <c r="AA16" i="25"/>
  <c r="AA17" i="25"/>
  <c r="AA19" i="25"/>
  <c r="AA6" i="25"/>
  <c r="AA7" i="25"/>
  <c r="AA8" i="25"/>
  <c r="AA9" i="25"/>
  <c r="AA10" i="25"/>
  <c r="AA11" i="25"/>
  <c r="AA12" i="25"/>
  <c r="AA42" i="25" l="1"/>
  <c r="AA61" i="25"/>
  <c r="AA28" i="25"/>
  <c r="Y44" i="25" l="1"/>
  <c r="Y45" i="25"/>
  <c r="Y46" i="25"/>
  <c r="Y47" i="25"/>
  <c r="Y48" i="25"/>
  <c r="Y49" i="25"/>
  <c r="Y50" i="25"/>
  <c r="Y51" i="25"/>
  <c r="Y52" i="25"/>
  <c r="Y53" i="25"/>
  <c r="Y54" i="25"/>
  <c r="Y55" i="25"/>
  <c r="Y56" i="25"/>
  <c r="Y57" i="25"/>
  <c r="Y58" i="25"/>
  <c r="Y59" i="25"/>
  <c r="Y60" i="25"/>
  <c r="Y43" i="25"/>
  <c r="Y61" i="25" l="1"/>
  <c r="Y32" i="25"/>
  <c r="Y33" i="25"/>
  <c r="Y34" i="25"/>
  <c r="Y35" i="25"/>
  <c r="Y37" i="25"/>
  <c r="Y38" i="25"/>
  <c r="Y39" i="25"/>
  <c r="Y40" i="25"/>
  <c r="Y41" i="25"/>
  <c r="W30" i="25"/>
  <c r="W32" i="25"/>
  <c r="W33" i="25"/>
  <c r="W34" i="25"/>
  <c r="W35" i="25"/>
  <c r="W37" i="25"/>
  <c r="W38" i="25"/>
  <c r="W39" i="25"/>
  <c r="W40" i="25"/>
  <c r="W41" i="25"/>
  <c r="Y6" i="25"/>
  <c r="Y7" i="25"/>
  <c r="Y8" i="25"/>
  <c r="Y9" i="25"/>
  <c r="Y10" i="25"/>
  <c r="Y11" i="25"/>
  <c r="Y12" i="25"/>
  <c r="Y13" i="25"/>
  <c r="Y14" i="25"/>
  <c r="Y15" i="25"/>
  <c r="Y16" i="25"/>
  <c r="Y17" i="25"/>
  <c r="Y18" i="25"/>
  <c r="Y19" i="25"/>
  <c r="Y20" i="25"/>
  <c r="Y21" i="25"/>
  <c r="Y22" i="25"/>
  <c r="Y23" i="25"/>
  <c r="Y24" i="25"/>
  <c r="Y25" i="25"/>
  <c r="Y26" i="25"/>
  <c r="Y27" i="25"/>
  <c r="U6" i="25"/>
  <c r="W6" i="25"/>
  <c r="U7" i="25"/>
  <c r="W7" i="25"/>
  <c r="U8" i="25"/>
  <c r="W8" i="25"/>
  <c r="U9" i="25"/>
  <c r="W9" i="25"/>
  <c r="U10" i="25"/>
  <c r="W10" i="25"/>
  <c r="U11" i="25"/>
  <c r="W11" i="25"/>
  <c r="U12" i="25"/>
  <c r="W12" i="25"/>
  <c r="U13" i="25"/>
  <c r="W13" i="25"/>
  <c r="U14" i="25"/>
  <c r="W14" i="25"/>
  <c r="U15" i="25"/>
  <c r="W15" i="25"/>
  <c r="U16" i="25"/>
  <c r="W16" i="25"/>
  <c r="U17" i="25"/>
  <c r="W17" i="25"/>
  <c r="U18" i="25"/>
  <c r="W18" i="25"/>
  <c r="U19" i="25"/>
  <c r="W19" i="25"/>
  <c r="U20" i="25"/>
  <c r="W20" i="25"/>
  <c r="U21" i="25"/>
  <c r="W21" i="25"/>
  <c r="U22" i="25"/>
  <c r="W22" i="25"/>
  <c r="U23" i="25"/>
  <c r="W23" i="25"/>
  <c r="U24" i="25"/>
  <c r="W24" i="25"/>
  <c r="U25" i="25"/>
  <c r="W25" i="25"/>
  <c r="U26" i="25"/>
  <c r="W26" i="25"/>
  <c r="U27" i="25"/>
  <c r="W27" i="25"/>
  <c r="U5" i="25"/>
  <c r="Y28" i="25" l="1"/>
  <c r="D108" i="27" l="1"/>
  <c r="V36" i="25"/>
  <c r="G56" i="27" l="1"/>
  <c r="I56" i="27" s="1"/>
  <c r="G52" i="27"/>
  <c r="I52" i="27" s="1"/>
  <c r="G48" i="27"/>
  <c r="I48" i="27" s="1"/>
  <c r="G72" i="27"/>
  <c r="I72" i="27" s="1"/>
  <c r="G37" i="27"/>
  <c r="I37" i="27" s="1"/>
  <c r="G50" i="27"/>
  <c r="I50" i="27" s="1"/>
  <c r="G58" i="27"/>
  <c r="I58" i="27" s="1"/>
  <c r="G24" i="27"/>
  <c r="I24" i="27" s="1"/>
  <c r="G54" i="27"/>
  <c r="I54" i="27" s="1"/>
  <c r="G33" i="27"/>
  <c r="I33" i="27" s="1"/>
  <c r="G35" i="27"/>
  <c r="I35" i="27" s="1"/>
  <c r="G73" i="27"/>
  <c r="I73" i="27" s="1"/>
  <c r="G59" i="27"/>
  <c r="I59" i="27" s="1"/>
  <c r="G57" i="27"/>
  <c r="I57" i="27" s="1"/>
  <c r="G55" i="27"/>
  <c r="I55" i="27" s="1"/>
  <c r="G53" i="27"/>
  <c r="I53" i="27" s="1"/>
  <c r="G51" i="27"/>
  <c r="I51" i="27" s="1"/>
  <c r="G49" i="27"/>
  <c r="I49" i="27" s="1"/>
  <c r="G36" i="27"/>
  <c r="I36" i="27" s="1"/>
  <c r="G32" i="27"/>
  <c r="I32" i="27" s="1"/>
  <c r="G77" i="27"/>
  <c r="I77" i="27" s="1"/>
  <c r="G84" i="27"/>
  <c r="I84" i="27" s="1"/>
  <c r="G78" i="27"/>
  <c r="I78" i="27" s="1"/>
  <c r="G76" i="27"/>
  <c r="I76" i="27" s="1"/>
  <c r="G74" i="27"/>
  <c r="I74" i="27" s="1"/>
  <c r="G81" i="27"/>
  <c r="I81" i="27" s="1"/>
  <c r="G79" i="27"/>
  <c r="I79" i="27" s="1"/>
  <c r="G70" i="27"/>
  <c r="I70" i="27" s="1"/>
  <c r="G82" i="27"/>
  <c r="I82" i="27" s="1"/>
  <c r="G69" i="27"/>
  <c r="I69" i="27" s="1"/>
  <c r="G71" i="27"/>
  <c r="I71" i="27" s="1"/>
  <c r="G83" i="27"/>
  <c r="I83" i="27" s="1"/>
  <c r="G80" i="27"/>
  <c r="I80" i="27" s="1"/>
  <c r="G75" i="27"/>
  <c r="I75" i="27" s="1"/>
  <c r="G68" i="27"/>
  <c r="I68" i="27" s="1"/>
  <c r="G67" i="27"/>
  <c r="I67" i="27" s="1"/>
  <c r="G47" i="27"/>
  <c r="I47" i="27" s="1"/>
  <c r="G38" i="27"/>
  <c r="I38" i="27" s="1"/>
  <c r="G34" i="27"/>
  <c r="I34" i="27" s="1"/>
  <c r="G39" i="27"/>
  <c r="I39" i="27" s="1"/>
  <c r="G23" i="27"/>
  <c r="I23" i="27" s="1"/>
  <c r="G21" i="27"/>
  <c r="I21" i="27" s="1"/>
  <c r="G18" i="27"/>
  <c r="I18" i="27" s="1"/>
  <c r="G9" i="27"/>
  <c r="I9" i="27" s="1"/>
  <c r="G7" i="27"/>
  <c r="I7" i="27" s="1"/>
  <c r="G3" i="27"/>
  <c r="I3" i="27" s="1"/>
  <c r="G5" i="27"/>
  <c r="I5" i="27" s="1"/>
  <c r="G8" i="27"/>
  <c r="I8" i="27" s="1"/>
  <c r="G6" i="27"/>
  <c r="I6" i="27" s="1"/>
  <c r="G4" i="27"/>
  <c r="I4" i="27" s="1"/>
  <c r="G19" i="27"/>
  <c r="I19" i="27" s="1"/>
  <c r="G22" i="27"/>
  <c r="I22" i="27" s="1"/>
  <c r="G20" i="27"/>
  <c r="Y31" i="25"/>
  <c r="W31" i="25"/>
  <c r="Y36" i="25"/>
  <c r="W36" i="25"/>
  <c r="W28" i="25"/>
  <c r="U28" i="25"/>
  <c r="G10" i="27"/>
  <c r="I10" i="27" s="1"/>
  <c r="I20" i="27" l="1"/>
  <c r="W42" i="25"/>
  <c r="Y42" i="25"/>
  <c r="B90" i="27" l="1"/>
  <c r="B93" i="27"/>
  <c r="B92" i="27"/>
  <c r="B91" i="27" l="1"/>
  <c r="B95" i="27" s="1"/>
  <c r="E108" i="27" l="1"/>
  <c r="C108" i="27" l="1"/>
  <c r="E7" i="26" l="1"/>
  <c r="B102" i="27" l="1"/>
  <c r="G7" i="26"/>
  <c r="E6" i="26" l="1"/>
  <c r="B101" i="27" l="1"/>
  <c r="G6" i="26"/>
  <c r="E5" i="26" l="1"/>
  <c r="E8" i="26" l="1"/>
  <c r="B100" i="27"/>
  <c r="B103" i="27" s="1"/>
  <c r="B104" i="27" s="1"/>
  <c r="G5" i="26"/>
  <c r="G8" i="26" s="1"/>
  <c r="B105" i="27" l="1"/>
  <c r="B108" i="27" s="1"/>
  <c r="F108" i="27" s="1"/>
  <c r="H108" i="27" s="1"/>
  <c r="C116" i="27" l="1"/>
  <c r="E116" i="27" s="1"/>
  <c r="F116" i="27" s="1"/>
  <c r="C115" i="27"/>
  <c r="H110" i="27"/>
  <c r="C117" i="27" l="1"/>
  <c r="E115" i="27"/>
  <c r="G116" i="27"/>
  <c r="F115" i="27" l="1"/>
  <c r="F117" i="27" s="1"/>
  <c r="E117" i="27"/>
  <c r="G115" i="27" l="1"/>
  <c r="G117" i="2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<sst xmlns="http://schemas.openxmlformats.org/spreadsheetml/2006/main" count="380" uniqueCount="153">
  <si>
    <t>Diameter at breast height</t>
  </si>
  <si>
    <t>cm</t>
  </si>
  <si>
    <t>Plot</t>
  </si>
  <si>
    <t>Height</t>
  </si>
  <si>
    <t>DBH</t>
  </si>
  <si>
    <t>Year 2</t>
  </si>
  <si>
    <t>Year 3</t>
  </si>
  <si>
    <t>Year 1</t>
  </si>
  <si>
    <t>No of plants survived at the 2018 counting</t>
  </si>
  <si>
    <t>No of trees planted</t>
  </si>
  <si>
    <t>Year 4</t>
  </si>
  <si>
    <t>No of plants survived at the 2019 counting</t>
  </si>
  <si>
    <t>Survival rate (%) in 2018</t>
  </si>
  <si>
    <t>Survival rate (%) in 2019</t>
  </si>
  <si>
    <t>Avg (2015-2017)</t>
  </si>
  <si>
    <t>1 (P)</t>
  </si>
  <si>
    <t>2 (P)</t>
  </si>
  <si>
    <t>3 (P)</t>
  </si>
  <si>
    <t>Avg (2018)</t>
  </si>
  <si>
    <t>Year 5</t>
  </si>
  <si>
    <t>Plot 1</t>
  </si>
  <si>
    <t>Plot 3</t>
  </si>
  <si>
    <t>Plot 4</t>
  </si>
  <si>
    <t>Plot 5</t>
  </si>
  <si>
    <t>Plot 7</t>
  </si>
  <si>
    <t>Plot 16</t>
  </si>
  <si>
    <t>Plot 17</t>
  </si>
  <si>
    <t>Plot 23</t>
  </si>
  <si>
    <t>Plot 29</t>
  </si>
  <si>
    <t>Plot 32</t>
  </si>
  <si>
    <t>Plot 37</t>
  </si>
  <si>
    <t>Plot 38</t>
  </si>
  <si>
    <t>Plot 40</t>
  </si>
  <si>
    <t>Plot 42</t>
  </si>
  <si>
    <t>Plot 43</t>
  </si>
  <si>
    <t>Plot 46</t>
  </si>
  <si>
    <t>Plot 48</t>
  </si>
  <si>
    <t>Plot 49</t>
  </si>
  <si>
    <t>Avg (2019)</t>
  </si>
  <si>
    <t>No of plants survived at the 2020 counting</t>
  </si>
  <si>
    <t>Survival rate (%) in 2020</t>
  </si>
  <si>
    <t>Sample ID</t>
  </si>
  <si>
    <t>Aboveground weight (kg)</t>
  </si>
  <si>
    <t>Belowground weight (kg)</t>
  </si>
  <si>
    <t>Total Biomass per tree</t>
  </si>
  <si>
    <t>Number of trees per ha</t>
  </si>
  <si>
    <t>total Biomass (t/ha)</t>
  </si>
  <si>
    <t>Mean value</t>
  </si>
  <si>
    <t>stad Dev</t>
  </si>
  <si>
    <t>SEM</t>
  </si>
  <si>
    <t>SEM expanded @90</t>
  </si>
  <si>
    <t>Uncer</t>
  </si>
  <si>
    <t>Change in carbon stock in tree biomass in project in year t</t>
  </si>
  <si>
    <t>t CO2-e</t>
  </si>
  <si>
    <t>2018 planting</t>
  </si>
  <si>
    <t>2015-2017 planting</t>
  </si>
  <si>
    <t>2019 planting</t>
  </si>
  <si>
    <t>Total</t>
  </si>
  <si>
    <t>Balance VCUs</t>
  </si>
  <si>
    <t>ABG+BGB after discounting</t>
  </si>
  <si>
    <t>SOC of 2015-2017</t>
  </si>
  <si>
    <t>SOC of 2018</t>
  </si>
  <si>
    <t>SOC of 2019</t>
  </si>
  <si>
    <t>Total VCUs</t>
  </si>
  <si>
    <t>SOC</t>
  </si>
  <si>
    <t>m</t>
  </si>
  <si>
    <t>Average Uncertainty</t>
  </si>
  <si>
    <t>Year 6</t>
  </si>
  <si>
    <t>Survival rate (%) in 2021</t>
  </si>
  <si>
    <t>No of plants survived at the 2021 counting</t>
  </si>
  <si>
    <t>Planting</t>
  </si>
  <si>
    <t>Avg DBH (cm)</t>
  </si>
  <si>
    <t>Avg Height (cm)</t>
  </si>
  <si>
    <t>No. of Plants</t>
  </si>
  <si>
    <t>Plot 6</t>
  </si>
  <si>
    <t>Plot 21</t>
  </si>
  <si>
    <t>Plot 19</t>
  </si>
  <si>
    <t>Plot 11</t>
  </si>
  <si>
    <t>Plot 25</t>
  </si>
  <si>
    <t>Plot 26</t>
  </si>
  <si>
    <t>Plot 33</t>
  </si>
  <si>
    <t>Plot 62</t>
  </si>
  <si>
    <t>Plot 45</t>
  </si>
  <si>
    <t>Plot 34</t>
  </si>
  <si>
    <t>Plot 68</t>
  </si>
  <si>
    <t>Plot 53</t>
  </si>
  <si>
    <t>Plot 77</t>
  </si>
  <si>
    <t>Plot 90</t>
  </si>
  <si>
    <t>Plot 100</t>
  </si>
  <si>
    <t>Plot 99</t>
  </si>
  <si>
    <t>Plot 73</t>
  </si>
  <si>
    <t>Plot 106</t>
  </si>
  <si>
    <t>Average</t>
  </si>
  <si>
    <t>Plot 2</t>
  </si>
  <si>
    <t>Plot 12</t>
  </si>
  <si>
    <t>Plot 14</t>
  </si>
  <si>
    <t>Plot 28</t>
  </si>
  <si>
    <t xml:space="preserve"> </t>
  </si>
  <si>
    <t>No of plants survived at the 2022 counting</t>
  </si>
  <si>
    <t>Survival rate (%) in 2022</t>
  </si>
  <si>
    <t>Year 7</t>
  </si>
  <si>
    <t>Wood density of mangrove species</t>
  </si>
  <si>
    <t>Species</t>
  </si>
  <si>
    <t>Density (g/cm3)</t>
  </si>
  <si>
    <t>Bruguiera cylindrica</t>
  </si>
  <si>
    <t>Bruguiera gymnorrhiza</t>
  </si>
  <si>
    <t>Ceriops tagal</t>
  </si>
  <si>
    <t>Rhizophora apiculata </t>
  </si>
  <si>
    <t>Rhizophora mucronata</t>
  </si>
  <si>
    <t>Bruguiera sexandula</t>
  </si>
  <si>
    <t>Mean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</si>
  <si>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</si>
  <si>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</si>
  <si>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</si>
  <si>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</si>
  <si>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</si>
  <si>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</si>
  <si>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</si>
  <si>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</si>
  <si>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</si>
  <si>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</si>
  <si>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</si>
  <si>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</si>
  <si>
    <t>Confidence Level(90.0%)</t>
  </si>
  <si>
    <t>AGB &amp; BGB Reforestation</t>
  </si>
  <si>
    <t>AGB &amp; BGB Restoration</t>
  </si>
  <si>
    <t>Total ABG + BGB</t>
  </si>
  <si>
    <t>Year</t>
  </si>
  <si>
    <r>
      <t>VCUs eligible for issuance</t>
    </r>
    <r>
      <rPr>
        <sz val="11"/>
        <color theme="1"/>
        <rFont val="Calibri"/>
        <family val="2"/>
      </rPr>
      <t> </t>
    </r>
  </si>
  <si>
    <r>
      <t>Baseline emissions or removals (tCO</t>
    </r>
    <r>
      <rPr>
        <b/>
        <vertAlign val="subscript"/>
        <sz val="11"/>
        <color theme="1"/>
        <rFont val="Calibri"/>
        <family val="2"/>
      </rPr>
      <t>2</t>
    </r>
    <r>
      <rPr>
        <b/>
        <sz val="11"/>
        <color theme="1"/>
        <rFont val="Calibri"/>
        <family val="2"/>
      </rPr>
      <t>e)</t>
    </r>
  </si>
  <si>
    <r>
      <t>Project emissions or removals (tCO</t>
    </r>
    <r>
      <rPr>
        <b/>
        <vertAlign val="subscript"/>
        <sz val="11"/>
        <color theme="1"/>
        <rFont val="Calibri"/>
        <family val="2"/>
      </rPr>
      <t>2</t>
    </r>
    <r>
      <rPr>
        <b/>
        <sz val="11"/>
        <color theme="1"/>
        <rFont val="Calibri"/>
        <family val="2"/>
      </rPr>
      <t>e)</t>
    </r>
  </si>
  <si>
    <r>
      <t>Leakage emissions (tCO</t>
    </r>
    <r>
      <rPr>
        <b/>
        <vertAlign val="subscript"/>
        <sz val="11"/>
        <color theme="1"/>
        <rFont val="Calibri"/>
        <family val="2"/>
      </rPr>
      <t>2</t>
    </r>
    <r>
      <rPr>
        <b/>
        <sz val="11"/>
        <color theme="1"/>
        <rFont val="Calibri"/>
        <family val="2"/>
      </rPr>
      <t>e)</t>
    </r>
  </si>
  <si>
    <r>
      <t>Net GHG emission reductions or removals (tCO</t>
    </r>
    <r>
      <rPr>
        <b/>
        <vertAlign val="subscript"/>
        <sz val="11"/>
        <color theme="1"/>
        <rFont val="Calibri"/>
        <family val="2"/>
      </rPr>
      <t>2</t>
    </r>
    <r>
      <rPr>
        <b/>
        <sz val="11"/>
        <color theme="1"/>
        <rFont val="Calibri"/>
        <family val="2"/>
      </rPr>
      <t>e)</t>
    </r>
  </si>
  <si>
    <t>Net GHG Emission Reductions and Removals</t>
  </si>
  <si>
    <t>Year 8</t>
  </si>
  <si>
    <t>No of plants survived at the 2023 counting</t>
  </si>
  <si>
    <t>Survival rate (%) in 2023</t>
  </si>
  <si>
    <t>15-06-2022 – 31-12-2022</t>
  </si>
  <si>
    <t>01-01-2023 – 31-12-2023</t>
  </si>
  <si>
    <t xml:space="preserve">Avg. Survival </t>
  </si>
  <si>
    <t>Total VCUs for 2022-23</t>
  </si>
  <si>
    <t>VCUs for 2022-23 before accounting for uncertainity</t>
  </si>
  <si>
    <t>2016 Plantation (Des_ Stats)</t>
  </si>
  <si>
    <t>Applying discount of 25%</t>
  </si>
  <si>
    <t>2015 Plantation (Des_ Stats)</t>
  </si>
  <si>
    <t>2017 Plantation (Des_ Stats)</t>
  </si>
  <si>
    <t>2018 Plantation (Des_ Stats)</t>
  </si>
  <si>
    <t>2019 Plantation (Des_ Stats)</t>
  </si>
  <si>
    <t>Buffer VCUs (17%)</t>
  </si>
  <si>
    <t>Balance VCUs (83%)</t>
  </si>
  <si>
    <t>Buffer pool allocation (17%)</t>
  </si>
  <si>
    <r>
      <t>Amount of 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 lost</t>
    </r>
  </si>
  <si>
    <r>
      <t>After discounting the previous loss (tCO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</si>
</sst>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2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24"/>
      <color rgb="FF002060"/>
      <name val="Calibri"/>
      <family val="2"/>
      <scheme val="minor"/>
    </font>
    <font>
      <b/>
      <sz val="22"/>
      <color rgb="FF002060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color rgb="FF222222"/>
      <name val="Arial"/>
      <family val="2"/>
    </font>
    <font>
      <sz val="10"/>
      <color rgb="FF222222"/>
      <name val="Arial"/>
      <family val="2"/>
    </font>
    <font>
      <b/>
      <sz val="10"/>
      <color rgb="FF222222"/>
      <name val="Arial"/>
      <family val="2"/>
    </font>
    <font>
      <sz val="9.5"/>
      <color rgb="FF000000"/>
      <name val="Franklin Gothic Book"/>
      <family val="2"/>
    </font>
    <font>
      <sz val="8"/>
      <color theme="1"/>
      <name val="Franklin Gothic Book"/>
      <family val="2"/>
    </font>
    <font>
      <i/>
      <sz val="10.5"/>
      <color rgb="FF4F515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vertAlign val="subscript"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E7B8B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223">
    <xf numFmtId="0" fontId="0" fillId="0" borderId="0" xfId="0"/>
    <xf numFmtId="0" fontId="2" fillId="0" borderId="1" xfId="0" applyFont="1" applyBorder="1"/>
    <xf numFmtId="2" fontId="2" fillId="0" borderId="7" xfId="0" applyNumberFormat="1" applyFont="1" applyBorder="1"/>
    <xf numFmtId="0" fontId="0" fillId="3" borderId="1" xfId="0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2" fontId="0" fillId="9" borderId="1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2" fontId="0" fillId="10" borderId="1" xfId="0" applyNumberForma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0" xfId="0" applyFont="1" applyAlignment="1">
      <alignment vertical="center"/>
    </xf>
    <xf numFmtId="2" fontId="0" fillId="11" borderId="1" xfId="0" applyNumberFormat="1" applyFill="1" applyBorder="1" applyAlignment="1">
      <alignment horizontal="center" vertical="center"/>
    </xf>
    <xf numFmtId="2" fontId="0" fillId="12" borderId="1" xfId="0" applyNumberFormat="1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2" fontId="0" fillId="13" borderId="1" xfId="0" applyNumberForma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top" wrapText="1"/>
    </xf>
    <xf numFmtId="2" fontId="6" fillId="5" borderId="1" xfId="0" applyNumberFormat="1" applyFont="1" applyFill="1" applyBorder="1" applyAlignment="1">
      <alignment horizontal="center" vertical="center"/>
    </xf>
    <xf numFmtId="2" fontId="0" fillId="7" borderId="1" xfId="0" applyNumberFormat="1" applyFill="1" applyBorder="1" applyAlignment="1">
      <alignment horizontal="center" vertical="center"/>
    </xf>
    <xf numFmtId="2" fontId="6" fillId="5" borderId="1" xfId="0" applyNumberFormat="1" applyFont="1" applyFill="1" applyBorder="1" applyAlignment="1">
      <alignment horizontal="center"/>
    </xf>
    <xf numFmtId="2" fontId="0" fillId="7" borderId="1" xfId="0" applyNumberForma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top" wrapText="1"/>
    </xf>
    <xf numFmtId="0" fontId="1" fillId="4" borderId="1" xfId="0" applyFont="1" applyFill="1" applyBorder="1" applyAlignment="1">
      <alignment horizontal="center" vertical="top" wrapText="1"/>
    </xf>
    <xf numFmtId="2" fontId="1" fillId="6" borderId="1" xfId="0" applyNumberFormat="1" applyFont="1" applyFill="1" applyBorder="1" applyAlignment="1">
      <alignment horizontal="center" vertical="top" wrapText="1"/>
    </xf>
    <xf numFmtId="2" fontId="0" fillId="6" borderId="1" xfId="0" applyNumberFormat="1" applyFill="1" applyBorder="1" applyAlignment="1">
      <alignment horizontal="center" vertical="center"/>
    </xf>
    <xf numFmtId="0" fontId="0" fillId="12" borderId="1" xfId="0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0" fontId="0" fillId="13" borderId="1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9" fontId="0" fillId="2" borderId="1" xfId="1" applyFont="1" applyFill="1" applyBorder="1" applyAlignment="1">
      <alignment horizontal="center"/>
    </xf>
    <xf numFmtId="9" fontId="0" fillId="3" borderId="1" xfId="1" applyFont="1" applyFill="1" applyBorder="1" applyAlignment="1">
      <alignment horizontal="center"/>
    </xf>
    <xf numFmtId="9" fontId="0" fillId="4" borderId="1" xfId="1" applyFont="1" applyFill="1" applyBorder="1" applyAlignment="1">
      <alignment horizontal="center" vertical="center"/>
    </xf>
    <xf numFmtId="9" fontId="0" fillId="2" borderId="1" xfId="1" applyFont="1" applyFill="1" applyBorder="1" applyAlignment="1">
      <alignment horizontal="center" vertical="center"/>
    </xf>
    <xf numFmtId="9" fontId="0" fillId="3" borderId="1" xfId="1" applyFont="1" applyFill="1" applyBorder="1" applyAlignment="1">
      <alignment horizontal="center" vertical="center"/>
    </xf>
    <xf numFmtId="9" fontId="0" fillId="12" borderId="1" xfId="1" applyFont="1" applyFill="1" applyBorder="1" applyAlignment="1">
      <alignment horizontal="center"/>
    </xf>
    <xf numFmtId="9" fontId="2" fillId="0" borderId="1" xfId="1" applyFont="1" applyBorder="1" applyAlignment="1">
      <alignment horizontal="center"/>
    </xf>
    <xf numFmtId="9" fontId="2" fillId="0" borderId="1" xfId="1" applyFont="1" applyFill="1" applyBorder="1" applyAlignment="1">
      <alignment horizontal="center"/>
    </xf>
    <xf numFmtId="0" fontId="0" fillId="0" borderId="0" xfId="0" applyAlignment="1">
      <alignment horizontal="left"/>
    </xf>
    <xf numFmtId="9" fontId="0" fillId="13" borderId="1" xfId="1" applyFont="1" applyFill="1" applyBorder="1" applyAlignment="1">
      <alignment horizontal="center"/>
    </xf>
    <xf numFmtId="10" fontId="0" fillId="0" borderId="0" xfId="0" applyNumberFormat="1" applyAlignment="1">
      <alignment horizontal="center"/>
    </xf>
    <xf numFmtId="10" fontId="0" fillId="0" borderId="0" xfId="0" applyNumberFormat="1" applyAlignment="1">
      <alignment horizontal="left"/>
    </xf>
    <xf numFmtId="43" fontId="7" fillId="0" borderId="0" xfId="6" applyFont="1" applyAlignment="1">
      <alignment horizontal="center" vertical="center"/>
    </xf>
    <xf numFmtId="43" fontId="0" fillId="0" borderId="0" xfId="6" applyFont="1" applyAlignment="1">
      <alignment horizontal="center" vertical="center"/>
    </xf>
    <xf numFmtId="0" fontId="0" fillId="0" borderId="0" xfId="6" applyNumberFormat="1" applyFont="1" applyAlignment="1">
      <alignment horizontal="center" vertical="center"/>
    </xf>
    <xf numFmtId="39" fontId="0" fillId="0" borderId="0" xfId="6" applyNumberFormat="1" applyFont="1" applyAlignment="1">
      <alignment horizontal="center" vertical="center"/>
    </xf>
    <xf numFmtId="43" fontId="0" fillId="0" borderId="0" xfId="6" applyFont="1" applyAlignment="1">
      <alignment vertical="center"/>
    </xf>
    <xf numFmtId="2" fontId="0" fillId="14" borderId="1" xfId="0" applyNumberFormat="1" applyFill="1" applyBorder="1" applyAlignment="1">
      <alignment horizontal="center" vertical="center"/>
    </xf>
    <xf numFmtId="2" fontId="0" fillId="14" borderId="1" xfId="0" applyNumberFormat="1" applyFill="1" applyBorder="1" applyAlignment="1">
      <alignment horizontal="center"/>
    </xf>
    <xf numFmtId="1" fontId="0" fillId="2" borderId="1" xfId="1" applyNumberFormat="1" applyFont="1" applyFill="1" applyBorder="1" applyAlignment="1">
      <alignment horizontal="center" vertical="center"/>
    </xf>
    <xf numFmtId="1" fontId="0" fillId="3" borderId="1" xfId="1" applyNumberFormat="1" applyFont="1" applyFill="1" applyBorder="1" applyAlignment="1">
      <alignment horizontal="center" vertical="center"/>
    </xf>
    <xf numFmtId="4" fontId="0" fillId="14" borderId="1" xfId="0" applyNumberFormat="1" applyFill="1" applyBorder="1" applyAlignment="1">
      <alignment horizontal="center" vertical="center"/>
    </xf>
    <xf numFmtId="1" fontId="0" fillId="4" borderId="1" xfId="1" applyNumberFormat="1" applyFont="1" applyFill="1" applyBorder="1" applyAlignment="1">
      <alignment horizontal="center" vertical="center"/>
    </xf>
    <xf numFmtId="1" fontId="0" fillId="12" borderId="1" xfId="1" applyNumberFormat="1" applyFont="1" applyFill="1" applyBorder="1" applyAlignment="1">
      <alignment horizontal="center"/>
    </xf>
    <xf numFmtId="4" fontId="0" fillId="14" borderId="1" xfId="0" applyNumberFormat="1" applyFill="1" applyBorder="1" applyAlignment="1">
      <alignment horizontal="center"/>
    </xf>
    <xf numFmtId="1" fontId="0" fillId="13" borderId="1" xfId="1" applyNumberFormat="1" applyFont="1" applyFill="1" applyBorder="1" applyAlignment="1">
      <alignment horizontal="center"/>
    </xf>
    <xf numFmtId="9" fontId="9" fillId="12" borderId="1" xfId="1" applyFont="1" applyFill="1" applyBorder="1" applyAlignment="1">
      <alignment horizontal="center"/>
    </xf>
    <xf numFmtId="2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16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9" fontId="0" fillId="0" borderId="0" xfId="1" applyFont="1" applyAlignment="1">
      <alignment horizontal="center" vertical="center"/>
    </xf>
    <xf numFmtId="43" fontId="6" fillId="0" borderId="0" xfId="6" applyFont="1" applyAlignment="1">
      <alignment horizontal="center" vertical="center"/>
    </xf>
    <xf numFmtId="9" fontId="0" fillId="0" borderId="0" xfId="0" applyNumberFormat="1" applyAlignment="1">
      <alignment horizontal="center"/>
    </xf>
    <xf numFmtId="9" fontId="2" fillId="0" borderId="0" xfId="0" applyNumberFormat="1" applyFont="1" applyAlignment="1">
      <alignment horizontal="center"/>
    </xf>
    <xf numFmtId="1" fontId="0" fillId="0" borderId="0" xfId="0" applyNumberFormat="1"/>
    <xf numFmtId="1" fontId="0" fillId="0" borderId="0" xfId="0" applyNumberFormat="1" applyAlignment="1">
      <alignment horizont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1" fontId="0" fillId="0" borderId="0" xfId="0" applyNumberFormat="1" applyAlignment="1">
      <alignment horizontal="center" vertical="center"/>
    </xf>
    <xf numFmtId="0" fontId="7" fillId="15" borderId="0" xfId="0" applyFont="1" applyFill="1" applyAlignment="1">
      <alignment horizontal="center" vertical="center"/>
    </xf>
    <xf numFmtId="1" fontId="7" fillId="15" borderId="0" xfId="0" applyNumberFormat="1" applyFont="1" applyFill="1" applyAlignment="1">
      <alignment horizontal="center" vertical="center"/>
    </xf>
    <xf numFmtId="0" fontId="2" fillId="15" borderId="0" xfId="0" applyFont="1" applyFill="1" applyAlignment="1">
      <alignment horizontal="center" vertical="center"/>
    </xf>
    <xf numFmtId="1" fontId="2" fillId="15" borderId="0" xfId="0" applyNumberFormat="1" applyFont="1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1" fontId="0" fillId="15" borderId="0" xfId="0" applyNumberForma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4" fontId="0" fillId="15" borderId="0" xfId="0" applyNumberFormat="1" applyFill="1" applyAlignment="1">
      <alignment horizontal="center" vertical="center"/>
    </xf>
    <xf numFmtId="9" fontId="0" fillId="8" borderId="1" xfId="1" applyFont="1" applyFill="1" applyBorder="1" applyAlignment="1">
      <alignment horizontal="center"/>
    </xf>
    <xf numFmtId="2" fontId="12" fillId="0" borderId="1" xfId="0" applyNumberFormat="1" applyFont="1" applyBorder="1" applyAlignment="1">
      <alignment horizontal="center"/>
    </xf>
    <xf numFmtId="10" fontId="0" fillId="0" borderId="0" xfId="1" applyNumberFormat="1" applyFont="1" applyAlignment="1">
      <alignment horizontal="center" vertical="center"/>
    </xf>
    <xf numFmtId="9" fontId="0" fillId="0" borderId="0" xfId="0" applyNumberFormat="1"/>
    <xf numFmtId="4" fontId="2" fillId="0" borderId="1" xfId="0" applyNumberFormat="1" applyFont="1" applyBorder="1" applyAlignment="1">
      <alignment horizontal="center"/>
    </xf>
    <xf numFmtId="0" fontId="2" fillId="16" borderId="1" xfId="0" applyFont="1" applyFill="1" applyBorder="1" applyAlignment="1">
      <alignment horizontal="center" vertical="center"/>
    </xf>
    <xf numFmtId="0" fontId="13" fillId="0" borderId="1" xfId="0" applyFont="1" applyBorder="1"/>
    <xf numFmtId="0" fontId="14" fillId="0" borderId="1" xfId="0" applyFont="1" applyBorder="1"/>
    <xf numFmtId="0" fontId="0" fillId="0" borderId="1" xfId="0" applyBorder="1"/>
    <xf numFmtId="0" fontId="0" fillId="0" borderId="2" xfId="0" applyBorder="1"/>
    <xf numFmtId="0" fontId="15" fillId="0" borderId="1" xfId="0" applyFont="1" applyBorder="1"/>
    <xf numFmtId="2" fontId="2" fillId="0" borderId="1" xfId="0" applyNumberFormat="1" applyFont="1" applyBorder="1"/>
    <xf numFmtId="4" fontId="16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3" fontId="18" fillId="0" borderId="0" xfId="0" applyNumberFormat="1" applyFont="1"/>
    <xf numFmtId="0" fontId="19" fillId="0" borderId="1" xfId="0" applyFont="1" applyBorder="1" applyAlignment="1">
      <alignment horizontal="justify" vertical="center" wrapText="1"/>
    </xf>
    <xf numFmtId="0" fontId="19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" fillId="17" borderId="1" xfId="0" applyFont="1" applyFill="1" applyBorder="1" applyAlignment="1">
      <alignment horizontal="justify" vertical="center" wrapText="1"/>
    </xf>
    <xf numFmtId="0" fontId="20" fillId="17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4" fontId="2" fillId="18" borderId="1" xfId="0" applyNumberFormat="1" applyFont="1" applyFill="1" applyBorder="1" applyAlignment="1">
      <alignment horizontal="right" vertical="center"/>
    </xf>
    <xf numFmtId="43" fontId="0" fillId="0" borderId="1" xfId="6" applyFont="1" applyBorder="1" applyAlignment="1">
      <alignment horizontal="center" vertical="center"/>
    </xf>
    <xf numFmtId="43" fontId="20" fillId="17" borderId="1" xfId="6" applyFont="1" applyFill="1" applyBorder="1" applyAlignment="1">
      <alignment horizontal="center" vertical="center" wrapText="1"/>
    </xf>
    <xf numFmtId="43" fontId="19" fillId="0" borderId="1" xfId="6" applyFont="1" applyFill="1" applyBorder="1" applyAlignment="1">
      <alignment horizontal="center" vertical="center" wrapText="1"/>
    </xf>
    <xf numFmtId="43" fontId="0" fillId="7" borderId="1" xfId="6" applyFont="1" applyFill="1" applyBorder="1" applyAlignment="1">
      <alignment horizontal="center" vertical="center"/>
    </xf>
    <xf numFmtId="43" fontId="2" fillId="7" borderId="1" xfId="6" applyFont="1" applyFill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vertical="center"/>
    </xf>
    <xf numFmtId="3" fontId="0" fillId="7" borderId="1" xfId="0" applyNumberFormat="1" applyFill="1" applyBorder="1" applyAlignment="1">
      <alignment horizontal="center" vertical="center"/>
    </xf>
    <xf numFmtId="4" fontId="0" fillId="7" borderId="1" xfId="0" applyNumberFormat="1" applyFill="1" applyBorder="1" applyAlignment="1">
      <alignment horizontal="right" vertical="center"/>
    </xf>
    <xf numFmtId="4" fontId="2" fillId="7" borderId="1" xfId="0" applyNumberFormat="1" applyFont="1" applyFill="1" applyBorder="1" applyAlignment="1">
      <alignment horizontal="right" vertical="center"/>
    </xf>
    <xf numFmtId="0" fontId="20" fillId="7" borderId="1" xfId="0" applyFont="1" applyFill="1" applyBorder="1" applyAlignment="1">
      <alignment horizontal="center" vertical="center" wrapText="1"/>
    </xf>
    <xf numFmtId="43" fontId="19" fillId="7" borderId="1" xfId="6" applyFont="1" applyFill="1" applyBorder="1" applyAlignment="1">
      <alignment horizontal="center" vertical="center" wrapText="1"/>
    </xf>
    <xf numFmtId="2" fontId="0" fillId="0" borderId="0" xfId="0" applyNumberFormat="1"/>
    <xf numFmtId="2" fontId="0" fillId="19" borderId="1" xfId="0" applyNumberFormat="1" applyFill="1" applyBorder="1" applyAlignment="1">
      <alignment horizontal="center" vertical="center"/>
    </xf>
    <xf numFmtId="2" fontId="0" fillId="19" borderId="1" xfId="0" applyNumberFormat="1" applyFill="1" applyBorder="1" applyAlignment="1">
      <alignment horizontal="center"/>
    </xf>
    <xf numFmtId="0" fontId="0" fillId="2" borderId="1" xfId="1" applyNumberFormat="1" applyFont="1" applyFill="1" applyBorder="1" applyAlignment="1">
      <alignment horizontal="center" vertical="center"/>
    </xf>
    <xf numFmtId="0" fontId="0" fillId="3" borderId="1" xfId="1" applyNumberFormat="1" applyFont="1" applyFill="1" applyBorder="1" applyAlignment="1">
      <alignment horizontal="center" vertical="center"/>
    </xf>
    <xf numFmtId="0" fontId="0" fillId="4" borderId="1" xfId="1" applyNumberFormat="1" applyFont="1" applyFill="1" applyBorder="1" applyAlignment="1">
      <alignment horizontal="center" vertical="center"/>
    </xf>
    <xf numFmtId="0" fontId="9" fillId="12" borderId="1" xfId="1" applyNumberFormat="1" applyFont="1" applyFill="1" applyBorder="1" applyAlignment="1">
      <alignment horizontal="center"/>
    </xf>
    <xf numFmtId="0" fontId="0" fillId="12" borderId="1" xfId="1" applyNumberFormat="1" applyFont="1" applyFill="1" applyBorder="1" applyAlignment="1">
      <alignment horizontal="center"/>
    </xf>
    <xf numFmtId="0" fontId="0" fillId="8" borderId="1" xfId="1" applyNumberFormat="1" applyFont="1" applyFill="1" applyBorder="1" applyAlignment="1">
      <alignment horizontal="center"/>
    </xf>
    <xf numFmtId="0" fontId="0" fillId="13" borderId="1" xfId="1" applyNumberFormat="1" applyFont="1" applyFill="1" applyBorder="1" applyAlignment="1">
      <alignment horizontal="center"/>
    </xf>
    <xf numFmtId="9" fontId="0" fillId="8" borderId="1" xfId="1" applyFont="1" applyFill="1" applyBorder="1" applyAlignment="1">
      <alignment horizontal="center" vertical="center"/>
    </xf>
    <xf numFmtId="9" fontId="0" fillId="6" borderId="1" xfId="1" applyFont="1" applyFill="1" applyBorder="1" applyAlignment="1">
      <alignment horizontal="center" vertical="center"/>
    </xf>
    <xf numFmtId="9" fontId="2" fillId="0" borderId="1" xfId="1" applyFont="1" applyFill="1" applyBorder="1" applyAlignment="1">
      <alignment horizontal="center" vertical="center"/>
    </xf>
    <xf numFmtId="2" fontId="2" fillId="15" borderId="0" xfId="0" applyNumberFormat="1" applyFont="1" applyFill="1" applyAlignment="1">
      <alignment horizontal="center" vertical="center"/>
    </xf>
    <xf numFmtId="4" fontId="0" fillId="12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" borderId="1" xfId="1" applyNumberFormat="1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/>
    </xf>
    <xf numFmtId="0" fontId="0" fillId="8" borderId="1" xfId="1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Continuous"/>
    </xf>
    <xf numFmtId="2" fontId="2" fillId="0" borderId="1" xfId="0" applyNumberFormat="1" applyFont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43" fontId="0" fillId="0" borderId="1" xfId="6" applyFont="1" applyBorder="1" applyAlignment="1">
      <alignment vertical="center"/>
    </xf>
    <xf numFmtId="43" fontId="0" fillId="0" borderId="1" xfId="6" applyFont="1" applyBorder="1" applyAlignment="1">
      <alignment horizontal="left" vertical="center"/>
    </xf>
    <xf numFmtId="43" fontId="0" fillId="0" borderId="1" xfId="6" applyFont="1" applyBorder="1" applyAlignment="1">
      <alignment horizontal="right" vertical="center" indent="3"/>
    </xf>
    <xf numFmtId="2" fontId="0" fillId="0" borderId="1" xfId="0" applyNumberFormat="1" applyBorder="1" applyAlignment="1">
      <alignment horizontal="right" vertical="center" indent="3"/>
    </xf>
    <xf numFmtId="43" fontId="2" fillId="0" borderId="1" xfId="6" applyFont="1" applyFill="1" applyBorder="1" applyAlignment="1">
      <alignment horizontal="right" vertical="center" indent="6"/>
    </xf>
    <xf numFmtId="10" fontId="2" fillId="0" borderId="1" xfId="0" applyNumberFormat="1" applyFont="1" applyBorder="1" applyAlignment="1">
      <alignment horizontal="center"/>
    </xf>
    <xf numFmtId="10" fontId="2" fillId="0" borderId="1" xfId="1" applyNumberFormat="1" applyFont="1" applyFill="1" applyBorder="1" applyAlignment="1">
      <alignment horizontal="center" vertical="center"/>
    </xf>
    <xf numFmtId="43" fontId="2" fillId="7" borderId="1" xfId="6" applyFont="1" applyFill="1" applyBorder="1" applyAlignment="1">
      <alignment horizontal="right" vertical="center" indent="6"/>
    </xf>
    <xf numFmtId="0" fontId="22" fillId="2" borderId="1" xfId="0" applyFont="1" applyFill="1" applyBorder="1" applyAlignment="1">
      <alignment horizontal="centerContinuous"/>
    </xf>
    <xf numFmtId="0" fontId="22" fillId="3" borderId="1" xfId="0" applyFont="1" applyFill="1" applyBorder="1" applyAlignment="1">
      <alignment horizontal="centerContinuous"/>
    </xf>
    <xf numFmtId="0" fontId="22" fillId="4" borderId="1" xfId="0" applyFont="1" applyFill="1" applyBorder="1" applyAlignment="1">
      <alignment horizontal="centerContinuous"/>
    </xf>
    <xf numFmtId="0" fontId="22" fillId="6" borderId="1" xfId="0" applyFont="1" applyFill="1" applyBorder="1" applyAlignment="1">
      <alignment horizontal="centerContinuous"/>
    </xf>
    <xf numFmtId="0" fontId="22" fillId="8" borderId="1" xfId="0" applyFont="1" applyFill="1" applyBorder="1" applyAlignment="1">
      <alignment horizontal="centerContinuous"/>
    </xf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6" borderId="1" xfId="0" applyFill="1" applyBorder="1"/>
    <xf numFmtId="0" fontId="22" fillId="6" borderId="1" xfId="0" applyFont="1" applyFill="1" applyBorder="1" applyAlignment="1">
      <alignment horizontal="left"/>
    </xf>
    <xf numFmtId="0" fontId="0" fillId="8" borderId="1" xfId="0" applyFill="1" applyBorder="1"/>
    <xf numFmtId="43" fontId="2" fillId="0" borderId="1" xfId="6" applyFont="1" applyBorder="1" applyAlignment="1">
      <alignment horizontal="right" vertical="center" indent="3"/>
    </xf>
    <xf numFmtId="43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43" fontId="0" fillId="0" borderId="1" xfId="6" applyFont="1" applyBorder="1" applyAlignment="1">
      <alignment horizontal="right" vertical="center"/>
    </xf>
    <xf numFmtId="43" fontId="2" fillId="0" borderId="1" xfId="6" applyFont="1" applyBorder="1" applyAlignment="1">
      <alignment horizontal="right" vertical="center"/>
    </xf>
    <xf numFmtId="43" fontId="2" fillId="0" borderId="1" xfId="0" applyNumberFormat="1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13" borderId="4" xfId="0" applyFill="1" applyBorder="1" applyAlignment="1">
      <alignment horizontal="center" vertical="center"/>
    </xf>
    <xf numFmtId="0" fontId="0" fillId="13" borderId="3" xfId="0" applyFill="1" applyBorder="1" applyAlignment="1">
      <alignment horizontal="center" vertical="center"/>
    </xf>
    <xf numFmtId="0" fontId="0" fillId="13" borderId="5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10" borderId="6" xfId="0" applyFill="1" applyBorder="1" applyAlignment="1">
      <alignment horizontal="center" vertical="center"/>
    </xf>
    <xf numFmtId="0" fontId="0" fillId="10" borderId="2" xfId="0" applyFill="1" applyBorder="1" applyAlignment="1">
      <alignment horizontal="center" vertical="center"/>
    </xf>
    <xf numFmtId="0" fontId="0" fillId="10" borderId="7" xfId="0" applyFill="1" applyBorder="1" applyAlignment="1">
      <alignment horizontal="center" vertical="center"/>
    </xf>
    <xf numFmtId="0" fontId="0" fillId="11" borderId="6" xfId="0" applyFill="1" applyBorder="1" applyAlignment="1">
      <alignment horizontal="center" vertical="center"/>
    </xf>
    <xf numFmtId="0" fontId="0" fillId="11" borderId="2" xfId="0" applyFill="1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2" borderId="6" xfId="0" applyFill="1" applyBorder="1" applyAlignment="1">
      <alignment horizontal="center" vertical="center"/>
    </xf>
    <xf numFmtId="0" fontId="0" fillId="12" borderId="2" xfId="0" applyFill="1" applyBorder="1" applyAlignment="1">
      <alignment horizontal="center" vertical="center"/>
    </xf>
    <xf numFmtId="0" fontId="0" fillId="12" borderId="7" xfId="0" applyFill="1" applyBorder="1" applyAlignment="1">
      <alignment horizontal="center" vertical="center"/>
    </xf>
  </cellXfs>
  <cellStyles count="7">
    <cellStyle name="Comma" xfId="6" builtinId="3"/>
    <cellStyle name="Followed Hyperlink" xfId="3" builtinId="9" hidden="1"/>
    <cellStyle name="Followed Hyperlink" xfId="5" builtinId="9" hidden="1"/>
    <cellStyle name="Hyperlink" xfId="2" builtinId="8" hidden="1"/>
    <cellStyle name="Hyperlink" xfId="4" builtinId="8" hidden="1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DCE6F1"/>
      <color rgb="FFFCD5B4"/>
      <color rgb="FFE7B8B7"/>
      <color rgb="FFEBF1DE"/>
      <color rgb="FFC4D7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eetMetadata" Target="metadata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16654</xdr:colOff>
      <xdr:row>92</xdr:row>
      <xdr:rowOff>22491</xdr:rowOff>
    </xdr:from>
    <xdr:to>
      <xdr:col>10</xdr:col>
      <xdr:colOff>1115772</xdr:colOff>
      <xdr:row>101</xdr:row>
      <xdr:rowOff>63500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8CEC52-442D-423E-9EF2-2CE762E59E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12342" y="17731054"/>
          <a:ext cx="8385743" cy="223969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MIN\Downloads\MR_NPRR_ERR%20Sheets_20250819\3.ERR%20Sheets\1.6th%20MR_2023_VCUs_2015-17%20plantations.xlsx" TargetMode="External"/><Relationship Id="rId1" Type="http://schemas.openxmlformats.org/officeDocument/2006/relationships/externalLinkPath" Target="1.6th%20MR_2023_VCUs_2015-17%20plantation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MIN\Downloads\MR_NPRR_ERR%20Sheets_20250819\3.ERR%20Sheets\2.6th%20MR_2023_VCUs_2018%20plantations.xlsx" TargetMode="External"/><Relationship Id="rId1" Type="http://schemas.openxmlformats.org/officeDocument/2006/relationships/externalLinkPath" Target="2.6th%20MR_2023_VCUs_2018%20plantations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MIN\Downloads\MR_NPRR_ERR%20Sheets_20250819\3.ERR%20Sheets\3.6th%20MR_2023_VCUs_2019%20plantations.xlsx" TargetMode="External"/><Relationship Id="rId1" Type="http://schemas.openxmlformats.org/officeDocument/2006/relationships/externalLinkPath" Target="3.6th%20MR_2023_VCUs_2019%20plantatio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line"/>
      <sheetName val="Area Plant"/>
      <sheetName val="I1"/>
      <sheetName val="I2"/>
      <sheetName val="I3"/>
      <sheetName val="I7 restore"/>
      <sheetName val="I8 restore"/>
      <sheetName val="I9 restore"/>
      <sheetName val="AGB &amp; BGB refores"/>
      <sheetName val="ABG &amp; BGB restoration"/>
      <sheetName val="SOC"/>
      <sheetName val="Change in Carbon stk"/>
      <sheetName val="Final "/>
      <sheetName val="Summary of Avgs"/>
      <sheetName val="Growth data"/>
      <sheetName val="Growth data (2)"/>
      <sheetName val="SOC calcu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4">
          <cell r="G14">
            <v>3937.94</v>
          </cell>
        </row>
      </sheetData>
      <sheetData sheetId="9">
        <row r="14">
          <cell r="G14">
            <v>1700.12</v>
          </cell>
        </row>
      </sheetData>
      <sheetData sheetId="10">
        <row r="14">
          <cell r="E14">
            <v>27068.19</v>
          </cell>
        </row>
      </sheetData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line"/>
      <sheetName val="Area plant"/>
      <sheetName val="I4"/>
      <sheetName val="AGB &amp; BGB refores"/>
      <sheetName val="SOC"/>
      <sheetName val="Change in Carbon stk"/>
      <sheetName val="Final "/>
      <sheetName val="Summary of Avgs"/>
      <sheetName val="Growth Data"/>
      <sheetName val="I10 restore"/>
    </sheetNames>
    <sheetDataSet>
      <sheetData sheetId="0"/>
      <sheetData sheetId="1"/>
      <sheetData sheetId="2"/>
      <sheetData sheetId="3">
        <row r="11">
          <cell r="G11">
            <v>4948.66</v>
          </cell>
        </row>
      </sheetData>
      <sheetData sheetId="4">
        <row r="11">
          <cell r="E11">
            <v>12375.98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line"/>
      <sheetName val="Area plant"/>
      <sheetName val="I5"/>
      <sheetName val="ABG &amp; BGB refores"/>
      <sheetName val="SOC"/>
      <sheetName val="Change in Carbon stk"/>
      <sheetName val="Final "/>
      <sheetName val="Summary of Avgs"/>
      <sheetName val="Growth Data"/>
      <sheetName val="I10 restore"/>
    </sheetNames>
    <sheetDataSet>
      <sheetData sheetId="0"/>
      <sheetData sheetId="1"/>
      <sheetData sheetId="2"/>
      <sheetData sheetId="3">
        <row r="9">
          <cell r="G9">
            <v>4153.66</v>
          </cell>
        </row>
      </sheetData>
      <sheetData sheetId="4">
        <row r="11">
          <cell r="E11">
            <v>45725.22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5B4DE-065C-46D4-B752-808976F98F88}">
  <dimension ref="B2:Q39"/>
  <sheetViews>
    <sheetView zoomScale="80" zoomScaleNormal="80" workbookViewId="0">
      <selection activeCell="M9" sqref="M9"/>
    </sheetView>
  </sheetViews>
  <sheetFormatPr defaultRowHeight="14.5" x14ac:dyDescent="0.35"/>
  <cols>
    <col min="2" max="2" width="10.90625" customWidth="1"/>
    <col min="3" max="4" width="15.6328125" bestFit="1" customWidth="1"/>
    <col min="5" max="5" width="13.08984375" bestFit="1" customWidth="1"/>
    <col min="7" max="7" width="10.81640625" customWidth="1"/>
    <col min="8" max="9" width="15.6328125" bestFit="1" customWidth="1"/>
    <col min="10" max="10" width="11.81640625" bestFit="1" customWidth="1"/>
    <col min="12" max="12" width="11.453125" customWidth="1"/>
    <col min="13" max="14" width="15.6328125" bestFit="1" customWidth="1"/>
    <col min="15" max="15" width="11.81640625" bestFit="1" customWidth="1"/>
  </cols>
  <sheetData>
    <row r="2" spans="2:17" ht="31" x14ac:dyDescent="0.35">
      <c r="B2" s="95">
        <v>2015</v>
      </c>
      <c r="C2" s="96" t="s">
        <v>70</v>
      </c>
      <c r="D2" s="26"/>
      <c r="E2" s="97"/>
      <c r="F2" s="26"/>
      <c r="G2" s="95">
        <v>2016</v>
      </c>
      <c r="H2" s="96" t="s">
        <v>70</v>
      </c>
      <c r="I2" s="26"/>
      <c r="J2" s="97"/>
      <c r="K2" s="26"/>
      <c r="L2" s="95">
        <v>2017</v>
      </c>
      <c r="M2" s="96" t="s">
        <v>70</v>
      </c>
      <c r="N2" s="26"/>
      <c r="O2" s="97"/>
      <c r="P2" s="26"/>
      <c r="Q2" s="26"/>
    </row>
    <row r="3" spans="2:17" ht="15.5" x14ac:dyDescent="0.35">
      <c r="B3" s="13"/>
      <c r="C3" s="26"/>
      <c r="D3" s="26"/>
      <c r="E3" s="97"/>
      <c r="F3" s="26"/>
      <c r="G3" s="13"/>
      <c r="H3" s="26"/>
      <c r="I3" s="26"/>
      <c r="J3" s="97"/>
      <c r="K3" s="26"/>
      <c r="L3" s="13"/>
      <c r="M3" s="26"/>
      <c r="N3" s="26"/>
      <c r="O3" s="97"/>
      <c r="P3" s="26"/>
      <c r="Q3" s="26"/>
    </row>
    <row r="4" spans="2:17" ht="15.5" x14ac:dyDescent="0.35">
      <c r="B4" s="98"/>
      <c r="C4" s="98" t="s">
        <v>71</v>
      </c>
      <c r="D4" s="98" t="s">
        <v>72</v>
      </c>
      <c r="E4" s="99" t="s">
        <v>73</v>
      </c>
      <c r="F4" s="26"/>
      <c r="G4" s="100"/>
      <c r="H4" s="98" t="s">
        <v>71</v>
      </c>
      <c r="I4" s="98" t="s">
        <v>72</v>
      </c>
      <c r="J4" s="101" t="s">
        <v>73</v>
      </c>
      <c r="K4" s="26"/>
      <c r="L4" s="100"/>
      <c r="M4" s="98" t="s">
        <v>71</v>
      </c>
      <c r="N4" s="98" t="s">
        <v>72</v>
      </c>
      <c r="O4" s="101" t="s">
        <v>73</v>
      </c>
      <c r="P4" s="26"/>
      <c r="Q4" s="26"/>
    </row>
    <row r="5" spans="2:17" ht="15.5" x14ac:dyDescent="0.35">
      <c r="B5" s="98" t="s">
        <v>22</v>
      </c>
      <c r="C5" s="102">
        <v>3.0625000000000013</v>
      </c>
      <c r="D5" s="102">
        <v>259.375</v>
      </c>
      <c r="E5" s="103">
        <v>48</v>
      </c>
      <c r="F5" s="26"/>
      <c r="G5" s="100" t="s">
        <v>20</v>
      </c>
      <c r="H5" s="104"/>
      <c r="I5" s="104"/>
      <c r="J5" s="103"/>
      <c r="K5" s="26"/>
      <c r="L5" s="100" t="s">
        <v>74</v>
      </c>
      <c r="M5" s="105">
        <v>2.4846153846153851</v>
      </c>
      <c r="N5" s="105">
        <v>152.28205128205127</v>
      </c>
      <c r="O5" s="103">
        <v>39</v>
      </c>
      <c r="P5" s="26"/>
      <c r="Q5" s="26"/>
    </row>
    <row r="6" spans="2:17" ht="15.5" x14ac:dyDescent="0.35">
      <c r="B6" s="98" t="s">
        <v>23</v>
      </c>
      <c r="C6" s="102">
        <v>2.8425000000000002</v>
      </c>
      <c r="D6" s="102">
        <v>279.8</v>
      </c>
      <c r="E6" s="103">
        <v>40</v>
      </c>
      <c r="F6" s="26"/>
      <c r="G6" s="100" t="s">
        <v>75</v>
      </c>
      <c r="H6" s="102">
        <v>3.3551724137931029</v>
      </c>
      <c r="I6" s="102">
        <v>117.22413793103448</v>
      </c>
      <c r="J6" s="103">
        <v>58</v>
      </c>
      <c r="K6" s="26"/>
      <c r="L6" s="100" t="s">
        <v>76</v>
      </c>
      <c r="M6" s="105">
        <v>2.8609756097560974</v>
      </c>
      <c r="N6" s="105">
        <v>146.34146341463415</v>
      </c>
      <c r="O6" s="103">
        <v>41</v>
      </c>
      <c r="P6" s="26"/>
      <c r="Q6" s="26"/>
    </row>
    <row r="7" spans="2:17" ht="15.5" x14ac:dyDescent="0.35">
      <c r="B7" s="98" t="s">
        <v>77</v>
      </c>
      <c r="C7" s="102">
        <v>3.1551020408163275</v>
      </c>
      <c r="D7" s="102">
        <v>191.77551020408163</v>
      </c>
      <c r="E7" s="103">
        <v>49</v>
      </c>
      <c r="F7" s="26"/>
      <c r="G7" s="100" t="s">
        <v>78</v>
      </c>
      <c r="H7" s="102">
        <v>2.9870370370370374</v>
      </c>
      <c r="I7" s="102">
        <v>225.5185185185185</v>
      </c>
      <c r="J7" s="103">
        <v>54</v>
      </c>
      <c r="K7" s="26"/>
      <c r="L7" s="100" t="s">
        <v>79</v>
      </c>
      <c r="M7" s="105">
        <v>2.306896551724138</v>
      </c>
      <c r="N7" s="105">
        <v>144.68965517241378</v>
      </c>
      <c r="O7" s="103">
        <v>29</v>
      </c>
      <c r="P7" s="26"/>
      <c r="Q7" s="26"/>
    </row>
    <row r="8" spans="2:17" ht="15.5" x14ac:dyDescent="0.35">
      <c r="B8" s="98" t="s">
        <v>80</v>
      </c>
      <c r="C8" s="102">
        <v>5.2541666666666655</v>
      </c>
      <c r="D8" s="102">
        <v>120</v>
      </c>
      <c r="E8" s="103">
        <v>48</v>
      </c>
      <c r="F8" s="26"/>
      <c r="G8" s="100" t="s">
        <v>29</v>
      </c>
      <c r="H8" s="102">
        <v>3.4457142857142862</v>
      </c>
      <c r="I8" s="102">
        <v>90.171428571428578</v>
      </c>
      <c r="J8" s="103">
        <v>105</v>
      </c>
      <c r="K8" s="26"/>
      <c r="L8" s="100" t="s">
        <v>81</v>
      </c>
      <c r="M8" s="105">
        <v>3.7749999999999999</v>
      </c>
      <c r="N8" s="105">
        <v>145.15</v>
      </c>
      <c r="O8" s="103">
        <v>40</v>
      </c>
      <c r="P8" s="26"/>
      <c r="Q8" s="26"/>
    </row>
    <row r="9" spans="2:17" ht="15.5" x14ac:dyDescent="0.35">
      <c r="B9" s="98" t="s">
        <v>82</v>
      </c>
      <c r="C9" s="102">
        <v>2.6666666666666665</v>
      </c>
      <c r="D9" s="102">
        <v>239.69230769230768</v>
      </c>
      <c r="E9" s="103">
        <v>39</v>
      </c>
      <c r="F9" s="26"/>
      <c r="G9" s="100" t="s">
        <v>83</v>
      </c>
      <c r="H9" s="102">
        <v>4.379999999999999</v>
      </c>
      <c r="I9" s="102">
        <v>97.408333333333331</v>
      </c>
      <c r="J9" s="103">
        <v>120</v>
      </c>
      <c r="K9" s="26"/>
      <c r="L9" s="100" t="s">
        <v>84</v>
      </c>
      <c r="M9" s="105">
        <v>2.4</v>
      </c>
      <c r="N9" s="105">
        <v>106.04651162790698</v>
      </c>
      <c r="O9" s="103">
        <v>43</v>
      </c>
      <c r="P9" s="26"/>
      <c r="Q9" s="26"/>
    </row>
    <row r="10" spans="2:17" ht="15.5" x14ac:dyDescent="0.35">
      <c r="B10" s="98" t="s">
        <v>85</v>
      </c>
      <c r="C10" s="102">
        <v>4.3690909090909082</v>
      </c>
      <c r="D10" s="102">
        <v>167.92727272727274</v>
      </c>
      <c r="E10" s="103">
        <v>55</v>
      </c>
      <c r="F10" s="26"/>
      <c r="G10" s="100" t="s">
        <v>34</v>
      </c>
      <c r="H10" s="102">
        <v>3.9857142857142858</v>
      </c>
      <c r="I10" s="102">
        <v>121.14285714285714</v>
      </c>
      <c r="J10" s="103">
        <v>49</v>
      </c>
      <c r="K10" s="26"/>
      <c r="L10" s="100" t="s">
        <v>86</v>
      </c>
      <c r="M10" s="105">
        <v>2.5263157894736836</v>
      </c>
      <c r="N10" s="105">
        <v>150.73684210526315</v>
      </c>
      <c r="O10" s="103">
        <v>19</v>
      </c>
      <c r="P10" s="26"/>
      <c r="Q10" s="26"/>
    </row>
    <row r="11" spans="2:17" ht="15.5" x14ac:dyDescent="0.35">
      <c r="B11" s="98" t="s">
        <v>87</v>
      </c>
      <c r="C11" s="102">
        <v>3.2347826086956526</v>
      </c>
      <c r="D11" s="102">
        <v>130.34782608695653</v>
      </c>
      <c r="E11" s="103">
        <v>23</v>
      </c>
      <c r="F11" s="26"/>
      <c r="G11" s="100" t="s">
        <v>36</v>
      </c>
      <c r="H11" s="102">
        <v>4.5432098765432114</v>
      </c>
      <c r="I11" s="102">
        <v>138.30864197530863</v>
      </c>
      <c r="J11" s="103">
        <v>81</v>
      </c>
      <c r="K11" s="26"/>
      <c r="L11" s="100" t="s">
        <v>88</v>
      </c>
      <c r="M11" s="105">
        <v>2.8135135135135139</v>
      </c>
      <c r="N11" s="105">
        <v>208.97297297297297</v>
      </c>
      <c r="O11" s="103">
        <v>37</v>
      </c>
      <c r="P11" s="26"/>
      <c r="Q11" s="26"/>
    </row>
    <row r="12" spans="2:17" ht="15.5" x14ac:dyDescent="0.35">
      <c r="B12" s="98" t="s">
        <v>89</v>
      </c>
      <c r="C12" s="102">
        <v>4.3157894736842106</v>
      </c>
      <c r="D12" s="102">
        <v>251.5</v>
      </c>
      <c r="E12" s="103">
        <v>38</v>
      </c>
      <c r="F12" s="26"/>
      <c r="G12" s="100" t="s">
        <v>90</v>
      </c>
      <c r="H12" s="102">
        <v>4.3803030303030317</v>
      </c>
      <c r="I12" s="102">
        <v>161.90909090909091</v>
      </c>
      <c r="J12" s="103">
        <v>66</v>
      </c>
      <c r="K12" s="26"/>
      <c r="L12" s="100" t="s">
        <v>91</v>
      </c>
      <c r="M12" s="105">
        <v>2.7</v>
      </c>
      <c r="N12" s="105">
        <v>193.92857142857142</v>
      </c>
      <c r="O12" s="103">
        <v>14</v>
      </c>
      <c r="P12" s="26"/>
      <c r="Q12" s="26"/>
    </row>
    <row r="13" spans="2:17" ht="15.5" x14ac:dyDescent="0.35">
      <c r="B13" s="98" t="s">
        <v>92</v>
      </c>
      <c r="C13" s="154">
        <f>AVERAGE(C5:C12)</f>
        <v>3.612574795702554</v>
      </c>
      <c r="D13" s="154">
        <f>AVERAGE(D5:D12)</f>
        <v>205.05223958882732</v>
      </c>
      <c r="E13" s="103"/>
      <c r="F13" s="26"/>
      <c r="G13" s="98" t="s">
        <v>92</v>
      </c>
      <c r="H13" s="154">
        <f>AVERAGE(H6:H12)</f>
        <v>3.8681644184435653</v>
      </c>
      <c r="I13" s="154">
        <f>AVERAGE(I6:I12)</f>
        <v>135.95471548308166</v>
      </c>
      <c r="J13" s="103"/>
      <c r="K13" s="26"/>
      <c r="L13" s="98" t="s">
        <v>92</v>
      </c>
      <c r="M13" s="154">
        <f>AVERAGE(M5:M12)</f>
        <v>2.7334146061353524</v>
      </c>
      <c r="N13" s="154">
        <f>AVERAGE(N5:N12)</f>
        <v>156.01850850047671</v>
      </c>
      <c r="O13" s="103"/>
      <c r="P13" s="26"/>
      <c r="Q13" s="26"/>
    </row>
    <row r="14" spans="2:17" ht="15.5" x14ac:dyDescent="0.35">
      <c r="B14" s="13"/>
      <c r="C14" s="26"/>
      <c r="D14" s="26"/>
      <c r="E14" s="97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</row>
    <row r="15" spans="2:17" ht="15.5" x14ac:dyDescent="0.35">
      <c r="B15" s="13"/>
      <c r="C15" s="26"/>
      <c r="D15" s="26"/>
      <c r="E15" s="97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</row>
    <row r="16" spans="2:17" ht="15.5" x14ac:dyDescent="0.35">
      <c r="B16" s="13"/>
      <c r="C16" s="26"/>
      <c r="D16" s="26"/>
      <c r="E16" s="97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</row>
    <row r="17" spans="2:17" ht="31" x14ac:dyDescent="0.35">
      <c r="B17" s="95">
        <v>2018</v>
      </c>
      <c r="C17" s="96" t="s">
        <v>70</v>
      </c>
      <c r="D17" s="26"/>
      <c r="E17" s="97"/>
      <c r="F17" s="26"/>
      <c r="G17" s="95">
        <v>2019</v>
      </c>
      <c r="H17" s="96" t="s">
        <v>70</v>
      </c>
      <c r="I17" s="26"/>
      <c r="J17" s="97"/>
      <c r="K17" s="26"/>
      <c r="L17" s="26"/>
      <c r="M17" s="26"/>
      <c r="N17" s="26"/>
      <c r="O17" s="26"/>
      <c r="P17" s="26"/>
      <c r="Q17" s="26"/>
    </row>
    <row r="18" spans="2:17" ht="15.5" x14ac:dyDescent="0.35">
      <c r="B18" s="13"/>
      <c r="C18" s="26"/>
      <c r="D18" s="26"/>
      <c r="E18" s="97"/>
      <c r="F18" s="13"/>
      <c r="G18" s="13"/>
      <c r="H18" s="26"/>
      <c r="I18" s="26"/>
      <c r="J18" s="97"/>
      <c r="K18" s="13"/>
      <c r="L18" s="13"/>
      <c r="M18" s="13"/>
      <c r="N18" s="13"/>
      <c r="O18" s="13"/>
      <c r="P18" s="13"/>
      <c r="Q18" s="13"/>
    </row>
    <row r="19" spans="2:17" ht="15.5" x14ac:dyDescent="0.35">
      <c r="B19" s="100"/>
      <c r="C19" s="98" t="s">
        <v>71</v>
      </c>
      <c r="D19" s="98" t="s">
        <v>72</v>
      </c>
      <c r="E19" s="101" t="s">
        <v>73</v>
      </c>
      <c r="F19" s="26"/>
      <c r="G19" s="100"/>
      <c r="H19" s="98" t="s">
        <v>71</v>
      </c>
      <c r="I19" s="98" t="s">
        <v>72</v>
      </c>
      <c r="J19" s="101" t="s">
        <v>73</v>
      </c>
      <c r="K19" s="26"/>
      <c r="L19" s="26"/>
      <c r="M19" s="26"/>
      <c r="N19" s="26"/>
      <c r="O19" s="26"/>
      <c r="P19" s="26"/>
      <c r="Q19" s="26"/>
    </row>
    <row r="20" spans="2:17" x14ac:dyDescent="0.35">
      <c r="B20" s="100" t="s">
        <v>20</v>
      </c>
      <c r="C20" s="105">
        <v>3.2117647058823535</v>
      </c>
      <c r="D20" s="105">
        <v>258.47058823529414</v>
      </c>
      <c r="E20" s="103">
        <v>68</v>
      </c>
      <c r="F20" s="26"/>
      <c r="G20" s="100" t="s">
        <v>20</v>
      </c>
      <c r="H20" s="105">
        <v>2.0625000000000004</v>
      </c>
      <c r="I20" s="105">
        <v>91.1875</v>
      </c>
      <c r="J20" s="103">
        <v>16</v>
      </c>
      <c r="K20" s="26"/>
      <c r="L20" s="26"/>
      <c r="M20" s="26"/>
      <c r="N20" s="26"/>
      <c r="O20" s="26"/>
      <c r="P20" s="26"/>
      <c r="Q20" s="26"/>
    </row>
    <row r="21" spans="2:17" x14ac:dyDescent="0.35">
      <c r="B21" s="100" t="s">
        <v>93</v>
      </c>
      <c r="C21" s="105">
        <v>3.4661764705882345</v>
      </c>
      <c r="D21" s="105">
        <v>319.16176470588238</v>
      </c>
      <c r="E21" s="103">
        <v>68</v>
      </c>
      <c r="G21" s="100" t="s">
        <v>21</v>
      </c>
      <c r="H21" s="105">
        <v>2.2785714285714289</v>
      </c>
      <c r="I21" s="105">
        <v>94.285714285714292</v>
      </c>
      <c r="J21" s="103">
        <v>14</v>
      </c>
      <c r="K21" s="26"/>
      <c r="L21" s="26"/>
      <c r="M21" s="26"/>
      <c r="N21" s="26"/>
      <c r="O21" s="26"/>
      <c r="P21" s="26"/>
      <c r="Q21" s="26"/>
    </row>
    <row r="22" spans="2:17" x14ac:dyDescent="0.35">
      <c r="B22" s="100" t="s">
        <v>21</v>
      </c>
      <c r="C22" s="105">
        <v>3.5720930232558143</v>
      </c>
      <c r="D22" s="105">
        <v>141.95348837209303</v>
      </c>
      <c r="E22" s="103">
        <v>43</v>
      </c>
      <c r="F22" s="26"/>
      <c r="G22" s="100" t="s">
        <v>22</v>
      </c>
      <c r="H22" s="105">
        <v>1.95</v>
      </c>
      <c r="I22" s="105">
        <v>94.416666666666671</v>
      </c>
      <c r="J22" s="103">
        <v>12</v>
      </c>
      <c r="K22" s="26"/>
      <c r="L22" s="26"/>
      <c r="M22" s="26"/>
      <c r="N22" s="26"/>
      <c r="O22" s="26"/>
      <c r="P22" s="26"/>
      <c r="Q22" s="26"/>
    </row>
    <row r="23" spans="2:17" x14ac:dyDescent="0.35">
      <c r="B23" s="100" t="s">
        <v>23</v>
      </c>
      <c r="C23" s="105">
        <v>4.3148648648648651</v>
      </c>
      <c r="D23" s="105">
        <v>143.79729729729729</v>
      </c>
      <c r="E23" s="103">
        <v>74</v>
      </c>
      <c r="F23" s="26"/>
      <c r="G23" s="100" t="s">
        <v>23</v>
      </c>
      <c r="H23" s="105">
        <v>2.5437499999999997</v>
      </c>
      <c r="I23" s="105">
        <v>92.0625</v>
      </c>
      <c r="J23" s="103">
        <v>16</v>
      </c>
      <c r="K23" s="26"/>
      <c r="L23" s="26"/>
      <c r="M23" s="26"/>
      <c r="N23" s="26"/>
      <c r="O23" s="26"/>
      <c r="P23" s="26"/>
      <c r="Q23" s="26"/>
    </row>
    <row r="24" spans="2:17" x14ac:dyDescent="0.35">
      <c r="B24" s="100" t="s">
        <v>77</v>
      </c>
      <c r="C24" s="105">
        <v>3.6642857142857159</v>
      </c>
      <c r="D24" s="105">
        <v>95.297619047619051</v>
      </c>
      <c r="E24" s="103">
        <v>84</v>
      </c>
      <c r="F24" s="26"/>
      <c r="G24" s="100" t="s">
        <v>24</v>
      </c>
      <c r="H24" s="105">
        <v>2</v>
      </c>
      <c r="I24" s="105">
        <v>86.25</v>
      </c>
      <c r="J24" s="103">
        <v>12</v>
      </c>
      <c r="K24" s="26"/>
      <c r="L24" s="26"/>
      <c r="M24" s="26"/>
      <c r="N24" s="26"/>
      <c r="O24" s="26"/>
      <c r="P24" s="26"/>
      <c r="Q24" s="26"/>
    </row>
    <row r="25" spans="2:17" x14ac:dyDescent="0.35">
      <c r="B25" s="100" t="s">
        <v>94</v>
      </c>
      <c r="C25" s="105">
        <v>6.0341176470588245</v>
      </c>
      <c r="D25" s="105">
        <v>126.8</v>
      </c>
      <c r="E25" s="103">
        <v>85</v>
      </c>
      <c r="F25" s="26"/>
      <c r="G25" s="100" t="s">
        <v>25</v>
      </c>
      <c r="H25" s="105">
        <v>1.8421052631578947</v>
      </c>
      <c r="I25" s="105">
        <v>83.21052631578948</v>
      </c>
      <c r="J25" s="103">
        <v>19</v>
      </c>
      <c r="K25" s="26"/>
      <c r="L25" s="26"/>
      <c r="M25" s="26"/>
      <c r="N25" s="26"/>
      <c r="O25" s="26"/>
      <c r="P25" s="26"/>
      <c r="Q25" s="26"/>
    </row>
    <row r="26" spans="2:17" x14ac:dyDescent="0.35">
      <c r="B26" s="100" t="s">
        <v>95</v>
      </c>
      <c r="C26" s="105">
        <v>3.9053763440860201</v>
      </c>
      <c r="D26" s="105">
        <v>209.03225806451613</v>
      </c>
      <c r="E26" s="103">
        <v>93</v>
      </c>
      <c r="F26" s="26"/>
      <c r="G26" s="100" t="s">
        <v>26</v>
      </c>
      <c r="H26" s="105">
        <v>2.3555555555555561</v>
      </c>
      <c r="I26" s="105">
        <v>78.833333333333329</v>
      </c>
      <c r="J26" s="103">
        <v>18</v>
      </c>
      <c r="K26" s="26"/>
      <c r="L26" s="26"/>
      <c r="M26" s="26"/>
      <c r="N26" s="26"/>
      <c r="O26" s="26"/>
      <c r="P26" s="26"/>
      <c r="Q26" s="26"/>
    </row>
    <row r="27" spans="2:17" x14ac:dyDescent="0.35">
      <c r="B27" s="100" t="s">
        <v>76</v>
      </c>
      <c r="C27" s="105">
        <v>4.0743243243243255</v>
      </c>
      <c r="D27" s="105">
        <v>115.4054054054054</v>
      </c>
      <c r="E27" s="103">
        <v>74</v>
      </c>
      <c r="F27" s="26"/>
      <c r="G27" s="100" t="s">
        <v>27</v>
      </c>
      <c r="H27" s="105">
        <v>2.5307692307692311</v>
      </c>
      <c r="I27" s="105">
        <v>84.15384615384616</v>
      </c>
      <c r="J27" s="103">
        <v>13</v>
      </c>
      <c r="K27" s="26"/>
      <c r="L27" s="26"/>
      <c r="M27" s="26"/>
      <c r="N27" s="26"/>
      <c r="O27" s="26"/>
      <c r="P27" s="26"/>
      <c r="Q27" s="26"/>
    </row>
    <row r="28" spans="2:17" x14ac:dyDescent="0.35">
      <c r="B28" s="100" t="s">
        <v>96</v>
      </c>
      <c r="C28" s="105">
        <v>2.9666666666666668</v>
      </c>
      <c r="D28" s="105">
        <v>176.51111111111112</v>
      </c>
      <c r="E28" s="103">
        <v>90</v>
      </c>
      <c r="F28" s="26"/>
      <c r="G28" s="100" t="s">
        <v>28</v>
      </c>
      <c r="H28" s="105">
        <v>2.0500000000000003</v>
      </c>
      <c r="I28" s="105">
        <v>118.36363636363636</v>
      </c>
      <c r="J28" s="103">
        <v>22</v>
      </c>
      <c r="K28" s="26"/>
      <c r="L28" s="26"/>
      <c r="M28" s="26"/>
      <c r="N28" s="26"/>
      <c r="O28" s="26"/>
      <c r="P28" s="26"/>
      <c r="Q28" s="26"/>
    </row>
    <row r="29" spans="2:17" x14ac:dyDescent="0.35">
      <c r="B29" s="100" t="s">
        <v>28</v>
      </c>
      <c r="C29" s="105">
        <v>4.0383720930232565</v>
      </c>
      <c r="D29" s="105">
        <v>97.95348837209302</v>
      </c>
      <c r="E29" s="103">
        <v>86</v>
      </c>
      <c r="F29" s="26"/>
      <c r="G29" s="100" t="s">
        <v>29</v>
      </c>
      <c r="H29" s="105">
        <v>2</v>
      </c>
      <c r="I29" s="105">
        <v>93</v>
      </c>
      <c r="J29" s="103">
        <v>9</v>
      </c>
      <c r="K29" s="26"/>
      <c r="L29" s="26"/>
      <c r="M29" s="26"/>
      <c r="N29" s="26"/>
      <c r="O29" s="26"/>
      <c r="P29" s="26"/>
      <c r="Q29" s="26"/>
    </row>
    <row r="30" spans="2:17" x14ac:dyDescent="0.35">
      <c r="B30" s="100" t="s">
        <v>15</v>
      </c>
      <c r="C30" s="105">
        <v>3.0119565217391306</v>
      </c>
      <c r="D30" s="105">
        <v>77.847826086956516</v>
      </c>
      <c r="E30" s="103">
        <v>92</v>
      </c>
      <c r="F30" s="26"/>
      <c r="G30" s="100" t="s">
        <v>30</v>
      </c>
      <c r="H30" s="105">
        <v>2.0624999999999996</v>
      </c>
      <c r="I30" s="105">
        <v>92.875</v>
      </c>
      <c r="J30" s="103">
        <v>8</v>
      </c>
      <c r="K30" s="26"/>
      <c r="L30" s="26"/>
      <c r="M30" s="26"/>
      <c r="N30" s="26"/>
      <c r="O30" s="26"/>
      <c r="P30" s="26"/>
      <c r="Q30" s="26"/>
    </row>
    <row r="31" spans="2:17" x14ac:dyDescent="0.35">
      <c r="B31" s="100" t="s">
        <v>16</v>
      </c>
      <c r="C31" s="105">
        <v>3.4967391304347819</v>
      </c>
      <c r="D31" s="105">
        <v>146.33695652173913</v>
      </c>
      <c r="E31" s="103">
        <v>92</v>
      </c>
      <c r="F31" s="26"/>
      <c r="G31" s="100" t="s">
        <v>31</v>
      </c>
      <c r="H31" s="105">
        <v>2.5941176470588236</v>
      </c>
      <c r="I31" s="105">
        <v>94.588235294117652</v>
      </c>
      <c r="J31" s="103">
        <v>17</v>
      </c>
      <c r="K31" s="26"/>
      <c r="L31" s="26"/>
      <c r="M31" s="26"/>
      <c r="N31" s="26"/>
      <c r="O31" s="26"/>
      <c r="P31" s="26"/>
      <c r="Q31" s="26"/>
    </row>
    <row r="32" spans="2:17" x14ac:dyDescent="0.35">
      <c r="B32" s="100" t="s">
        <v>17</v>
      </c>
      <c r="C32" s="105">
        <v>4.1421052631578945</v>
      </c>
      <c r="D32" s="105">
        <v>158.21052631578948</v>
      </c>
      <c r="E32" s="103">
        <v>19</v>
      </c>
      <c r="F32" s="26"/>
      <c r="G32" s="100" t="s">
        <v>32</v>
      </c>
      <c r="H32" s="105">
        <v>3.0625</v>
      </c>
      <c r="I32" s="105">
        <v>224.0625</v>
      </c>
      <c r="J32" s="103">
        <v>16</v>
      </c>
      <c r="K32" s="26"/>
      <c r="L32" s="26"/>
      <c r="M32" s="26"/>
      <c r="N32" s="26"/>
      <c r="O32" s="26"/>
      <c r="P32" s="26"/>
      <c r="Q32" s="26"/>
    </row>
    <row r="33" spans="2:17" ht="15.5" x14ac:dyDescent="0.35">
      <c r="B33" s="98" t="s">
        <v>92</v>
      </c>
      <c r="C33" s="154">
        <f>AVERAGE(C20:C32)</f>
        <v>3.8383725207206063</v>
      </c>
      <c r="D33" s="154">
        <f>AVERAGE(D20:D32)</f>
        <v>158.98294842583053</v>
      </c>
      <c r="E33" s="103"/>
      <c r="F33" s="26"/>
      <c r="G33" s="100" t="s">
        <v>33</v>
      </c>
      <c r="H33" s="105">
        <v>4.12608695652174</v>
      </c>
      <c r="I33" s="105">
        <v>108.73913043478261</v>
      </c>
      <c r="J33" s="103">
        <v>23</v>
      </c>
      <c r="K33" s="26"/>
      <c r="L33" s="26"/>
      <c r="M33" s="26"/>
      <c r="N33" s="26"/>
      <c r="O33" s="26"/>
      <c r="P33" s="26"/>
      <c r="Q33" s="26"/>
    </row>
    <row r="34" spans="2:17" ht="15.5" x14ac:dyDescent="0.35">
      <c r="B34" s="13"/>
      <c r="C34" s="26"/>
      <c r="D34" s="26"/>
      <c r="E34" s="97"/>
      <c r="F34" s="26"/>
      <c r="G34" s="100" t="s">
        <v>34</v>
      </c>
      <c r="H34" s="105">
        <v>2.6142857142857139</v>
      </c>
      <c r="I34" s="105">
        <v>99.142857142857139</v>
      </c>
      <c r="J34" s="103">
        <v>14</v>
      </c>
      <c r="K34" s="26"/>
      <c r="L34" s="26"/>
      <c r="M34" s="26"/>
      <c r="N34" s="26"/>
      <c r="O34" s="26"/>
      <c r="P34" s="26"/>
      <c r="Q34" s="26"/>
    </row>
    <row r="35" spans="2:17" ht="15.5" x14ac:dyDescent="0.35">
      <c r="B35" s="13"/>
      <c r="C35" s="26"/>
      <c r="D35" s="26"/>
      <c r="E35" s="97"/>
      <c r="F35" s="26"/>
      <c r="G35" s="100" t="s">
        <v>35</v>
      </c>
      <c r="H35" s="105">
        <v>3.127272727272727</v>
      </c>
      <c r="I35" s="105">
        <v>77.454545454545453</v>
      </c>
      <c r="J35" s="103">
        <v>22</v>
      </c>
      <c r="K35" s="26"/>
      <c r="L35" s="26"/>
      <c r="M35" s="26"/>
      <c r="N35" s="26"/>
      <c r="O35" s="26"/>
      <c r="P35" s="26"/>
      <c r="Q35" s="26"/>
    </row>
    <row r="36" spans="2:17" ht="15.5" x14ac:dyDescent="0.35">
      <c r="B36" s="13"/>
      <c r="C36" s="26"/>
      <c r="D36" s="26"/>
      <c r="E36" s="97"/>
      <c r="F36" s="26"/>
      <c r="G36" s="100" t="s">
        <v>36</v>
      </c>
      <c r="H36" s="105">
        <v>3.861111111111112</v>
      </c>
      <c r="I36" s="105">
        <v>100.11111111111111</v>
      </c>
      <c r="J36" s="103">
        <v>18</v>
      </c>
      <c r="K36" s="26"/>
      <c r="L36" s="26"/>
      <c r="M36" s="26"/>
      <c r="N36" s="26"/>
      <c r="O36" s="26"/>
      <c r="P36" s="26"/>
      <c r="Q36" s="26"/>
    </row>
    <row r="37" spans="2:17" ht="15.5" x14ac:dyDescent="0.35">
      <c r="B37" s="13"/>
      <c r="C37" s="26"/>
      <c r="D37" s="26"/>
      <c r="E37" s="97"/>
      <c r="F37" s="26"/>
      <c r="G37" s="100" t="s">
        <v>37</v>
      </c>
      <c r="H37" s="105">
        <v>2.7733333333333334</v>
      </c>
      <c r="I37" s="105">
        <v>102.86666666666666</v>
      </c>
      <c r="J37" s="103">
        <v>15</v>
      </c>
      <c r="K37" s="26"/>
      <c r="L37" s="26"/>
      <c r="M37" s="26"/>
      <c r="N37" s="26"/>
      <c r="O37" s="26"/>
      <c r="P37" s="26"/>
      <c r="Q37" s="26"/>
    </row>
    <row r="38" spans="2:17" ht="15.5" x14ac:dyDescent="0.35">
      <c r="B38" s="13"/>
      <c r="C38" s="26"/>
      <c r="D38" s="26"/>
      <c r="E38" s="97"/>
      <c r="F38" s="26"/>
      <c r="G38" s="98" t="s">
        <v>92</v>
      </c>
      <c r="H38" s="154">
        <f>AVERAGE(H20:H37)</f>
        <v>2.5463588315354202</v>
      </c>
      <c r="I38" s="154">
        <f>AVERAGE(I20:I37)</f>
        <v>100.86687606794816</v>
      </c>
      <c r="J38" s="103"/>
      <c r="K38" s="26"/>
      <c r="L38" s="26"/>
      <c r="M38" s="26"/>
      <c r="N38" s="26"/>
      <c r="O38" s="26"/>
      <c r="P38" s="26"/>
      <c r="Q38" s="26"/>
    </row>
    <row r="39" spans="2:17" ht="15.5" x14ac:dyDescent="0.35">
      <c r="B39" s="13"/>
      <c r="C39" s="26"/>
      <c r="D39" s="26"/>
      <c r="E39" s="97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D6340-C726-BF47-8696-586E121D73BD}">
  <dimension ref="B2:H10"/>
  <sheetViews>
    <sheetView topLeftCell="B1" zoomScale="70" zoomScaleNormal="70" workbookViewId="0">
      <selection activeCell="G5" sqref="G5"/>
    </sheetView>
  </sheetViews>
  <sheetFormatPr defaultColWidth="10.81640625" defaultRowHeight="14.5" x14ac:dyDescent="0.35"/>
  <cols>
    <col min="1" max="1" width="6.1796875" style="26" customWidth="1"/>
    <col min="2" max="2" width="17.81640625" style="26" customWidth="1"/>
    <col min="3" max="3" width="23" style="26" customWidth="1"/>
    <col min="4" max="4" width="22.81640625" style="26" customWidth="1"/>
    <col min="5" max="5" width="15.453125" style="26" bestFit="1" customWidth="1"/>
    <col min="6" max="6" width="13.08984375" style="26" bestFit="1" customWidth="1"/>
    <col min="7" max="7" width="20.54296875" style="26" bestFit="1" customWidth="1"/>
    <col min="8" max="16384" width="10.81640625" style="26"/>
  </cols>
  <sheetData>
    <row r="2" spans="2:8" x14ac:dyDescent="0.35">
      <c r="B2" s="191" t="s">
        <v>141</v>
      </c>
      <c r="C2" s="191"/>
      <c r="D2" s="191"/>
      <c r="E2" s="191"/>
      <c r="F2" s="191"/>
      <c r="G2" s="191"/>
    </row>
    <row r="4" spans="2:8" s="34" customFormat="1" ht="27.65" customHeight="1" x14ac:dyDescent="0.35">
      <c r="B4" s="5"/>
      <c r="C4" s="11" t="s">
        <v>124</v>
      </c>
      <c r="D4" s="5" t="s">
        <v>125</v>
      </c>
      <c r="E4" s="5" t="s">
        <v>126</v>
      </c>
      <c r="F4" s="5" t="s">
        <v>64</v>
      </c>
      <c r="G4" s="163" t="s">
        <v>140</v>
      </c>
    </row>
    <row r="5" spans="2:8" x14ac:dyDescent="0.35">
      <c r="B5" s="164" t="s">
        <v>55</v>
      </c>
      <c r="C5" s="165">
        <f>'[1]AGB &amp; BGB refores'!$G$14</f>
        <v>3937.94</v>
      </c>
      <c r="D5" s="166">
        <f>'[1]ABG &amp; BGB restoration'!$G$14</f>
        <v>1700.12</v>
      </c>
      <c r="E5" s="167">
        <f>C5+D5</f>
        <v>5638.0599999999995</v>
      </c>
      <c r="F5" s="129">
        <f>[1]SOC!$E$14</f>
        <v>27068.19</v>
      </c>
      <c r="G5" s="169">
        <f>E5+F5</f>
        <v>32706.25</v>
      </c>
      <c r="H5"/>
    </row>
    <row r="6" spans="2:8" x14ac:dyDescent="0.35">
      <c r="B6" s="164" t="s">
        <v>54</v>
      </c>
      <c r="C6" s="165">
        <f>'[2]AGB &amp; BGB refores'!$G$11</f>
        <v>4948.66</v>
      </c>
      <c r="D6" s="166">
        <v>0</v>
      </c>
      <c r="E6" s="167">
        <f>C6+D6</f>
        <v>4948.66</v>
      </c>
      <c r="F6" s="129">
        <f>[2]SOC!$E$11</f>
        <v>12375.98</v>
      </c>
      <c r="G6" s="169">
        <f>E6+F6</f>
        <v>17324.64</v>
      </c>
      <c r="H6"/>
    </row>
    <row r="7" spans="2:8" x14ac:dyDescent="0.35">
      <c r="B7" s="164" t="s">
        <v>56</v>
      </c>
      <c r="C7" s="165">
        <f>'[3]ABG &amp; BGB refores'!$G$9</f>
        <v>4153.66</v>
      </c>
      <c r="D7" s="166">
        <v>0</v>
      </c>
      <c r="E7" s="167">
        <f>C7+D7</f>
        <v>4153.66</v>
      </c>
      <c r="F7" s="129">
        <f>[3]SOC!$E$11</f>
        <v>45725.22</v>
      </c>
      <c r="G7" s="169">
        <f>E7+F7</f>
        <v>49878.880000000005</v>
      </c>
      <c r="H7"/>
    </row>
    <row r="8" spans="2:8" x14ac:dyDescent="0.35">
      <c r="B8" s="28"/>
      <c r="C8" s="168"/>
      <c r="D8" s="168"/>
      <c r="E8" s="184">
        <f>SUM(E5:E7)</f>
        <v>14740.38</v>
      </c>
      <c r="F8" s="167"/>
      <c r="G8" s="172">
        <f>SUM(G5:G7)</f>
        <v>99909.77</v>
      </c>
      <c r="H8" s="141"/>
    </row>
    <row r="9" spans="2:8" x14ac:dyDescent="0.35">
      <c r="E9" s="33"/>
    </row>
    <row r="10" spans="2:8" x14ac:dyDescent="0.35">
      <c r="E10" s="33"/>
      <c r="G10" s="88"/>
      <c r="H10" s="88"/>
    </row>
  </sheetData>
  <mergeCells count="1">
    <mergeCell ref="B2:G2"/>
  </mergeCells>
  <pageMargins left="0.7" right="0.7" top="0.75" bottom="0.75" header="0.3" footer="0.3"/>
  <pageSetup orientation="portrait" r:id="rId1"/>
  <ignoredErrors>
    <ignoredError sqref="F5:F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177E5-4AAE-2347-8F72-4459395B7CB0}">
  <dimension ref="A2:AI73"/>
  <sheetViews>
    <sheetView zoomScale="80" zoomScaleNormal="80" workbookViewId="0">
      <selection activeCell="L40" sqref="L40"/>
    </sheetView>
  </sheetViews>
  <sheetFormatPr defaultColWidth="8.81640625" defaultRowHeight="14.5" x14ac:dyDescent="0.35"/>
  <cols>
    <col min="1" max="1" width="19.54296875" customWidth="1"/>
    <col min="2" max="2" width="14.453125" style="35" customWidth="1"/>
    <col min="3" max="3" width="11.6328125" style="35" bestFit="1" customWidth="1"/>
    <col min="4" max="4" width="10.453125" style="35" customWidth="1"/>
    <col min="5" max="5" width="11.6328125" style="35" customWidth="1"/>
    <col min="6" max="6" width="9.08984375" style="35" customWidth="1"/>
    <col min="7" max="18" width="8.81640625" style="35"/>
    <col min="19" max="19" width="10.453125" style="35" customWidth="1"/>
    <col min="20" max="20" width="12.08984375" style="35" customWidth="1"/>
    <col min="21" max="21" width="8.6328125" style="35" customWidth="1"/>
    <col min="22" max="22" width="12.81640625" style="35" customWidth="1"/>
    <col min="23" max="23" width="8.6328125" style="35" customWidth="1"/>
    <col min="24" max="24" width="13.08984375" style="35" customWidth="1"/>
    <col min="25" max="25" width="8.6328125" style="35" customWidth="1"/>
    <col min="26" max="26" width="14.36328125" style="35" customWidth="1"/>
    <col min="27" max="29" width="8.6328125" style="35" customWidth="1"/>
    <col min="30" max="30" width="11.1796875" style="35" customWidth="1"/>
    <col min="31" max="31" width="8.6328125" style="35" customWidth="1"/>
    <col min="32" max="35" width="8.81640625" style="35"/>
  </cols>
  <sheetData>
    <row r="2" spans="1:35" ht="31" customHeight="1" x14ac:dyDescent="0.35">
      <c r="A2" s="205"/>
      <c r="B2" s="197" t="s">
        <v>2</v>
      </c>
      <c r="C2" s="197" t="s">
        <v>7</v>
      </c>
      <c r="D2" s="197"/>
      <c r="E2" s="197" t="s">
        <v>5</v>
      </c>
      <c r="F2" s="197"/>
      <c r="G2" s="197" t="s">
        <v>6</v>
      </c>
      <c r="H2" s="197"/>
      <c r="I2" s="197" t="s">
        <v>10</v>
      </c>
      <c r="J2" s="197"/>
      <c r="K2" s="197" t="s">
        <v>19</v>
      </c>
      <c r="L2" s="197"/>
      <c r="M2" s="197" t="s">
        <v>67</v>
      </c>
      <c r="N2" s="197"/>
      <c r="O2" s="198" t="s">
        <v>100</v>
      </c>
      <c r="P2" s="199"/>
      <c r="Q2" s="198" t="s">
        <v>134</v>
      </c>
      <c r="R2" s="199"/>
      <c r="S2" s="196" t="s">
        <v>9</v>
      </c>
      <c r="T2" s="196" t="s">
        <v>8</v>
      </c>
      <c r="U2" s="196" t="s">
        <v>12</v>
      </c>
      <c r="V2" s="196" t="s">
        <v>11</v>
      </c>
      <c r="W2" s="196" t="s">
        <v>13</v>
      </c>
      <c r="X2" s="196" t="s">
        <v>39</v>
      </c>
      <c r="Y2" s="196" t="s">
        <v>40</v>
      </c>
      <c r="Z2" s="196" t="s">
        <v>69</v>
      </c>
      <c r="AA2" s="196" t="s">
        <v>68</v>
      </c>
      <c r="AB2" s="192" t="s">
        <v>98</v>
      </c>
      <c r="AC2" s="192" t="s">
        <v>99</v>
      </c>
      <c r="AD2" s="196" t="s">
        <v>135</v>
      </c>
      <c r="AE2" s="196" t="s">
        <v>136</v>
      </c>
      <c r="AG2"/>
      <c r="AH2"/>
      <c r="AI2"/>
    </row>
    <row r="3" spans="1:35" x14ac:dyDescent="0.35">
      <c r="A3" s="206"/>
      <c r="B3" s="197"/>
      <c r="C3" s="5" t="s">
        <v>3</v>
      </c>
      <c r="D3" s="5" t="s">
        <v>4</v>
      </c>
      <c r="E3" s="5" t="s">
        <v>3</v>
      </c>
      <c r="F3" s="5" t="s">
        <v>4</v>
      </c>
      <c r="G3" s="5" t="s">
        <v>3</v>
      </c>
      <c r="H3" s="5" t="s">
        <v>4</v>
      </c>
      <c r="I3" s="5" t="s">
        <v>3</v>
      </c>
      <c r="J3" s="5" t="s">
        <v>4</v>
      </c>
      <c r="K3" s="5" t="s">
        <v>3</v>
      </c>
      <c r="L3" s="5" t="s">
        <v>4</v>
      </c>
      <c r="M3" s="5" t="s">
        <v>3</v>
      </c>
      <c r="N3" s="5" t="s">
        <v>4</v>
      </c>
      <c r="O3" s="5" t="s">
        <v>3</v>
      </c>
      <c r="P3" s="5" t="s">
        <v>4</v>
      </c>
      <c r="Q3" s="5" t="s">
        <v>3</v>
      </c>
      <c r="R3" s="5" t="s">
        <v>4</v>
      </c>
      <c r="S3" s="196"/>
      <c r="T3" s="196"/>
      <c r="U3" s="196"/>
      <c r="V3" s="196"/>
      <c r="W3" s="196"/>
      <c r="X3" s="196"/>
      <c r="Y3" s="196"/>
      <c r="Z3" s="196"/>
      <c r="AA3" s="196"/>
      <c r="AB3" s="193"/>
      <c r="AC3" s="193"/>
      <c r="AD3" s="196"/>
      <c r="AE3" s="196"/>
      <c r="AG3"/>
      <c r="AH3"/>
      <c r="AI3"/>
    </row>
    <row r="4" spans="1:35" x14ac:dyDescent="0.35">
      <c r="A4" s="207"/>
      <c r="B4" s="197"/>
      <c r="C4" s="5" t="s">
        <v>1</v>
      </c>
      <c r="D4" s="5" t="s">
        <v>1</v>
      </c>
      <c r="E4" s="5" t="s">
        <v>1</v>
      </c>
      <c r="F4" s="5" t="s">
        <v>1</v>
      </c>
      <c r="G4" s="5" t="s">
        <v>1</v>
      </c>
      <c r="H4" s="5" t="s">
        <v>1</v>
      </c>
      <c r="I4" s="5" t="s">
        <v>1</v>
      </c>
      <c r="J4" s="5" t="s">
        <v>1</v>
      </c>
      <c r="K4" s="5" t="s">
        <v>1</v>
      </c>
      <c r="L4" s="5" t="s">
        <v>1</v>
      </c>
      <c r="M4" s="5" t="s">
        <v>1</v>
      </c>
      <c r="N4" s="5" t="s">
        <v>1</v>
      </c>
      <c r="O4" s="5" t="s">
        <v>1</v>
      </c>
      <c r="P4" s="5" t="s">
        <v>1</v>
      </c>
      <c r="Q4" s="5" t="s">
        <v>1</v>
      </c>
      <c r="R4" s="5" t="s">
        <v>1</v>
      </c>
      <c r="S4" s="196"/>
      <c r="T4" s="196"/>
      <c r="U4" s="196"/>
      <c r="V4" s="196"/>
      <c r="W4" s="196"/>
      <c r="X4" s="196"/>
      <c r="Y4" s="196"/>
      <c r="Z4" s="196"/>
      <c r="AA4" s="196"/>
      <c r="AB4" s="194"/>
      <c r="AC4" s="194"/>
      <c r="AD4" s="196"/>
      <c r="AE4" s="196"/>
      <c r="AG4"/>
      <c r="AH4"/>
      <c r="AI4"/>
    </row>
    <row r="5" spans="1:35" x14ac:dyDescent="0.35">
      <c r="A5" s="201">
        <v>2015</v>
      </c>
      <c r="B5" s="36">
        <v>4</v>
      </c>
      <c r="C5" s="36"/>
      <c r="D5" s="36"/>
      <c r="E5" s="36"/>
      <c r="F5" s="36"/>
      <c r="G5" s="44">
        <v>110.8</v>
      </c>
      <c r="H5" s="36">
        <v>1.87</v>
      </c>
      <c r="I5" s="45">
        <v>151.22448979591837</v>
      </c>
      <c r="J5" s="45">
        <v>2.2183673469387757</v>
      </c>
      <c r="K5" s="46">
        <v>175.26530612244898</v>
      </c>
      <c r="L5" s="46">
        <v>1.2979591836734694</v>
      </c>
      <c r="M5" s="75">
        <v>203.65</v>
      </c>
      <c r="N5" s="75">
        <v>1.91</v>
      </c>
      <c r="O5" s="142">
        <v>231.91666666666666</v>
      </c>
      <c r="P5" s="142">
        <v>2.5558333333333336</v>
      </c>
      <c r="Q5" s="29">
        <f>'Summary of Avgs'!D5</f>
        <v>259.375</v>
      </c>
      <c r="R5" s="29">
        <f>'Summary of Avgs'!C5</f>
        <v>3.0625000000000013</v>
      </c>
      <c r="S5" s="36">
        <v>55</v>
      </c>
      <c r="T5" s="36">
        <v>52</v>
      </c>
      <c r="U5" s="58">
        <f t="shared" ref="U5:U27" si="0">T5/S5</f>
        <v>0.94545454545454544</v>
      </c>
      <c r="V5" s="36">
        <v>50</v>
      </c>
      <c r="W5" s="58">
        <f>V5/T5</f>
        <v>0.96153846153846156</v>
      </c>
      <c r="X5" s="36">
        <v>49</v>
      </c>
      <c r="Y5" s="61">
        <f>X5/V5</f>
        <v>0.98</v>
      </c>
      <c r="Z5" s="77">
        <v>49</v>
      </c>
      <c r="AA5" s="61">
        <f t="shared" ref="AA5:AA27" si="1">Z5/X5</f>
        <v>1</v>
      </c>
      <c r="AB5" s="144">
        <v>48</v>
      </c>
      <c r="AC5" s="61">
        <f>AB5/Z5</f>
        <v>0.97959183673469385</v>
      </c>
      <c r="AD5" s="144">
        <f>'Summary of Avgs'!E5</f>
        <v>48</v>
      </c>
      <c r="AE5" s="61">
        <f>AD5/AB5</f>
        <v>1</v>
      </c>
      <c r="AG5"/>
      <c r="AH5"/>
      <c r="AI5"/>
    </row>
    <row r="6" spans="1:35" x14ac:dyDescent="0.35">
      <c r="A6" s="201"/>
      <c r="B6" s="36">
        <v>5</v>
      </c>
      <c r="C6" s="36"/>
      <c r="D6" s="36"/>
      <c r="E6" s="36"/>
      <c r="F6" s="36"/>
      <c r="G6" s="44">
        <v>98.98</v>
      </c>
      <c r="H6" s="36">
        <v>1.02</v>
      </c>
      <c r="I6" s="45">
        <v>128.75</v>
      </c>
      <c r="J6" s="45">
        <v>1.5659090909090911</v>
      </c>
      <c r="K6" s="46">
        <v>128.75</v>
      </c>
      <c r="L6" s="46">
        <v>1.5659090909090911</v>
      </c>
      <c r="M6" s="75">
        <v>167.44</v>
      </c>
      <c r="N6" s="75">
        <v>2.1800000000000002</v>
      </c>
      <c r="O6" s="142">
        <v>209.19512195121951</v>
      </c>
      <c r="P6" s="142">
        <v>2.5682926829268293</v>
      </c>
      <c r="Q6" s="29">
        <f>'Summary of Avgs'!D6</f>
        <v>279.8</v>
      </c>
      <c r="R6" s="29">
        <f>'Summary of Avgs'!C6</f>
        <v>2.8425000000000002</v>
      </c>
      <c r="S6" s="36">
        <v>55</v>
      </c>
      <c r="T6" s="36">
        <v>52</v>
      </c>
      <c r="U6" s="58">
        <f t="shared" si="0"/>
        <v>0.94545454545454544</v>
      </c>
      <c r="V6" s="36">
        <v>45</v>
      </c>
      <c r="W6" s="58">
        <f t="shared" ref="W6:W27" si="2">V6/T6</f>
        <v>0.86538461538461542</v>
      </c>
      <c r="X6" s="36">
        <v>44</v>
      </c>
      <c r="Y6" s="61">
        <f t="shared" ref="Y6:Y27" si="3">X6/V6</f>
        <v>0.97777777777777775</v>
      </c>
      <c r="Z6" s="77">
        <v>41</v>
      </c>
      <c r="AA6" s="61">
        <f t="shared" si="1"/>
        <v>0.93181818181818177</v>
      </c>
      <c r="AB6" s="144">
        <v>41</v>
      </c>
      <c r="AC6" s="61">
        <f t="shared" ref="AC6:AC60" si="4">AB6/Z6</f>
        <v>1</v>
      </c>
      <c r="AD6" s="144">
        <f>'Summary of Avgs'!E6</f>
        <v>40</v>
      </c>
      <c r="AE6" s="61">
        <f t="shared" ref="AE6:AE12" si="5">AD6/AB6</f>
        <v>0.97560975609756095</v>
      </c>
      <c r="AG6"/>
      <c r="AH6"/>
      <c r="AI6"/>
    </row>
    <row r="7" spans="1:35" x14ac:dyDescent="0.35">
      <c r="A7" s="201"/>
      <c r="B7" s="36">
        <v>11</v>
      </c>
      <c r="C7" s="36"/>
      <c r="D7" s="36"/>
      <c r="E7" s="36"/>
      <c r="F7" s="36"/>
      <c r="G7" s="44">
        <v>80.08</v>
      </c>
      <c r="H7" s="36">
        <v>1.8</v>
      </c>
      <c r="I7" s="45">
        <v>111.16326530612245</v>
      </c>
      <c r="J7" s="45">
        <v>2.324489795918367</v>
      </c>
      <c r="K7" s="46">
        <v>121.9795918367347</v>
      </c>
      <c r="L7" s="46">
        <v>2.0000000000000004</v>
      </c>
      <c r="M7" s="75">
        <v>146.33000000000001</v>
      </c>
      <c r="N7" s="75">
        <v>1.67</v>
      </c>
      <c r="O7" s="142">
        <v>170.12244897959184</v>
      </c>
      <c r="P7" s="142">
        <v>1.9428571428571419</v>
      </c>
      <c r="Q7" s="29">
        <f>'Summary of Avgs'!D7</f>
        <v>191.77551020408163</v>
      </c>
      <c r="R7" s="29">
        <f>'Summary of Avgs'!C7</f>
        <v>3.1551020408163275</v>
      </c>
      <c r="S7" s="36">
        <v>55</v>
      </c>
      <c r="T7" s="36">
        <v>49</v>
      </c>
      <c r="U7" s="58">
        <f t="shared" si="0"/>
        <v>0.89090909090909087</v>
      </c>
      <c r="V7" s="36">
        <v>49</v>
      </c>
      <c r="W7" s="58">
        <f t="shared" si="2"/>
        <v>1</v>
      </c>
      <c r="X7" s="36">
        <v>49</v>
      </c>
      <c r="Y7" s="61">
        <f t="shared" si="3"/>
        <v>1</v>
      </c>
      <c r="Z7" s="77">
        <v>49</v>
      </c>
      <c r="AA7" s="61">
        <f t="shared" si="1"/>
        <v>1</v>
      </c>
      <c r="AB7" s="144">
        <v>49</v>
      </c>
      <c r="AC7" s="61">
        <f t="shared" si="4"/>
        <v>1</v>
      </c>
      <c r="AD7" s="144">
        <f>'Summary of Avgs'!E7</f>
        <v>49</v>
      </c>
      <c r="AE7" s="61">
        <f t="shared" si="5"/>
        <v>1</v>
      </c>
      <c r="AG7"/>
      <c r="AH7"/>
      <c r="AI7"/>
    </row>
    <row r="8" spans="1:35" x14ac:dyDescent="0.35">
      <c r="A8" s="201"/>
      <c r="B8" s="36">
        <v>33</v>
      </c>
      <c r="C8" s="36"/>
      <c r="D8" s="36"/>
      <c r="E8" s="36"/>
      <c r="F8" s="36"/>
      <c r="G8" s="44">
        <v>51.4</v>
      </c>
      <c r="H8" s="36">
        <v>1.1200000000000001</v>
      </c>
      <c r="I8" s="45">
        <v>65.9375</v>
      </c>
      <c r="J8" s="45">
        <v>2.8937499999999994</v>
      </c>
      <c r="K8" s="46">
        <v>80.020833333333329</v>
      </c>
      <c r="L8" s="46">
        <v>3.4520833333333329</v>
      </c>
      <c r="M8" s="75">
        <v>94.25</v>
      </c>
      <c r="N8" s="75">
        <v>4.05</v>
      </c>
      <c r="O8" s="142">
        <v>108.66666666666667</v>
      </c>
      <c r="P8" s="142">
        <v>4.2583333333333329</v>
      </c>
      <c r="Q8" s="29">
        <f>'Summary of Avgs'!D8</f>
        <v>120</v>
      </c>
      <c r="R8" s="29">
        <f>'Summary of Avgs'!C8</f>
        <v>5.2541666666666655</v>
      </c>
      <c r="S8" s="36">
        <v>55</v>
      </c>
      <c r="T8" s="36">
        <v>48</v>
      </c>
      <c r="U8" s="58">
        <f t="shared" si="0"/>
        <v>0.87272727272727268</v>
      </c>
      <c r="V8" s="36">
        <v>48</v>
      </c>
      <c r="W8" s="58">
        <f t="shared" si="2"/>
        <v>1</v>
      </c>
      <c r="X8" s="36">
        <v>48</v>
      </c>
      <c r="Y8" s="61">
        <f t="shared" si="3"/>
        <v>1</v>
      </c>
      <c r="Z8" s="77">
        <v>48</v>
      </c>
      <c r="AA8" s="61">
        <f t="shared" si="1"/>
        <v>1</v>
      </c>
      <c r="AB8" s="144">
        <v>48</v>
      </c>
      <c r="AC8" s="61">
        <f t="shared" si="4"/>
        <v>1</v>
      </c>
      <c r="AD8" s="144">
        <f>'Summary of Avgs'!E8</f>
        <v>48</v>
      </c>
      <c r="AE8" s="61">
        <f t="shared" si="5"/>
        <v>1</v>
      </c>
      <c r="AG8"/>
      <c r="AH8"/>
      <c r="AI8"/>
    </row>
    <row r="9" spans="1:35" x14ac:dyDescent="0.35">
      <c r="A9" s="201"/>
      <c r="B9" s="36">
        <v>45</v>
      </c>
      <c r="C9" s="36"/>
      <c r="D9" s="36"/>
      <c r="E9" s="36"/>
      <c r="F9" s="36"/>
      <c r="G9" s="44">
        <v>83</v>
      </c>
      <c r="H9" s="36">
        <v>1.28</v>
      </c>
      <c r="I9" s="47">
        <v>112.61538461538461</v>
      </c>
      <c r="J9" s="47">
        <v>1.8999999999999995</v>
      </c>
      <c r="K9" s="48">
        <v>132.56410256410257</v>
      </c>
      <c r="L9" s="48">
        <v>1.4974358974358972</v>
      </c>
      <c r="M9" s="76">
        <v>160.26</v>
      </c>
      <c r="N9" s="76">
        <v>1.94</v>
      </c>
      <c r="O9" s="143">
        <v>199.87179487179486</v>
      </c>
      <c r="P9" s="143">
        <v>2.5871794871794878</v>
      </c>
      <c r="Q9" s="29">
        <f>'Summary of Avgs'!D9</f>
        <v>239.69230769230768</v>
      </c>
      <c r="R9" s="29">
        <f>'Summary of Avgs'!C9</f>
        <v>2.6666666666666665</v>
      </c>
      <c r="S9" s="36">
        <v>55</v>
      </c>
      <c r="T9" s="36">
        <v>39</v>
      </c>
      <c r="U9" s="58">
        <f t="shared" si="0"/>
        <v>0.70909090909090911</v>
      </c>
      <c r="V9" s="36">
        <v>39</v>
      </c>
      <c r="W9" s="58">
        <f t="shared" si="2"/>
        <v>1</v>
      </c>
      <c r="X9" s="36">
        <v>39</v>
      </c>
      <c r="Y9" s="61">
        <f t="shared" si="3"/>
        <v>1</v>
      </c>
      <c r="Z9" s="77">
        <v>39</v>
      </c>
      <c r="AA9" s="61">
        <f t="shared" si="1"/>
        <v>1</v>
      </c>
      <c r="AB9" s="144">
        <v>39</v>
      </c>
      <c r="AC9" s="61">
        <f t="shared" si="4"/>
        <v>1</v>
      </c>
      <c r="AD9" s="144">
        <f>'Summary of Avgs'!E9</f>
        <v>39</v>
      </c>
      <c r="AE9" s="61">
        <f t="shared" si="5"/>
        <v>1</v>
      </c>
      <c r="AG9"/>
      <c r="AH9"/>
      <c r="AI9"/>
    </row>
    <row r="10" spans="1:35" x14ac:dyDescent="0.35">
      <c r="A10" s="201"/>
      <c r="B10" s="36">
        <v>53</v>
      </c>
      <c r="C10" s="36"/>
      <c r="D10" s="36"/>
      <c r="E10" s="36"/>
      <c r="F10" s="36"/>
      <c r="G10" s="44">
        <v>63.39</v>
      </c>
      <c r="H10" s="36">
        <v>1.05</v>
      </c>
      <c r="I10" s="45">
        <v>85.75</v>
      </c>
      <c r="J10" s="45">
        <v>2.2642857142857142</v>
      </c>
      <c r="K10" s="46">
        <v>94.781818181818181</v>
      </c>
      <c r="L10" s="46">
        <v>2.6127272727272732</v>
      </c>
      <c r="M10" s="75">
        <v>119.78</v>
      </c>
      <c r="N10" s="75">
        <v>3.08</v>
      </c>
      <c r="O10" s="142">
        <v>142.74545454545455</v>
      </c>
      <c r="P10" s="142">
        <v>3.3054545454545452</v>
      </c>
      <c r="Q10" s="29">
        <f>'Summary of Avgs'!D10</f>
        <v>167.92727272727274</v>
      </c>
      <c r="R10" s="29">
        <f>'Summary of Avgs'!C10</f>
        <v>4.3690909090909082</v>
      </c>
      <c r="S10" s="36">
        <v>65</v>
      </c>
      <c r="T10" s="36">
        <v>62</v>
      </c>
      <c r="U10" s="58">
        <f t="shared" si="0"/>
        <v>0.9538461538461539</v>
      </c>
      <c r="V10" s="36">
        <v>56</v>
      </c>
      <c r="W10" s="58">
        <f t="shared" si="2"/>
        <v>0.90322580645161288</v>
      </c>
      <c r="X10" s="36">
        <v>55</v>
      </c>
      <c r="Y10" s="61">
        <f t="shared" si="3"/>
        <v>0.9821428571428571</v>
      </c>
      <c r="Z10" s="77">
        <v>55</v>
      </c>
      <c r="AA10" s="61">
        <f t="shared" si="1"/>
        <v>1</v>
      </c>
      <c r="AB10" s="144">
        <v>55</v>
      </c>
      <c r="AC10" s="61">
        <f t="shared" si="4"/>
        <v>1</v>
      </c>
      <c r="AD10" s="144">
        <f>'Summary of Avgs'!E10</f>
        <v>55</v>
      </c>
      <c r="AE10" s="61">
        <f t="shared" si="5"/>
        <v>1</v>
      </c>
      <c r="AG10"/>
      <c r="AH10"/>
      <c r="AI10"/>
    </row>
    <row r="11" spans="1:35" x14ac:dyDescent="0.35">
      <c r="A11" s="201"/>
      <c r="B11" s="36">
        <v>90</v>
      </c>
      <c r="C11" s="36"/>
      <c r="D11" s="36"/>
      <c r="E11" s="36"/>
      <c r="F11" s="36"/>
      <c r="G11" s="44">
        <v>61.67</v>
      </c>
      <c r="H11" s="36">
        <v>1.34</v>
      </c>
      <c r="I11" s="45">
        <v>81.5</v>
      </c>
      <c r="J11" s="45">
        <v>2.1208333333333336</v>
      </c>
      <c r="K11" s="46">
        <v>85.086956521739125</v>
      </c>
      <c r="L11" s="46">
        <v>2.2521739130434786</v>
      </c>
      <c r="M11" s="75">
        <v>104</v>
      </c>
      <c r="N11" s="75">
        <v>2.89</v>
      </c>
      <c r="O11" s="142">
        <v>115.69565217391305</v>
      </c>
      <c r="P11" s="142">
        <v>3.0739130434782602</v>
      </c>
      <c r="Q11" s="29">
        <f>'Summary of Avgs'!D11</f>
        <v>130.34782608695653</v>
      </c>
      <c r="R11" s="29">
        <f>'Summary of Avgs'!C11</f>
        <v>3.2347826086956526</v>
      </c>
      <c r="S11" s="36">
        <v>55</v>
      </c>
      <c r="T11" s="36">
        <v>24</v>
      </c>
      <c r="U11" s="58">
        <f t="shared" si="0"/>
        <v>0.43636363636363634</v>
      </c>
      <c r="V11" s="36">
        <v>24</v>
      </c>
      <c r="W11" s="58">
        <f t="shared" si="2"/>
        <v>1</v>
      </c>
      <c r="X11" s="36">
        <v>23</v>
      </c>
      <c r="Y11" s="61">
        <f t="shared" si="3"/>
        <v>0.95833333333333337</v>
      </c>
      <c r="Z11" s="77">
        <v>23</v>
      </c>
      <c r="AA11" s="61">
        <f t="shared" si="1"/>
        <v>1</v>
      </c>
      <c r="AB11" s="144">
        <v>23</v>
      </c>
      <c r="AC11" s="61">
        <f t="shared" si="4"/>
        <v>1</v>
      </c>
      <c r="AD11" s="144">
        <f>'Summary of Avgs'!E11</f>
        <v>23</v>
      </c>
      <c r="AE11" s="61">
        <f t="shared" si="5"/>
        <v>1</v>
      </c>
      <c r="AG11" s="109"/>
      <c r="AH11"/>
      <c r="AI11"/>
    </row>
    <row r="12" spans="1:35" x14ac:dyDescent="0.35">
      <c r="A12" s="201"/>
      <c r="B12" s="36">
        <v>99</v>
      </c>
      <c r="C12" s="36"/>
      <c r="D12" s="36"/>
      <c r="E12" s="36"/>
      <c r="F12" s="36"/>
      <c r="G12" s="44">
        <v>65.400000000000006</v>
      </c>
      <c r="H12" s="36">
        <v>1.77</v>
      </c>
      <c r="I12" s="45">
        <v>107.15789473684211</v>
      </c>
      <c r="J12" s="45">
        <v>4.8578947368421064</v>
      </c>
      <c r="K12" s="46">
        <v>130.71052631578948</v>
      </c>
      <c r="L12" s="46">
        <v>2.7447368421052634</v>
      </c>
      <c r="M12" s="75">
        <v>174.53</v>
      </c>
      <c r="N12" s="75">
        <v>1.05</v>
      </c>
      <c r="O12" s="142">
        <v>210.5</v>
      </c>
      <c r="P12" s="142">
        <v>1.4263157894736844</v>
      </c>
      <c r="Q12" s="29">
        <f>'Summary of Avgs'!D12</f>
        <v>251.5</v>
      </c>
      <c r="R12" s="29">
        <f>'Summary of Avgs'!C12</f>
        <v>4.3157894736842106</v>
      </c>
      <c r="S12" s="36">
        <v>55</v>
      </c>
      <c r="T12" s="36">
        <v>38</v>
      </c>
      <c r="U12" s="58">
        <f t="shared" si="0"/>
        <v>0.69090909090909092</v>
      </c>
      <c r="V12" s="36">
        <v>38</v>
      </c>
      <c r="W12" s="58">
        <f t="shared" si="2"/>
        <v>1</v>
      </c>
      <c r="X12" s="36">
        <v>38</v>
      </c>
      <c r="Y12" s="61">
        <f t="shared" si="3"/>
        <v>1</v>
      </c>
      <c r="Z12" s="77">
        <v>38</v>
      </c>
      <c r="AA12" s="61">
        <f t="shared" si="1"/>
        <v>1</v>
      </c>
      <c r="AB12" s="144">
        <v>38</v>
      </c>
      <c r="AC12" s="61">
        <f t="shared" si="4"/>
        <v>1</v>
      </c>
      <c r="AD12" s="144">
        <f>'Summary of Avgs'!E12</f>
        <v>38</v>
      </c>
      <c r="AE12" s="61">
        <f t="shared" si="5"/>
        <v>1</v>
      </c>
      <c r="AF12" s="68"/>
      <c r="AG12"/>
      <c r="AH12"/>
      <c r="AI12"/>
    </row>
    <row r="13" spans="1:35" x14ac:dyDescent="0.35">
      <c r="A13" s="202">
        <v>2016</v>
      </c>
      <c r="B13" s="3">
        <v>21</v>
      </c>
      <c r="C13" s="3"/>
      <c r="D13" s="3"/>
      <c r="E13" s="49">
        <v>71.08</v>
      </c>
      <c r="F13" s="3">
        <v>1.8</v>
      </c>
      <c r="G13" s="45">
        <v>81.186440677966104</v>
      </c>
      <c r="H13" s="45">
        <v>2.2949152542372877</v>
      </c>
      <c r="I13" s="46">
        <v>87.724137931034477</v>
      </c>
      <c r="J13" s="46">
        <v>2.6448275862068953</v>
      </c>
      <c r="K13" s="75">
        <v>100.47</v>
      </c>
      <c r="L13" s="75">
        <v>2.64</v>
      </c>
      <c r="M13" s="142">
        <v>110.20689655172414</v>
      </c>
      <c r="N13" s="142">
        <v>2.7655172413793103</v>
      </c>
      <c r="O13" s="157">
        <f>'Summary of Avgs'!I6</f>
        <v>117.22413793103448</v>
      </c>
      <c r="P13" s="157">
        <f>'Summary of Avgs'!H6</f>
        <v>3.3551724137931029</v>
      </c>
      <c r="Q13" s="3"/>
      <c r="R13" s="3"/>
      <c r="S13" s="3">
        <v>65</v>
      </c>
      <c r="T13" s="3">
        <v>60</v>
      </c>
      <c r="U13" s="59">
        <f t="shared" si="0"/>
        <v>0.92307692307692313</v>
      </c>
      <c r="V13" s="3">
        <v>59</v>
      </c>
      <c r="W13" s="59">
        <f t="shared" si="2"/>
        <v>0.98333333333333328</v>
      </c>
      <c r="X13" s="3">
        <v>58</v>
      </c>
      <c r="Y13" s="62">
        <f t="shared" si="3"/>
        <v>0.98305084745762716</v>
      </c>
      <c r="Z13" s="78">
        <v>58</v>
      </c>
      <c r="AA13" s="62">
        <f t="shared" si="1"/>
        <v>1</v>
      </c>
      <c r="AB13" s="145">
        <v>58</v>
      </c>
      <c r="AC13" s="62">
        <f t="shared" si="4"/>
        <v>1</v>
      </c>
      <c r="AD13" s="145" cm="1">
        <f t="array" ref="AD13:AD19">'Summary of Avgs'!J6:J12</f>
        <v>58</v>
      </c>
      <c r="AE13" s="62">
        <f>AD13/AB13</f>
        <v>1</v>
      </c>
      <c r="AF13" s="68"/>
      <c r="AG13"/>
      <c r="AH13"/>
      <c r="AI13"/>
    </row>
    <row r="14" spans="1:35" x14ac:dyDescent="0.35">
      <c r="A14" s="202"/>
      <c r="B14" s="3">
        <v>25</v>
      </c>
      <c r="C14" s="3"/>
      <c r="D14" s="3"/>
      <c r="E14" s="49">
        <v>76.09</v>
      </c>
      <c r="F14" s="3">
        <v>1.52</v>
      </c>
      <c r="G14" s="45">
        <v>101.89090909090909</v>
      </c>
      <c r="H14" s="45">
        <v>1.9799999999999995</v>
      </c>
      <c r="I14" s="46">
        <v>122.42592592592592</v>
      </c>
      <c r="J14" s="46">
        <v>1.5814814814814819</v>
      </c>
      <c r="K14" s="75">
        <v>155.19999999999999</v>
      </c>
      <c r="L14" s="75">
        <v>2.02</v>
      </c>
      <c r="M14" s="142">
        <v>188.44444444444446</v>
      </c>
      <c r="N14" s="142">
        <v>2.7759259259259248</v>
      </c>
      <c r="O14" s="157">
        <f>'Summary of Avgs'!I7</f>
        <v>225.5185185185185</v>
      </c>
      <c r="P14" s="157">
        <f>'Summary of Avgs'!H7</f>
        <v>2.9870370370370374</v>
      </c>
      <c r="Q14" s="3"/>
      <c r="R14" s="3"/>
      <c r="S14" s="3">
        <v>65</v>
      </c>
      <c r="T14" s="3">
        <v>56</v>
      </c>
      <c r="U14" s="59">
        <f t="shared" si="0"/>
        <v>0.86153846153846159</v>
      </c>
      <c r="V14" s="3">
        <v>55</v>
      </c>
      <c r="W14" s="59">
        <f t="shared" si="2"/>
        <v>0.9821428571428571</v>
      </c>
      <c r="X14" s="4">
        <v>54</v>
      </c>
      <c r="Y14" s="62">
        <f t="shared" si="3"/>
        <v>0.98181818181818181</v>
      </c>
      <c r="Z14" s="78">
        <v>54</v>
      </c>
      <c r="AA14" s="62">
        <f t="shared" si="1"/>
        <v>1</v>
      </c>
      <c r="AB14" s="145">
        <v>54</v>
      </c>
      <c r="AC14" s="62">
        <f t="shared" si="4"/>
        <v>1</v>
      </c>
      <c r="AD14" s="145">
        <v>54</v>
      </c>
      <c r="AE14" s="62">
        <f t="shared" ref="AE14:AE19" si="6">AD14/AB14</f>
        <v>1</v>
      </c>
      <c r="AF14" s="68"/>
      <c r="AG14"/>
      <c r="AH14"/>
      <c r="AI14"/>
    </row>
    <row r="15" spans="1:35" x14ac:dyDescent="0.35">
      <c r="A15" s="202"/>
      <c r="B15" s="3">
        <v>32</v>
      </c>
      <c r="C15" s="3"/>
      <c r="D15" s="3"/>
      <c r="E15" s="49">
        <v>35.86</v>
      </c>
      <c r="F15" s="3">
        <v>0.56999999999999995</v>
      </c>
      <c r="G15" s="45">
        <v>47.651376146788991</v>
      </c>
      <c r="H15" s="45">
        <v>1.1981651376146789</v>
      </c>
      <c r="I15" s="46">
        <v>52.67289719626168</v>
      </c>
      <c r="J15" s="46">
        <v>1.4691588785046725</v>
      </c>
      <c r="K15" s="75">
        <v>61.38</v>
      </c>
      <c r="L15" s="75">
        <v>2.11</v>
      </c>
      <c r="M15" s="142">
        <v>68.830188679245282</v>
      </c>
      <c r="N15" s="142">
        <v>2.4858490566037736</v>
      </c>
      <c r="O15" s="157">
        <f>'Summary of Avgs'!I8</f>
        <v>90.171428571428578</v>
      </c>
      <c r="P15" s="157">
        <f>'Summary of Avgs'!H8</f>
        <v>3.4457142857142862</v>
      </c>
      <c r="Q15" s="3"/>
      <c r="R15" s="3"/>
      <c r="S15" s="3">
        <v>120</v>
      </c>
      <c r="T15" s="3">
        <v>110</v>
      </c>
      <c r="U15" s="59">
        <f t="shared" si="0"/>
        <v>0.91666666666666663</v>
      </c>
      <c r="V15" s="3">
        <v>109</v>
      </c>
      <c r="W15" s="59">
        <f t="shared" si="2"/>
        <v>0.99090909090909096</v>
      </c>
      <c r="X15" s="4">
        <v>107</v>
      </c>
      <c r="Y15" s="62">
        <f t="shared" si="3"/>
        <v>0.98165137614678899</v>
      </c>
      <c r="Z15" s="78">
        <v>107</v>
      </c>
      <c r="AA15" s="62">
        <f t="shared" si="1"/>
        <v>1</v>
      </c>
      <c r="AB15" s="145">
        <v>106</v>
      </c>
      <c r="AC15" s="62">
        <f t="shared" si="4"/>
        <v>0.99065420560747663</v>
      </c>
      <c r="AD15" s="145">
        <v>105</v>
      </c>
      <c r="AE15" s="62">
        <f t="shared" si="6"/>
        <v>0.99056603773584906</v>
      </c>
      <c r="AF15" s="68"/>
      <c r="AG15"/>
      <c r="AH15"/>
      <c r="AI15"/>
    </row>
    <row r="16" spans="1:35" x14ac:dyDescent="0.35">
      <c r="A16" s="202"/>
      <c r="B16" s="3">
        <v>34</v>
      </c>
      <c r="C16" s="3"/>
      <c r="D16" s="3"/>
      <c r="E16" s="49">
        <v>37.53</v>
      </c>
      <c r="F16" s="3">
        <v>0.6</v>
      </c>
      <c r="G16" s="45">
        <v>58.833333333333336</v>
      </c>
      <c r="H16" s="45">
        <v>1.6633333333333342</v>
      </c>
      <c r="I16" s="46">
        <v>66.875</v>
      </c>
      <c r="J16" s="46">
        <v>2.0916666666666677</v>
      </c>
      <c r="K16" s="75">
        <v>84.52</v>
      </c>
      <c r="L16" s="75">
        <v>2.71</v>
      </c>
      <c r="M16" s="142">
        <v>92.908333333333331</v>
      </c>
      <c r="N16" s="142">
        <v>3.4766666666666688</v>
      </c>
      <c r="O16" s="157">
        <f>'Summary of Avgs'!I9</f>
        <v>97.408333333333331</v>
      </c>
      <c r="P16" s="157">
        <f>'Summary of Avgs'!H9</f>
        <v>4.379999999999999</v>
      </c>
      <c r="Q16" s="3"/>
      <c r="R16" s="3"/>
      <c r="S16" s="3">
        <v>120</v>
      </c>
      <c r="T16" s="3">
        <v>120</v>
      </c>
      <c r="U16" s="59">
        <f t="shared" si="0"/>
        <v>1</v>
      </c>
      <c r="V16" s="3">
        <v>120</v>
      </c>
      <c r="W16" s="59">
        <f t="shared" si="2"/>
        <v>1</v>
      </c>
      <c r="X16" s="4">
        <v>120</v>
      </c>
      <c r="Y16" s="62">
        <f t="shared" si="3"/>
        <v>1</v>
      </c>
      <c r="Z16" s="78">
        <v>120</v>
      </c>
      <c r="AA16" s="62">
        <f t="shared" si="1"/>
        <v>1</v>
      </c>
      <c r="AB16" s="145">
        <v>120</v>
      </c>
      <c r="AC16" s="62">
        <f t="shared" si="4"/>
        <v>1</v>
      </c>
      <c r="AD16" s="145">
        <v>120</v>
      </c>
      <c r="AE16" s="62">
        <f t="shared" si="6"/>
        <v>1</v>
      </c>
      <c r="AF16" s="68"/>
      <c r="AG16"/>
      <c r="AH16"/>
      <c r="AI16"/>
    </row>
    <row r="17" spans="1:35" x14ac:dyDescent="0.35">
      <c r="A17" s="202"/>
      <c r="B17" s="3">
        <v>43</v>
      </c>
      <c r="C17" s="3"/>
      <c r="D17" s="3"/>
      <c r="E17" s="49">
        <v>66.81</v>
      </c>
      <c r="F17" s="3">
        <v>1.68</v>
      </c>
      <c r="G17" s="45">
        <v>86.981132075471692</v>
      </c>
      <c r="H17" s="45">
        <v>2.7509433962264151</v>
      </c>
      <c r="I17" s="46">
        <v>91.5</v>
      </c>
      <c r="J17" s="46">
        <v>3.0711538461538463</v>
      </c>
      <c r="K17" s="75">
        <v>107</v>
      </c>
      <c r="L17" s="75">
        <v>2.72</v>
      </c>
      <c r="M17" s="142">
        <v>114.93877551020408</v>
      </c>
      <c r="N17" s="142">
        <v>2.5795918367346928</v>
      </c>
      <c r="O17" s="157">
        <f>'Summary of Avgs'!I10</f>
        <v>121.14285714285714</v>
      </c>
      <c r="P17" s="157">
        <f>'Summary of Avgs'!H10</f>
        <v>3.9857142857142858</v>
      </c>
      <c r="Q17" s="3"/>
      <c r="R17" s="3"/>
      <c r="S17" s="3">
        <v>55</v>
      </c>
      <c r="T17" s="3">
        <v>53</v>
      </c>
      <c r="U17" s="59">
        <f t="shared" si="0"/>
        <v>0.96363636363636362</v>
      </c>
      <c r="V17" s="3">
        <v>52</v>
      </c>
      <c r="W17" s="59">
        <f t="shared" si="2"/>
        <v>0.98113207547169812</v>
      </c>
      <c r="X17" s="4">
        <v>52</v>
      </c>
      <c r="Y17" s="62">
        <f t="shared" si="3"/>
        <v>1</v>
      </c>
      <c r="Z17" s="78">
        <v>50</v>
      </c>
      <c r="AA17" s="62">
        <f t="shared" si="1"/>
        <v>0.96153846153846156</v>
      </c>
      <c r="AB17" s="145">
        <v>49</v>
      </c>
      <c r="AC17" s="62">
        <f t="shared" si="4"/>
        <v>0.98</v>
      </c>
      <c r="AD17" s="145">
        <v>49</v>
      </c>
      <c r="AE17" s="62">
        <f t="shared" si="6"/>
        <v>1</v>
      </c>
      <c r="AF17" s="69"/>
      <c r="AG17"/>
      <c r="AH17"/>
      <c r="AI17"/>
    </row>
    <row r="18" spans="1:35" x14ac:dyDescent="0.35">
      <c r="A18" s="202"/>
      <c r="B18" s="3">
        <v>48</v>
      </c>
      <c r="C18" s="3"/>
      <c r="D18" s="3"/>
      <c r="E18" s="49">
        <v>70.650000000000006</v>
      </c>
      <c r="F18" s="3">
        <v>1.7</v>
      </c>
      <c r="G18" s="45">
        <v>95.439024390243901</v>
      </c>
      <c r="H18" s="45">
        <v>3.4390243902439019</v>
      </c>
      <c r="I18" s="46">
        <v>102.54320987654322</v>
      </c>
      <c r="J18" s="46">
        <v>3.5888888888888881</v>
      </c>
      <c r="K18" s="75">
        <v>117.81</v>
      </c>
      <c r="L18" s="75">
        <v>3.22</v>
      </c>
      <c r="M18" s="142">
        <v>124.67924528301887</v>
      </c>
      <c r="N18" s="142">
        <v>3.1905660377358491</v>
      </c>
      <c r="O18" s="157">
        <f>'Summary of Avgs'!I11</f>
        <v>138.30864197530863</v>
      </c>
      <c r="P18" s="157">
        <f>'Summary of Avgs'!H11</f>
        <v>4.5432098765432114</v>
      </c>
      <c r="Q18" s="3"/>
      <c r="R18" s="3"/>
      <c r="S18" s="3">
        <v>85</v>
      </c>
      <c r="T18" s="3">
        <v>83</v>
      </c>
      <c r="U18" s="59">
        <f t="shared" si="0"/>
        <v>0.97647058823529409</v>
      </c>
      <c r="V18" s="3">
        <v>82</v>
      </c>
      <c r="W18" s="59">
        <f t="shared" si="2"/>
        <v>0.98795180722891562</v>
      </c>
      <c r="X18" s="4">
        <v>81</v>
      </c>
      <c r="Y18" s="62">
        <f t="shared" si="3"/>
        <v>0.98780487804878048</v>
      </c>
      <c r="Z18" s="78">
        <v>81</v>
      </c>
      <c r="AA18" s="62">
        <f t="shared" si="1"/>
        <v>1</v>
      </c>
      <c r="AB18" s="145">
        <v>81</v>
      </c>
      <c r="AC18" s="62">
        <f t="shared" si="4"/>
        <v>1</v>
      </c>
      <c r="AD18" s="145">
        <v>81</v>
      </c>
      <c r="AE18" s="62">
        <f t="shared" si="6"/>
        <v>1</v>
      </c>
      <c r="AF18" s="68"/>
      <c r="AG18"/>
      <c r="AH18"/>
      <c r="AI18"/>
    </row>
    <row r="19" spans="1:35" x14ac:dyDescent="0.35">
      <c r="A19" s="202"/>
      <c r="B19" s="3">
        <v>73</v>
      </c>
      <c r="C19" s="3"/>
      <c r="D19" s="3"/>
      <c r="E19" s="49">
        <v>82.35</v>
      </c>
      <c r="F19" s="3">
        <v>2.1</v>
      </c>
      <c r="G19" s="45">
        <v>107.05882352941177</v>
      </c>
      <c r="H19" s="45">
        <v>3.6102941176470589</v>
      </c>
      <c r="I19" s="46">
        <v>118.89393939393939</v>
      </c>
      <c r="J19" s="46">
        <v>2.6030303030303039</v>
      </c>
      <c r="K19" s="75">
        <v>137.21</v>
      </c>
      <c r="L19" s="75">
        <v>2.58</v>
      </c>
      <c r="M19" s="142">
        <v>150.5151515151515</v>
      </c>
      <c r="N19" s="142">
        <v>2.5878787878787874</v>
      </c>
      <c r="O19" s="157">
        <f>'Summary of Avgs'!I12</f>
        <v>161.90909090909091</v>
      </c>
      <c r="P19" s="157">
        <f>'Summary of Avgs'!H12</f>
        <v>4.3803030303030317</v>
      </c>
      <c r="Q19" s="3"/>
      <c r="R19" s="3"/>
      <c r="S19" s="3">
        <v>85</v>
      </c>
      <c r="T19" s="3">
        <v>68</v>
      </c>
      <c r="U19" s="59">
        <f t="shared" si="0"/>
        <v>0.8</v>
      </c>
      <c r="V19" s="3">
        <v>68</v>
      </c>
      <c r="W19" s="59">
        <f t="shared" si="2"/>
        <v>1</v>
      </c>
      <c r="X19" s="4">
        <v>66</v>
      </c>
      <c r="Y19" s="62">
        <f t="shared" si="3"/>
        <v>0.97058823529411764</v>
      </c>
      <c r="Z19" s="78">
        <v>66</v>
      </c>
      <c r="AA19" s="62">
        <f t="shared" si="1"/>
        <v>1</v>
      </c>
      <c r="AB19" s="145">
        <v>66</v>
      </c>
      <c r="AC19" s="62">
        <f t="shared" si="4"/>
        <v>1</v>
      </c>
      <c r="AD19" s="145">
        <v>66</v>
      </c>
      <c r="AE19" s="62">
        <f t="shared" si="6"/>
        <v>1</v>
      </c>
      <c r="AF19" s="68"/>
      <c r="AG19"/>
      <c r="AH19"/>
      <c r="AI19"/>
    </row>
    <row r="20" spans="1:35" x14ac:dyDescent="0.35">
      <c r="A20" s="203">
        <v>2017</v>
      </c>
      <c r="B20" s="37">
        <v>6</v>
      </c>
      <c r="C20" s="50">
        <v>56.4</v>
      </c>
      <c r="D20" s="37">
        <v>0.47</v>
      </c>
      <c r="E20" s="45">
        <v>74</v>
      </c>
      <c r="F20" s="45">
        <v>0.93414634146341458</v>
      </c>
      <c r="G20" s="46">
        <v>79.589743589743591</v>
      </c>
      <c r="H20" s="46">
        <v>1.4230769230769229</v>
      </c>
      <c r="I20" s="79">
        <v>96</v>
      </c>
      <c r="J20" s="79">
        <v>1.7435897435897441</v>
      </c>
      <c r="K20" s="142">
        <v>119.87179487179488</v>
      </c>
      <c r="L20" s="142">
        <v>2.1923076923076921</v>
      </c>
      <c r="M20" s="156">
        <f>'Summary of Avgs'!N5</f>
        <v>152.28205128205127</v>
      </c>
      <c r="N20" s="156">
        <f>'Summary of Avgs'!M5</f>
        <v>2.4846153846153851</v>
      </c>
      <c r="O20" s="37"/>
      <c r="P20" s="37"/>
      <c r="Q20" s="37"/>
      <c r="R20" s="37"/>
      <c r="S20" s="37">
        <v>50</v>
      </c>
      <c r="T20" s="37">
        <v>50</v>
      </c>
      <c r="U20" s="60">
        <f t="shared" si="0"/>
        <v>1</v>
      </c>
      <c r="V20" s="37">
        <v>41</v>
      </c>
      <c r="W20" s="60">
        <f t="shared" si="2"/>
        <v>0.82</v>
      </c>
      <c r="X20" s="37">
        <v>39</v>
      </c>
      <c r="Y20" s="60">
        <f t="shared" si="3"/>
        <v>0.95121951219512191</v>
      </c>
      <c r="Z20" s="80">
        <v>39</v>
      </c>
      <c r="AA20" s="60">
        <f t="shared" si="1"/>
        <v>1</v>
      </c>
      <c r="AB20" s="146">
        <v>39</v>
      </c>
      <c r="AC20" s="60">
        <f t="shared" si="4"/>
        <v>1</v>
      </c>
      <c r="AD20" s="146" cm="1">
        <f t="array" ref="AD20:AD27">'Summary of Avgs'!O5:O12</f>
        <v>39</v>
      </c>
      <c r="AE20" s="60">
        <f>AD20/AB20</f>
        <v>1</v>
      </c>
      <c r="AF20" s="69"/>
      <c r="AG20" s="93"/>
      <c r="AH20"/>
      <c r="AI20"/>
    </row>
    <row r="21" spans="1:35" x14ac:dyDescent="0.35">
      <c r="A21" s="203"/>
      <c r="B21" s="37">
        <v>19</v>
      </c>
      <c r="C21" s="50">
        <v>50.75</v>
      </c>
      <c r="D21" s="37">
        <v>0.44</v>
      </c>
      <c r="E21" s="45">
        <v>68.204545454545453</v>
      </c>
      <c r="F21" s="45">
        <v>0.97045454545454535</v>
      </c>
      <c r="G21" s="46">
        <v>76.714285714285708</v>
      </c>
      <c r="H21" s="46">
        <v>1.3261904761904759</v>
      </c>
      <c r="I21" s="79">
        <v>95.285714285714292</v>
      </c>
      <c r="J21" s="79">
        <v>2.0166666666666671</v>
      </c>
      <c r="K21" s="142">
        <v>116.04878048780488</v>
      </c>
      <c r="L21" s="142">
        <v>2.5121951219512191</v>
      </c>
      <c r="M21" s="156">
        <f>'Summary of Avgs'!N6</f>
        <v>146.34146341463415</v>
      </c>
      <c r="N21" s="156">
        <f>'Summary of Avgs'!M6</f>
        <v>2.8609756097560974</v>
      </c>
      <c r="O21" s="37"/>
      <c r="P21" s="37"/>
      <c r="Q21" s="37"/>
      <c r="R21" s="37"/>
      <c r="S21" s="37">
        <v>50</v>
      </c>
      <c r="T21" s="37">
        <v>49</v>
      </c>
      <c r="U21" s="60">
        <f t="shared" si="0"/>
        <v>0.98</v>
      </c>
      <c r="V21" s="37">
        <v>44</v>
      </c>
      <c r="W21" s="60">
        <f t="shared" si="2"/>
        <v>0.89795918367346939</v>
      </c>
      <c r="X21" s="37">
        <v>42</v>
      </c>
      <c r="Y21" s="60">
        <f t="shared" si="3"/>
        <v>0.95454545454545459</v>
      </c>
      <c r="Z21" s="80">
        <v>42</v>
      </c>
      <c r="AA21" s="60">
        <f t="shared" si="1"/>
        <v>1</v>
      </c>
      <c r="AB21" s="146">
        <v>41</v>
      </c>
      <c r="AC21" s="60">
        <f t="shared" si="4"/>
        <v>0.97619047619047616</v>
      </c>
      <c r="AD21" s="146">
        <v>41</v>
      </c>
      <c r="AE21" s="60">
        <f t="shared" ref="AE21:AE27" si="7">AD21/AB21</f>
        <v>1</v>
      </c>
      <c r="AF21" s="69"/>
      <c r="AG21" s="93"/>
      <c r="AH21"/>
      <c r="AI21"/>
    </row>
    <row r="22" spans="1:35" x14ac:dyDescent="0.35">
      <c r="A22" s="203"/>
      <c r="B22" s="37">
        <v>26</v>
      </c>
      <c r="C22" s="50">
        <v>53.74</v>
      </c>
      <c r="D22" s="37">
        <v>0.61</v>
      </c>
      <c r="E22" s="45">
        <v>75.551020408163268</v>
      </c>
      <c r="F22" s="45">
        <v>1.1346938775510209</v>
      </c>
      <c r="G22" s="46">
        <v>84.744680851063833</v>
      </c>
      <c r="H22" s="46">
        <v>1.5829787234042549</v>
      </c>
      <c r="I22" s="79">
        <v>95.944444444444443</v>
      </c>
      <c r="J22" s="79">
        <v>1.8361111111111112</v>
      </c>
      <c r="K22" s="142">
        <v>111.37931034482759</v>
      </c>
      <c r="L22" s="142">
        <v>2.3862068965517236</v>
      </c>
      <c r="M22" s="156">
        <f>'Summary of Avgs'!N7</f>
        <v>144.68965517241378</v>
      </c>
      <c r="N22" s="156">
        <f>'Summary of Avgs'!M7</f>
        <v>2.306896551724138</v>
      </c>
      <c r="O22" s="37"/>
      <c r="P22" s="37"/>
      <c r="Q22" s="37"/>
      <c r="R22" s="37"/>
      <c r="S22" s="37">
        <v>50</v>
      </c>
      <c r="T22" s="37">
        <v>50</v>
      </c>
      <c r="U22" s="60">
        <f t="shared" si="0"/>
        <v>1</v>
      </c>
      <c r="V22" s="37">
        <v>49</v>
      </c>
      <c r="W22" s="60">
        <f t="shared" si="2"/>
        <v>0.98</v>
      </c>
      <c r="X22" s="37">
        <v>47</v>
      </c>
      <c r="Y22" s="60">
        <f t="shared" si="3"/>
        <v>0.95918367346938771</v>
      </c>
      <c r="Z22" s="80">
        <v>36</v>
      </c>
      <c r="AA22" s="60">
        <f t="shared" si="1"/>
        <v>0.76595744680851063</v>
      </c>
      <c r="AB22" s="146">
        <v>29</v>
      </c>
      <c r="AC22" s="60">
        <f t="shared" si="4"/>
        <v>0.80555555555555558</v>
      </c>
      <c r="AD22" s="146">
        <v>29</v>
      </c>
      <c r="AE22" s="60">
        <f t="shared" si="7"/>
        <v>1</v>
      </c>
      <c r="AF22" s="68"/>
      <c r="AG22" s="93"/>
      <c r="AH22"/>
      <c r="AI22"/>
    </row>
    <row r="23" spans="1:35" x14ac:dyDescent="0.35">
      <c r="A23" s="203"/>
      <c r="B23" s="37">
        <v>62</v>
      </c>
      <c r="C23" s="50">
        <v>58.5</v>
      </c>
      <c r="D23" s="37">
        <v>0.71</v>
      </c>
      <c r="E23" s="45">
        <v>77.69047619047619</v>
      </c>
      <c r="F23" s="45">
        <v>1.5023809523809519</v>
      </c>
      <c r="G23" s="46">
        <v>86.292682926829272</v>
      </c>
      <c r="H23" s="46">
        <v>2.0975609756097562</v>
      </c>
      <c r="I23" s="79">
        <v>104.55</v>
      </c>
      <c r="J23" s="79">
        <v>2.5825</v>
      </c>
      <c r="K23" s="142">
        <v>123.75</v>
      </c>
      <c r="L23" s="142">
        <v>3.2349999999999994</v>
      </c>
      <c r="M23" s="156">
        <f>'Summary of Avgs'!N8</f>
        <v>145.15</v>
      </c>
      <c r="N23" s="156">
        <f>'Summary of Avgs'!M8</f>
        <v>3.7749999999999999</v>
      </c>
      <c r="O23" s="37"/>
      <c r="P23" s="37"/>
      <c r="Q23" s="37"/>
      <c r="R23" s="37"/>
      <c r="S23" s="37">
        <v>50</v>
      </c>
      <c r="T23" s="37">
        <v>50</v>
      </c>
      <c r="U23" s="60">
        <f t="shared" si="0"/>
        <v>1</v>
      </c>
      <c r="V23" s="37">
        <v>42</v>
      </c>
      <c r="W23" s="60">
        <f t="shared" si="2"/>
        <v>0.84</v>
      </c>
      <c r="X23" s="37">
        <v>41</v>
      </c>
      <c r="Y23" s="60">
        <f t="shared" si="3"/>
        <v>0.97619047619047616</v>
      </c>
      <c r="Z23" s="80">
        <v>40</v>
      </c>
      <c r="AA23" s="60">
        <f t="shared" si="1"/>
        <v>0.97560975609756095</v>
      </c>
      <c r="AB23" s="146">
        <v>40</v>
      </c>
      <c r="AC23" s="60">
        <f t="shared" si="4"/>
        <v>1</v>
      </c>
      <c r="AD23" s="146">
        <v>40</v>
      </c>
      <c r="AE23" s="60">
        <f t="shared" si="7"/>
        <v>1</v>
      </c>
      <c r="AF23" s="69"/>
      <c r="AG23" s="93"/>
      <c r="AH23"/>
      <c r="AI23"/>
    </row>
    <row r="24" spans="1:35" x14ac:dyDescent="0.35">
      <c r="A24" s="203"/>
      <c r="B24" s="37">
        <v>68</v>
      </c>
      <c r="C24" s="50">
        <v>51.26</v>
      </c>
      <c r="D24" s="37">
        <v>0.66</v>
      </c>
      <c r="E24" s="45">
        <v>66.361702127659569</v>
      </c>
      <c r="F24" s="45">
        <v>1.2702127659574469</v>
      </c>
      <c r="G24" s="46">
        <v>72.155555555555551</v>
      </c>
      <c r="H24" s="46">
        <v>1.4244444444444448</v>
      </c>
      <c r="I24" s="79">
        <v>80.930232558139537</v>
      </c>
      <c r="J24" s="79">
        <v>2.1465116279069765</v>
      </c>
      <c r="K24" s="142">
        <v>86.581395348837205</v>
      </c>
      <c r="L24" s="142">
        <v>2.3232558139534887</v>
      </c>
      <c r="M24" s="156">
        <f>'Summary of Avgs'!N9</f>
        <v>106.04651162790698</v>
      </c>
      <c r="N24" s="156">
        <f>'Summary of Avgs'!M9</f>
        <v>2.4</v>
      </c>
      <c r="O24" s="37"/>
      <c r="P24" s="37"/>
      <c r="Q24" s="37"/>
      <c r="R24" s="37"/>
      <c r="S24" s="37">
        <v>50</v>
      </c>
      <c r="T24" s="37">
        <v>50</v>
      </c>
      <c r="U24" s="60">
        <f t="shared" si="0"/>
        <v>1</v>
      </c>
      <c r="V24" s="37">
        <v>47</v>
      </c>
      <c r="W24" s="60">
        <f t="shared" si="2"/>
        <v>0.94</v>
      </c>
      <c r="X24" s="37">
        <v>45</v>
      </c>
      <c r="Y24" s="60">
        <f t="shared" si="3"/>
        <v>0.95744680851063835</v>
      </c>
      <c r="Z24" s="80">
        <v>43</v>
      </c>
      <c r="AA24" s="60">
        <f t="shared" si="1"/>
        <v>0.9555555555555556</v>
      </c>
      <c r="AB24" s="146">
        <v>43</v>
      </c>
      <c r="AC24" s="60">
        <f t="shared" si="4"/>
        <v>1</v>
      </c>
      <c r="AD24" s="146">
        <v>43</v>
      </c>
      <c r="AE24" s="60">
        <f t="shared" si="7"/>
        <v>1</v>
      </c>
      <c r="AF24" s="69"/>
      <c r="AG24" s="93"/>
      <c r="AH24"/>
      <c r="AI24"/>
    </row>
    <row r="25" spans="1:35" x14ac:dyDescent="0.35">
      <c r="A25" s="203"/>
      <c r="B25" s="37">
        <v>77</v>
      </c>
      <c r="C25" s="50">
        <v>59.5</v>
      </c>
      <c r="D25" s="37">
        <v>0.57999999999999996</v>
      </c>
      <c r="E25" s="45">
        <v>76.94736842105263</v>
      </c>
      <c r="F25" s="45">
        <v>0.95526315789473659</v>
      </c>
      <c r="G25" s="46">
        <v>80.384615384615387</v>
      </c>
      <c r="H25" s="46">
        <v>1.334615384615385</v>
      </c>
      <c r="I25" s="79">
        <v>92.727272727272734</v>
      </c>
      <c r="J25" s="79">
        <v>2.0727272727272723</v>
      </c>
      <c r="K25" s="142">
        <v>110.26315789473684</v>
      </c>
      <c r="L25" s="142">
        <v>2.3473684210526313</v>
      </c>
      <c r="M25" s="156">
        <f>'Summary of Avgs'!N10</f>
        <v>150.73684210526315</v>
      </c>
      <c r="N25" s="156">
        <f>'Summary of Avgs'!M10</f>
        <v>2.5263157894736836</v>
      </c>
      <c r="O25" s="37"/>
      <c r="P25" s="37"/>
      <c r="Q25" s="37"/>
      <c r="R25" s="37"/>
      <c r="S25" s="37">
        <v>50</v>
      </c>
      <c r="T25" s="37">
        <v>50</v>
      </c>
      <c r="U25" s="60">
        <f t="shared" si="0"/>
        <v>1</v>
      </c>
      <c r="V25" s="37">
        <v>38</v>
      </c>
      <c r="W25" s="60">
        <f t="shared" si="2"/>
        <v>0.76</v>
      </c>
      <c r="X25" s="37">
        <v>26</v>
      </c>
      <c r="Y25" s="60">
        <f t="shared" si="3"/>
        <v>0.68421052631578949</v>
      </c>
      <c r="Z25" s="80">
        <v>22</v>
      </c>
      <c r="AA25" s="60">
        <f t="shared" si="1"/>
        <v>0.84615384615384615</v>
      </c>
      <c r="AB25" s="146">
        <v>19</v>
      </c>
      <c r="AC25" s="60">
        <f t="shared" si="4"/>
        <v>0.86363636363636365</v>
      </c>
      <c r="AD25" s="146">
        <v>19</v>
      </c>
      <c r="AE25" s="60">
        <f t="shared" si="7"/>
        <v>1</v>
      </c>
      <c r="AF25" s="69"/>
      <c r="AG25" s="93"/>
      <c r="AH25"/>
      <c r="AI25"/>
    </row>
    <row r="26" spans="1:35" x14ac:dyDescent="0.35">
      <c r="A26" s="203"/>
      <c r="B26" s="37">
        <v>100</v>
      </c>
      <c r="C26" s="50">
        <v>66.23</v>
      </c>
      <c r="D26" s="37">
        <v>0.74</v>
      </c>
      <c r="E26" s="45">
        <v>83.833333333333329</v>
      </c>
      <c r="F26" s="45">
        <v>1.6979166666666663</v>
      </c>
      <c r="G26" s="46">
        <v>94.979166666666671</v>
      </c>
      <c r="H26" s="46">
        <v>1.7999999999999998</v>
      </c>
      <c r="I26" s="79">
        <v>125.51063829787235</v>
      </c>
      <c r="J26" s="79">
        <v>2.0744680851063837</v>
      </c>
      <c r="K26" s="142">
        <v>154.05128205128204</v>
      </c>
      <c r="L26" s="142">
        <v>2.7717948717948722</v>
      </c>
      <c r="M26" s="156">
        <f>'Summary of Avgs'!N11</f>
        <v>208.97297297297297</v>
      </c>
      <c r="N26" s="156">
        <f>'Summary of Avgs'!M11</f>
        <v>2.8135135135135139</v>
      </c>
      <c r="O26" s="37"/>
      <c r="P26" s="37"/>
      <c r="Q26" s="37"/>
      <c r="R26" s="37"/>
      <c r="S26" s="37">
        <v>50</v>
      </c>
      <c r="T26" s="37">
        <v>50</v>
      </c>
      <c r="U26" s="60">
        <f t="shared" si="0"/>
        <v>1</v>
      </c>
      <c r="V26" s="37">
        <v>48</v>
      </c>
      <c r="W26" s="60">
        <f t="shared" si="2"/>
        <v>0.96</v>
      </c>
      <c r="X26" s="37">
        <v>48</v>
      </c>
      <c r="Y26" s="60">
        <f t="shared" si="3"/>
        <v>1</v>
      </c>
      <c r="Z26" s="80">
        <v>47</v>
      </c>
      <c r="AA26" s="60">
        <f t="shared" si="1"/>
        <v>0.97916666666666663</v>
      </c>
      <c r="AB26" s="146">
        <v>39</v>
      </c>
      <c r="AC26" s="60">
        <f t="shared" si="4"/>
        <v>0.82978723404255317</v>
      </c>
      <c r="AD26" s="146">
        <v>37</v>
      </c>
      <c r="AE26" s="60">
        <f t="shared" si="7"/>
        <v>0.94871794871794868</v>
      </c>
      <c r="AF26" s="68"/>
      <c r="AG26" s="93"/>
      <c r="AH26"/>
      <c r="AI26"/>
    </row>
    <row r="27" spans="1:35" x14ac:dyDescent="0.35">
      <c r="A27" s="203"/>
      <c r="B27" s="37">
        <v>106</v>
      </c>
      <c r="C27" s="50">
        <v>69.23</v>
      </c>
      <c r="D27" s="37">
        <v>0.64</v>
      </c>
      <c r="E27" s="45">
        <v>88.054054054054049</v>
      </c>
      <c r="F27" s="45">
        <v>0.90810810810810794</v>
      </c>
      <c r="G27" s="46">
        <v>96.666666666666671</v>
      </c>
      <c r="H27" s="46">
        <v>1.57</v>
      </c>
      <c r="I27" s="79">
        <v>112.05882352941177</v>
      </c>
      <c r="J27" s="79">
        <v>2.2352941176470593</v>
      </c>
      <c r="K27" s="142">
        <v>136.6</v>
      </c>
      <c r="L27" s="142">
        <v>2.8133333333333335</v>
      </c>
      <c r="M27" s="156">
        <f>'Summary of Avgs'!N12</f>
        <v>193.92857142857142</v>
      </c>
      <c r="N27" s="156">
        <f>'Summary of Avgs'!M12</f>
        <v>2.7</v>
      </c>
      <c r="O27" s="37"/>
      <c r="P27" s="37"/>
      <c r="Q27" s="37"/>
      <c r="R27" s="37"/>
      <c r="S27" s="37">
        <v>50</v>
      </c>
      <c r="T27" s="37">
        <v>39</v>
      </c>
      <c r="U27" s="60">
        <f t="shared" si="0"/>
        <v>0.78</v>
      </c>
      <c r="V27" s="37">
        <v>37</v>
      </c>
      <c r="W27" s="60">
        <f t="shared" si="2"/>
        <v>0.94871794871794868</v>
      </c>
      <c r="X27" s="37">
        <v>30</v>
      </c>
      <c r="Y27" s="60">
        <f t="shared" si="3"/>
        <v>0.81081081081081086</v>
      </c>
      <c r="Z27" s="80">
        <v>17</v>
      </c>
      <c r="AA27" s="60">
        <f t="shared" si="1"/>
        <v>0.56666666666666665</v>
      </c>
      <c r="AB27" s="146">
        <v>15</v>
      </c>
      <c r="AC27" s="60">
        <f t="shared" si="4"/>
        <v>0.88235294117647056</v>
      </c>
      <c r="AD27" s="146">
        <v>14</v>
      </c>
      <c r="AE27" s="60">
        <f t="shared" si="7"/>
        <v>0.93333333333333335</v>
      </c>
      <c r="AF27" s="68"/>
      <c r="AG27" s="93"/>
      <c r="AH27"/>
      <c r="AI27"/>
    </row>
    <row r="28" spans="1:35" x14ac:dyDescent="0.35">
      <c r="A28" s="2" t="s">
        <v>14</v>
      </c>
      <c r="C28" s="43"/>
      <c r="D28" s="43"/>
      <c r="E28" s="43"/>
      <c r="F28" s="43"/>
      <c r="G28" s="43"/>
      <c r="H28" s="43"/>
      <c r="I28" s="107"/>
      <c r="J28" s="107"/>
      <c r="K28" s="107"/>
      <c r="L28" s="107"/>
      <c r="M28" s="107">
        <f>AVERAGE(M20:M27)</f>
        <v>156.01850850047671</v>
      </c>
      <c r="N28" s="107">
        <f>AVERAGE(N20:N27)</f>
        <v>2.7334146061353524</v>
      </c>
      <c r="O28" s="107">
        <f>AVERAGE(O13:O19)</f>
        <v>135.95471548308166</v>
      </c>
      <c r="P28" s="107">
        <f>AVERAGE(P13:P19)</f>
        <v>3.8681644184435653</v>
      </c>
      <c r="Q28" s="43">
        <f>AVERAGE(Q5:Q12)</f>
        <v>205.05223958882732</v>
      </c>
      <c r="R28" s="43">
        <f>AVERAGE(R5:R12)</f>
        <v>3.612574795702554</v>
      </c>
      <c r="S28" s="43"/>
      <c r="T28" s="43"/>
      <c r="U28" s="65">
        <f>AVERAGE(U5:U27)</f>
        <v>0.89765844556125896</v>
      </c>
      <c r="V28" s="43"/>
      <c r="W28" s="64">
        <f>AVERAGE(W5:W27)</f>
        <v>0.94792587738486989</v>
      </c>
      <c r="X28" s="42"/>
      <c r="Y28" s="64">
        <f>AVERAGE(Y5:Y27)</f>
        <v>0.96072933691552798</v>
      </c>
      <c r="Z28" s="64"/>
      <c r="AA28" s="64">
        <f>AVERAGE(AA5:AA27)</f>
        <v>0.95575941657849794</v>
      </c>
      <c r="AB28" s="64"/>
      <c r="AC28" s="153">
        <f>AVERAGE(AC5:AC27)</f>
        <v>0.9699029831714604</v>
      </c>
      <c r="AD28" s="153"/>
      <c r="AE28" s="171">
        <f>AVERAGE(AE5:AE27)</f>
        <v>0.99340117721237797</v>
      </c>
      <c r="AG28" s="92"/>
      <c r="AH28" s="93"/>
      <c r="AI28"/>
    </row>
    <row r="29" spans="1:35" x14ac:dyDescent="0.35">
      <c r="A29" s="204">
        <v>2018</v>
      </c>
      <c r="B29" s="38">
        <v>1</v>
      </c>
      <c r="C29" s="51">
        <v>107.44736842105263</v>
      </c>
      <c r="D29" s="52">
        <v>0.82368421052631557</v>
      </c>
      <c r="E29" s="46">
        <v>122.40579710144928</v>
      </c>
      <c r="F29" s="46">
        <v>1.4391304347826084</v>
      </c>
      <c r="G29" s="79">
        <v>150.75362318840581</v>
      </c>
      <c r="H29" s="79">
        <v>3.0782608695652174</v>
      </c>
      <c r="I29" s="143">
        <v>187.85507246376812</v>
      </c>
      <c r="J29" s="143">
        <v>3.2985507246376806</v>
      </c>
      <c r="K29" s="156">
        <f>'Summary of Avgs'!D20</f>
        <v>258.47058823529414</v>
      </c>
      <c r="L29" s="156">
        <f>'Summary of Avgs'!C20</f>
        <v>3.2117647058823535</v>
      </c>
      <c r="M29" s="155"/>
      <c r="N29" s="53"/>
      <c r="O29" s="53"/>
      <c r="P29" s="53"/>
      <c r="Q29" s="53"/>
      <c r="R29" s="53"/>
      <c r="S29" s="9">
        <v>100</v>
      </c>
      <c r="T29" s="53"/>
      <c r="U29" s="53"/>
      <c r="V29" s="9">
        <f>S29-24</f>
        <v>76</v>
      </c>
      <c r="W29" s="63">
        <f t="shared" ref="W29:W41" si="8">V29/S29</f>
        <v>0.76</v>
      </c>
      <c r="X29" s="53">
        <v>69</v>
      </c>
      <c r="Y29" s="63">
        <f>X29/V29</f>
        <v>0.90789473684210531</v>
      </c>
      <c r="Z29" s="81">
        <v>69</v>
      </c>
      <c r="AA29" s="84">
        <f t="shared" ref="AA29:AA41" si="9">Z29/X29</f>
        <v>1</v>
      </c>
      <c r="AB29" s="147">
        <v>69</v>
      </c>
      <c r="AC29" s="152">
        <f t="shared" si="4"/>
        <v>1</v>
      </c>
      <c r="AD29" s="158">
        <f>'Summary of Avgs'!E20</f>
        <v>68</v>
      </c>
      <c r="AE29" s="152">
        <f>AD29/AB29</f>
        <v>0.98550724637681164</v>
      </c>
      <c r="AG29"/>
      <c r="AH29"/>
      <c r="AI29"/>
    </row>
    <row r="30" spans="1:35" x14ac:dyDescent="0.35">
      <c r="A30" s="204"/>
      <c r="B30" s="38">
        <v>2</v>
      </c>
      <c r="C30" s="51">
        <v>102.81159420289855</v>
      </c>
      <c r="D30" s="52">
        <v>0.81304347826086931</v>
      </c>
      <c r="E30" s="46">
        <v>112.51470588235294</v>
      </c>
      <c r="F30" s="46">
        <v>1.7220588235294114</v>
      </c>
      <c r="G30" s="79">
        <v>142.45588235294119</v>
      </c>
      <c r="H30" s="79">
        <v>2.4000000000000004</v>
      </c>
      <c r="I30" s="142">
        <v>205.20588235294119</v>
      </c>
      <c r="J30" s="142">
        <v>3.1058823529411761</v>
      </c>
      <c r="K30" s="156">
        <f>'Summary of Avgs'!D21</f>
        <v>319.16176470588238</v>
      </c>
      <c r="L30" s="156">
        <f>'Summary of Avgs'!C21</f>
        <v>3.4661764705882345</v>
      </c>
      <c r="M30" s="9"/>
      <c r="N30" s="9"/>
      <c r="O30" s="9"/>
      <c r="P30" s="9"/>
      <c r="Q30" s="9"/>
      <c r="R30" s="9"/>
      <c r="S30" s="9">
        <v>100</v>
      </c>
      <c r="T30" s="53"/>
      <c r="U30" s="53"/>
      <c r="V30" s="9">
        <v>69</v>
      </c>
      <c r="W30" s="63">
        <f t="shared" si="8"/>
        <v>0.69</v>
      </c>
      <c r="X30" s="53">
        <v>68</v>
      </c>
      <c r="Y30" s="63">
        <f>X30/V30</f>
        <v>0.98550724637681164</v>
      </c>
      <c r="Z30" s="81">
        <v>68</v>
      </c>
      <c r="AA30" s="84">
        <f t="shared" si="9"/>
        <v>1</v>
      </c>
      <c r="AB30" s="147">
        <v>68</v>
      </c>
      <c r="AC30" s="152">
        <f t="shared" si="4"/>
        <v>1</v>
      </c>
      <c r="AD30" s="158">
        <f>'Summary of Avgs'!E21</f>
        <v>68</v>
      </c>
      <c r="AE30" s="152">
        <f t="shared" ref="AE30:AE41" si="10">AD30/AB30</f>
        <v>1</v>
      </c>
      <c r="AG30"/>
      <c r="AH30"/>
      <c r="AI30"/>
    </row>
    <row r="31" spans="1:35" x14ac:dyDescent="0.35">
      <c r="A31" s="204"/>
      <c r="B31" s="38">
        <v>3</v>
      </c>
      <c r="C31" s="51">
        <v>78.294117647058826</v>
      </c>
      <c r="D31" s="52">
        <v>0.79019607843137252</v>
      </c>
      <c r="E31" s="46">
        <v>84.844444444444449</v>
      </c>
      <c r="F31" s="46">
        <v>1.602222222222222</v>
      </c>
      <c r="G31" s="79">
        <v>96</v>
      </c>
      <c r="H31" s="79">
        <v>2.3622222222222229</v>
      </c>
      <c r="I31" s="142">
        <v>109.20930232558139</v>
      </c>
      <c r="J31" s="142">
        <v>2.5720930232558143</v>
      </c>
      <c r="K31" s="156">
        <f>'Summary of Avgs'!D22</f>
        <v>141.95348837209303</v>
      </c>
      <c r="L31" s="156">
        <f>'Summary of Avgs'!C22</f>
        <v>3.5720930232558143</v>
      </c>
      <c r="M31" s="9"/>
      <c r="N31" s="9"/>
      <c r="O31" s="9"/>
      <c r="P31" s="9"/>
      <c r="Q31" s="9"/>
      <c r="R31" s="9"/>
      <c r="S31" s="9">
        <v>96</v>
      </c>
      <c r="T31" s="53"/>
      <c r="U31" s="53"/>
      <c r="V31" s="9">
        <v>51</v>
      </c>
      <c r="W31" s="63">
        <f t="shared" si="8"/>
        <v>0.53125</v>
      </c>
      <c r="X31" s="53">
        <v>45</v>
      </c>
      <c r="Y31" s="63">
        <f t="shared" ref="Y31:Y41" si="11">X31/V31</f>
        <v>0.88235294117647056</v>
      </c>
      <c r="Z31" s="81">
        <v>45</v>
      </c>
      <c r="AA31" s="84">
        <f t="shared" si="9"/>
        <v>1</v>
      </c>
      <c r="AB31" s="147">
        <v>43</v>
      </c>
      <c r="AC31" s="152">
        <f t="shared" si="4"/>
        <v>0.9555555555555556</v>
      </c>
      <c r="AD31" s="158">
        <f>'Summary of Avgs'!E22</f>
        <v>43</v>
      </c>
      <c r="AE31" s="152">
        <f t="shared" si="10"/>
        <v>1</v>
      </c>
      <c r="AF31" s="66"/>
      <c r="AG31"/>
      <c r="AH31"/>
      <c r="AI31"/>
    </row>
    <row r="32" spans="1:35" x14ac:dyDescent="0.35">
      <c r="A32" s="204"/>
      <c r="B32" s="38">
        <v>5</v>
      </c>
      <c r="C32" s="51">
        <v>64.096385542168676</v>
      </c>
      <c r="D32" s="52">
        <v>0.52771084337349417</v>
      </c>
      <c r="E32" s="46">
        <v>76.064102564102569</v>
      </c>
      <c r="F32" s="46">
        <v>1.6320512820512818</v>
      </c>
      <c r="G32" s="79">
        <v>102.80769230769231</v>
      </c>
      <c r="H32" s="79">
        <v>3.1743589743589737</v>
      </c>
      <c r="I32" s="142">
        <v>122.18918918918919</v>
      </c>
      <c r="J32" s="142">
        <v>2.6472972972972979</v>
      </c>
      <c r="K32" s="156">
        <f>'Summary of Avgs'!D23</f>
        <v>143.79729729729729</v>
      </c>
      <c r="L32" s="156">
        <f>'Summary of Avgs'!C23</f>
        <v>4.3148648648648651</v>
      </c>
      <c r="M32" s="9"/>
      <c r="N32" s="9"/>
      <c r="O32" s="9"/>
      <c r="P32" s="9"/>
      <c r="Q32" s="9"/>
      <c r="R32" s="9"/>
      <c r="S32" s="9">
        <v>100</v>
      </c>
      <c r="T32" s="53"/>
      <c r="U32" s="53"/>
      <c r="V32" s="9">
        <v>84</v>
      </c>
      <c r="W32" s="63">
        <f t="shared" si="8"/>
        <v>0.84</v>
      </c>
      <c r="X32" s="53">
        <v>78</v>
      </c>
      <c r="Y32" s="63">
        <f t="shared" si="11"/>
        <v>0.9285714285714286</v>
      </c>
      <c r="Z32" s="81">
        <v>78</v>
      </c>
      <c r="AA32" s="84">
        <f t="shared" si="9"/>
        <v>1</v>
      </c>
      <c r="AB32" s="147">
        <v>74</v>
      </c>
      <c r="AC32" s="152">
        <f t="shared" si="4"/>
        <v>0.94871794871794868</v>
      </c>
      <c r="AD32" s="158">
        <f>'Summary of Avgs'!E23</f>
        <v>74</v>
      </c>
      <c r="AE32" s="152">
        <f t="shared" si="10"/>
        <v>1</v>
      </c>
      <c r="AF32" s="66"/>
      <c r="AG32"/>
      <c r="AH32"/>
      <c r="AI32"/>
    </row>
    <row r="33" spans="1:35" x14ac:dyDescent="0.35">
      <c r="A33" s="204"/>
      <c r="B33" s="38">
        <v>11</v>
      </c>
      <c r="C33" s="51">
        <v>37.607142857142854</v>
      </c>
      <c r="D33" s="52">
        <v>0.63964285714285718</v>
      </c>
      <c r="E33" s="46">
        <v>53.952380952380949</v>
      </c>
      <c r="F33" s="46">
        <v>1.8333333333333326</v>
      </c>
      <c r="G33" s="79">
        <v>70.202380952380949</v>
      </c>
      <c r="H33" s="79">
        <v>3.5595238095238093</v>
      </c>
      <c r="I33" s="142">
        <v>82.785714285714292</v>
      </c>
      <c r="J33" s="142">
        <v>3.211904761904762</v>
      </c>
      <c r="K33" s="156">
        <f>'Summary of Avgs'!D24</f>
        <v>95.297619047619051</v>
      </c>
      <c r="L33" s="156">
        <f>'Summary of Avgs'!C24</f>
        <v>3.6642857142857159</v>
      </c>
      <c r="M33" s="9"/>
      <c r="N33" s="9"/>
      <c r="O33" s="9"/>
      <c r="P33" s="9"/>
      <c r="Q33" s="9"/>
      <c r="R33" s="9"/>
      <c r="S33" s="9">
        <v>100</v>
      </c>
      <c r="T33" s="53"/>
      <c r="U33" s="53"/>
      <c r="V33" s="9">
        <v>84</v>
      </c>
      <c r="W33" s="63">
        <f t="shared" si="8"/>
        <v>0.84</v>
      </c>
      <c r="X33" s="53">
        <v>84</v>
      </c>
      <c r="Y33" s="63">
        <f t="shared" si="11"/>
        <v>1</v>
      </c>
      <c r="Z33" s="81">
        <v>84</v>
      </c>
      <c r="AA33" s="63">
        <f t="shared" si="9"/>
        <v>1</v>
      </c>
      <c r="AB33" s="148">
        <v>84</v>
      </c>
      <c r="AC33" s="152">
        <f t="shared" si="4"/>
        <v>1</v>
      </c>
      <c r="AD33" s="158">
        <f>'Summary of Avgs'!E24</f>
        <v>84</v>
      </c>
      <c r="AE33" s="152">
        <f t="shared" si="10"/>
        <v>1</v>
      </c>
      <c r="AF33"/>
      <c r="AG33"/>
      <c r="AH33"/>
      <c r="AI33"/>
    </row>
    <row r="34" spans="1:35" x14ac:dyDescent="0.35">
      <c r="A34" s="204"/>
      <c r="B34" s="38">
        <v>12</v>
      </c>
      <c r="C34" s="51">
        <v>25.523255813953487</v>
      </c>
      <c r="D34" s="52">
        <v>0.34883720930232548</v>
      </c>
      <c r="E34" s="46">
        <v>42.823529411764703</v>
      </c>
      <c r="F34" s="46">
        <v>1.1941176470588237</v>
      </c>
      <c r="G34" s="79">
        <v>79.011764705882356</v>
      </c>
      <c r="H34" s="79">
        <v>2.7329411764705869</v>
      </c>
      <c r="I34" s="142">
        <v>92.517647058823528</v>
      </c>
      <c r="J34" s="142">
        <v>4.2082352941176477</v>
      </c>
      <c r="K34" s="156">
        <f>'Summary of Avgs'!D25</f>
        <v>126.8</v>
      </c>
      <c r="L34" s="156">
        <f>'Summary of Avgs'!C25</f>
        <v>6.0341176470588245</v>
      </c>
      <c r="M34" s="9"/>
      <c r="N34" s="9"/>
      <c r="O34" s="9"/>
      <c r="P34" s="9"/>
      <c r="Q34" s="9"/>
      <c r="R34" s="9"/>
      <c r="S34" s="9">
        <v>100</v>
      </c>
      <c r="T34" s="53"/>
      <c r="U34" s="53"/>
      <c r="V34" s="9">
        <v>86</v>
      </c>
      <c r="W34" s="63">
        <f t="shared" si="8"/>
        <v>0.86</v>
      </c>
      <c r="X34" s="53">
        <v>85</v>
      </c>
      <c r="Y34" s="63">
        <f t="shared" si="11"/>
        <v>0.98837209302325579</v>
      </c>
      <c r="Z34" s="81">
        <v>85</v>
      </c>
      <c r="AA34" s="63">
        <f t="shared" si="9"/>
        <v>1</v>
      </c>
      <c r="AB34" s="148">
        <v>85</v>
      </c>
      <c r="AC34" s="152">
        <f t="shared" si="4"/>
        <v>1</v>
      </c>
      <c r="AD34" s="158">
        <f>'Summary of Avgs'!E25</f>
        <v>85</v>
      </c>
      <c r="AE34" s="152">
        <f t="shared" si="10"/>
        <v>1</v>
      </c>
      <c r="AF34"/>
      <c r="AG34"/>
      <c r="AH34"/>
      <c r="AI34"/>
    </row>
    <row r="35" spans="1:35" x14ac:dyDescent="0.35">
      <c r="A35" s="204"/>
      <c r="B35" s="38">
        <v>14</v>
      </c>
      <c r="C35" s="51">
        <v>54.221052631578949</v>
      </c>
      <c r="D35" s="52">
        <v>0.69368421052631613</v>
      </c>
      <c r="E35" s="46">
        <v>78.329787234042556</v>
      </c>
      <c r="F35" s="46">
        <v>1.8648936170212767</v>
      </c>
      <c r="G35" s="79">
        <v>124.23404255319149</v>
      </c>
      <c r="H35" s="79">
        <v>2.4531914893617013</v>
      </c>
      <c r="I35" s="142">
        <v>161.94680851063831</v>
      </c>
      <c r="J35" s="142">
        <v>2.5627659574468078</v>
      </c>
      <c r="K35" s="156">
        <f>'Summary of Avgs'!D26</f>
        <v>209.03225806451613</v>
      </c>
      <c r="L35" s="156">
        <f>'Summary of Avgs'!C26</f>
        <v>3.9053763440860201</v>
      </c>
      <c r="M35" s="9"/>
      <c r="N35" s="9"/>
      <c r="O35" s="9"/>
      <c r="P35" s="9"/>
      <c r="Q35" s="9"/>
      <c r="R35" s="9"/>
      <c r="S35" s="9">
        <v>100</v>
      </c>
      <c r="T35" s="53"/>
      <c r="U35" s="53"/>
      <c r="V35" s="9">
        <v>95</v>
      </c>
      <c r="W35" s="63">
        <f t="shared" si="8"/>
        <v>0.95</v>
      </c>
      <c r="X35" s="53">
        <v>94</v>
      </c>
      <c r="Y35" s="63">
        <f t="shared" si="11"/>
        <v>0.98947368421052628</v>
      </c>
      <c r="Z35" s="81">
        <v>94</v>
      </c>
      <c r="AA35" s="63">
        <f t="shared" si="9"/>
        <v>1</v>
      </c>
      <c r="AB35" s="148">
        <v>94</v>
      </c>
      <c r="AC35" s="152">
        <f t="shared" si="4"/>
        <v>1</v>
      </c>
      <c r="AD35" s="158">
        <f>'Summary of Avgs'!E26</f>
        <v>93</v>
      </c>
      <c r="AE35" s="152">
        <f t="shared" si="10"/>
        <v>0.98936170212765961</v>
      </c>
      <c r="AF35"/>
      <c r="AG35"/>
      <c r="AH35"/>
      <c r="AI35"/>
    </row>
    <row r="36" spans="1:35" x14ac:dyDescent="0.35">
      <c r="A36" s="204"/>
      <c r="B36" s="38">
        <v>19</v>
      </c>
      <c r="C36" s="51">
        <v>55.723684210526315</v>
      </c>
      <c r="D36" s="52">
        <v>0.76315789473684259</v>
      </c>
      <c r="E36" s="46">
        <v>66.905405405405403</v>
      </c>
      <c r="F36" s="46">
        <v>1.6027027027027025</v>
      </c>
      <c r="G36" s="79">
        <v>82.324324324324323</v>
      </c>
      <c r="H36" s="79">
        <v>2.2527027027027029</v>
      </c>
      <c r="I36" s="142">
        <v>98.445945945945951</v>
      </c>
      <c r="J36" s="142">
        <v>3.0270270270270272</v>
      </c>
      <c r="K36" s="156">
        <f>'Summary of Avgs'!D27</f>
        <v>115.4054054054054</v>
      </c>
      <c r="L36" s="156">
        <f>'Summary of Avgs'!C27</f>
        <v>4.0743243243243255</v>
      </c>
      <c r="M36" s="9"/>
      <c r="N36" s="9"/>
      <c r="O36" s="9"/>
      <c r="P36" s="9"/>
      <c r="Q36" s="9"/>
      <c r="R36" s="9"/>
      <c r="S36" s="9">
        <v>100</v>
      </c>
      <c r="T36" s="53"/>
      <c r="U36" s="53"/>
      <c r="V36" s="9">
        <f>S36-24</f>
        <v>76</v>
      </c>
      <c r="W36" s="63">
        <f t="shared" si="8"/>
        <v>0.76</v>
      </c>
      <c r="X36" s="53">
        <v>74</v>
      </c>
      <c r="Y36" s="63">
        <f t="shared" si="11"/>
        <v>0.97368421052631582</v>
      </c>
      <c r="Z36" s="81">
        <v>74</v>
      </c>
      <c r="AA36" s="63">
        <f t="shared" si="9"/>
        <v>1</v>
      </c>
      <c r="AB36" s="148">
        <v>74</v>
      </c>
      <c r="AC36" s="152">
        <f t="shared" si="4"/>
        <v>1</v>
      </c>
      <c r="AD36" s="158">
        <f>'Summary of Avgs'!E27</f>
        <v>74</v>
      </c>
      <c r="AE36" s="152">
        <f t="shared" si="10"/>
        <v>1</v>
      </c>
      <c r="AF36"/>
      <c r="AG36"/>
      <c r="AH36"/>
      <c r="AI36"/>
    </row>
    <row r="37" spans="1:35" x14ac:dyDescent="0.35">
      <c r="A37" s="204"/>
      <c r="B37" s="39">
        <v>28</v>
      </c>
      <c r="C37" s="54">
        <v>54.148936170212764</v>
      </c>
      <c r="D37" s="54">
        <v>0.47021276595744654</v>
      </c>
      <c r="E37" s="46">
        <v>64.309782608695656</v>
      </c>
      <c r="F37" s="46">
        <v>1.539130434782608</v>
      </c>
      <c r="G37" s="79">
        <v>83.771739130434781</v>
      </c>
      <c r="H37" s="79">
        <v>1.9304347826086963</v>
      </c>
      <c r="I37" s="142">
        <v>111.09890109890109</v>
      </c>
      <c r="J37" s="142">
        <v>2.3868131868131872</v>
      </c>
      <c r="K37" s="156">
        <f>'Summary of Avgs'!D28</f>
        <v>176.51111111111112</v>
      </c>
      <c r="L37" s="156">
        <f>'Summary of Avgs'!C28</f>
        <v>2.9666666666666668</v>
      </c>
      <c r="M37" s="9"/>
      <c r="N37" s="9"/>
      <c r="O37" s="9"/>
      <c r="P37" s="9"/>
      <c r="Q37" s="9"/>
      <c r="R37" s="9"/>
      <c r="S37" s="9">
        <v>100</v>
      </c>
      <c r="T37" s="53"/>
      <c r="U37" s="53"/>
      <c r="V37" s="9">
        <v>94</v>
      </c>
      <c r="W37" s="63">
        <f t="shared" si="8"/>
        <v>0.94</v>
      </c>
      <c r="X37" s="53">
        <v>92</v>
      </c>
      <c r="Y37" s="63">
        <f t="shared" si="11"/>
        <v>0.97872340425531912</v>
      </c>
      <c r="Z37" s="81">
        <v>92</v>
      </c>
      <c r="AA37" s="63">
        <f t="shared" si="9"/>
        <v>1</v>
      </c>
      <c r="AB37" s="148">
        <v>91</v>
      </c>
      <c r="AC37" s="152">
        <f t="shared" si="4"/>
        <v>0.98913043478260865</v>
      </c>
      <c r="AD37" s="158">
        <f>'Summary of Avgs'!E28</f>
        <v>90</v>
      </c>
      <c r="AE37" s="152">
        <f t="shared" si="10"/>
        <v>0.98901098901098905</v>
      </c>
      <c r="AF37"/>
      <c r="AG37"/>
      <c r="AH37"/>
      <c r="AI37"/>
    </row>
    <row r="38" spans="1:35" x14ac:dyDescent="0.35">
      <c r="A38" s="204"/>
      <c r="B38" s="39">
        <v>29</v>
      </c>
      <c r="C38" s="54">
        <v>27.053763440860216</v>
      </c>
      <c r="D38" s="54">
        <v>0.35913978494623638</v>
      </c>
      <c r="E38" s="46">
        <v>41.344827586206897</v>
      </c>
      <c r="F38" s="46">
        <v>1.1206896551724137</v>
      </c>
      <c r="G38" s="79">
        <v>62.114942528735632</v>
      </c>
      <c r="H38" s="79">
        <v>1.6413793103448273</v>
      </c>
      <c r="I38" s="142">
        <v>79.779069767441854</v>
      </c>
      <c r="J38" s="142">
        <v>3.1011627906976731</v>
      </c>
      <c r="K38" s="156">
        <f>'Summary of Avgs'!D29</f>
        <v>97.95348837209302</v>
      </c>
      <c r="L38" s="156">
        <f>'Summary of Avgs'!C29</f>
        <v>4.0383720930232565</v>
      </c>
      <c r="M38" s="9"/>
      <c r="N38" s="9"/>
      <c r="O38" s="9"/>
      <c r="P38" s="9"/>
      <c r="Q38" s="9"/>
      <c r="R38" s="9"/>
      <c r="S38" s="9">
        <v>100</v>
      </c>
      <c r="T38" s="53"/>
      <c r="U38" s="53"/>
      <c r="V38" s="9">
        <v>93</v>
      </c>
      <c r="W38" s="63">
        <f t="shared" si="8"/>
        <v>0.93</v>
      </c>
      <c r="X38" s="53">
        <v>87</v>
      </c>
      <c r="Y38" s="63">
        <f t="shared" si="11"/>
        <v>0.93548387096774188</v>
      </c>
      <c r="Z38" s="81">
        <v>87</v>
      </c>
      <c r="AA38" s="63">
        <f t="shared" si="9"/>
        <v>1</v>
      </c>
      <c r="AB38" s="148">
        <v>86</v>
      </c>
      <c r="AC38" s="152">
        <f t="shared" si="4"/>
        <v>0.9885057471264368</v>
      </c>
      <c r="AD38" s="158">
        <f>'Summary of Avgs'!E29</f>
        <v>86</v>
      </c>
      <c r="AE38" s="152">
        <f t="shared" si="10"/>
        <v>1</v>
      </c>
      <c r="AF38"/>
      <c r="AG38"/>
      <c r="AH38"/>
      <c r="AI38"/>
    </row>
    <row r="39" spans="1:35" x14ac:dyDescent="0.35">
      <c r="A39" s="204"/>
      <c r="B39" s="38" t="s">
        <v>15</v>
      </c>
      <c r="C39" s="51">
        <v>42.956989247311824</v>
      </c>
      <c r="D39" s="52">
        <v>0.58924731182795753</v>
      </c>
      <c r="E39" s="46">
        <v>49.141304347826086</v>
      </c>
      <c r="F39" s="46">
        <v>0.85760869565217412</v>
      </c>
      <c r="G39" s="79">
        <v>57.054347826086953</v>
      </c>
      <c r="H39" s="79">
        <v>1.423913043478261</v>
      </c>
      <c r="I39" s="142">
        <v>64.782608695652172</v>
      </c>
      <c r="J39" s="142">
        <v>2.1663043478260864</v>
      </c>
      <c r="K39" s="156">
        <f>'Summary of Avgs'!D30</f>
        <v>77.847826086956516</v>
      </c>
      <c r="L39" s="156">
        <f>'Summary of Avgs'!C30</f>
        <v>3.0119565217391306</v>
      </c>
      <c r="M39" s="9"/>
      <c r="N39" s="9"/>
      <c r="O39" s="9"/>
      <c r="P39" s="9"/>
      <c r="Q39" s="9"/>
      <c r="R39" s="9"/>
      <c r="S39" s="9">
        <v>100</v>
      </c>
      <c r="T39" s="53"/>
      <c r="U39" s="53"/>
      <c r="V39" s="9">
        <v>93</v>
      </c>
      <c r="W39" s="63">
        <f t="shared" si="8"/>
        <v>0.93</v>
      </c>
      <c r="X39" s="53">
        <v>92</v>
      </c>
      <c r="Y39" s="63">
        <f t="shared" si="11"/>
        <v>0.989247311827957</v>
      </c>
      <c r="Z39" s="81">
        <v>92</v>
      </c>
      <c r="AA39" s="63">
        <f t="shared" si="9"/>
        <v>1</v>
      </c>
      <c r="AB39" s="148">
        <v>92</v>
      </c>
      <c r="AC39" s="152">
        <f t="shared" si="4"/>
        <v>1</v>
      </c>
      <c r="AD39" s="158">
        <f>'Summary of Avgs'!E30</f>
        <v>92</v>
      </c>
      <c r="AE39" s="152">
        <f t="shared" si="10"/>
        <v>1</v>
      </c>
      <c r="AF39"/>
      <c r="AG39"/>
      <c r="AH39"/>
      <c r="AI39"/>
    </row>
    <row r="40" spans="1:35" x14ac:dyDescent="0.35">
      <c r="A40" s="204"/>
      <c r="B40" s="38" t="s">
        <v>16</v>
      </c>
      <c r="C40" s="51">
        <v>73.721649484536087</v>
      </c>
      <c r="D40" s="52">
        <v>0.51237113402061873</v>
      </c>
      <c r="E40" s="46">
        <v>80.726315789473688</v>
      </c>
      <c r="F40" s="46">
        <v>1.3726315789473682</v>
      </c>
      <c r="G40" s="79">
        <v>88.89473684210526</v>
      </c>
      <c r="H40" s="79">
        <v>2.1336842105263161</v>
      </c>
      <c r="I40" s="142">
        <v>105.55434782608695</v>
      </c>
      <c r="J40" s="142">
        <v>2.6695652173913058</v>
      </c>
      <c r="K40" s="156">
        <f>'Summary of Avgs'!D31</f>
        <v>146.33695652173913</v>
      </c>
      <c r="L40" s="156">
        <f>'Summary of Avgs'!C31</f>
        <v>3.4967391304347819</v>
      </c>
      <c r="M40" s="9"/>
      <c r="N40" s="9"/>
      <c r="O40" s="9"/>
      <c r="P40" s="9"/>
      <c r="Q40" s="9"/>
      <c r="R40" s="9"/>
      <c r="S40" s="9">
        <v>100</v>
      </c>
      <c r="T40" s="53"/>
      <c r="U40" s="53"/>
      <c r="V40" s="9">
        <v>97</v>
      </c>
      <c r="W40" s="63">
        <f t="shared" si="8"/>
        <v>0.97</v>
      </c>
      <c r="X40" s="53">
        <v>95</v>
      </c>
      <c r="Y40" s="63">
        <f t="shared" si="11"/>
        <v>0.97938144329896903</v>
      </c>
      <c r="Z40" s="81">
        <v>95</v>
      </c>
      <c r="AA40" s="63">
        <f t="shared" si="9"/>
        <v>1</v>
      </c>
      <c r="AB40" s="148">
        <v>92</v>
      </c>
      <c r="AC40" s="152">
        <f t="shared" si="4"/>
        <v>0.96842105263157896</v>
      </c>
      <c r="AD40" s="158">
        <f>'Summary of Avgs'!E31</f>
        <v>92</v>
      </c>
      <c r="AE40" s="152">
        <f t="shared" si="10"/>
        <v>1</v>
      </c>
      <c r="AF40"/>
      <c r="AG40"/>
      <c r="AH40"/>
      <c r="AI40"/>
    </row>
    <row r="41" spans="1:35" x14ac:dyDescent="0.35">
      <c r="A41" s="204"/>
      <c r="B41" s="38" t="s">
        <v>17</v>
      </c>
      <c r="C41" s="51">
        <v>82.333333333333329</v>
      </c>
      <c r="D41" s="52">
        <v>0.40000000000000013</v>
      </c>
      <c r="E41" s="46">
        <v>88.958333333333329</v>
      </c>
      <c r="F41" s="46">
        <v>1.404166666666667</v>
      </c>
      <c r="G41" s="79">
        <v>95.625</v>
      </c>
      <c r="H41" s="79">
        <v>2.2583333333333333</v>
      </c>
      <c r="I41" s="142">
        <v>116.31578947368421</v>
      </c>
      <c r="J41" s="142">
        <v>2.5894736842105264</v>
      </c>
      <c r="K41" s="156">
        <f>'Summary of Avgs'!D32</f>
        <v>158.21052631578948</v>
      </c>
      <c r="L41" s="156">
        <f>'Summary of Avgs'!C32</f>
        <v>4.1421052631578945</v>
      </c>
      <c r="M41" s="9"/>
      <c r="N41" s="9"/>
      <c r="O41" s="9"/>
      <c r="P41" s="9"/>
      <c r="Q41" s="9"/>
      <c r="R41" s="9"/>
      <c r="S41" s="9">
        <v>25</v>
      </c>
      <c r="T41" s="53"/>
      <c r="U41" s="53"/>
      <c r="V41" s="9">
        <v>24</v>
      </c>
      <c r="W41" s="63">
        <f t="shared" si="8"/>
        <v>0.96</v>
      </c>
      <c r="X41" s="53">
        <v>24</v>
      </c>
      <c r="Y41" s="63">
        <f t="shared" si="11"/>
        <v>1</v>
      </c>
      <c r="Z41" s="81">
        <v>24</v>
      </c>
      <c r="AA41" s="63">
        <f t="shared" si="9"/>
        <v>1</v>
      </c>
      <c r="AB41" s="148">
        <v>19</v>
      </c>
      <c r="AC41" s="152">
        <f t="shared" si="4"/>
        <v>0.79166666666666663</v>
      </c>
      <c r="AD41" s="158">
        <f>'Summary of Avgs'!E32</f>
        <v>19</v>
      </c>
      <c r="AE41" s="152">
        <f t="shared" si="10"/>
        <v>1</v>
      </c>
      <c r="AF41"/>
      <c r="AG41"/>
      <c r="AH41"/>
      <c r="AI41"/>
    </row>
    <row r="42" spans="1:35" x14ac:dyDescent="0.35">
      <c r="A42" s="1" t="s">
        <v>18</v>
      </c>
      <c r="B42" s="40"/>
      <c r="C42" s="43"/>
      <c r="D42" s="43"/>
      <c r="G42" s="43"/>
      <c r="H42" s="43"/>
      <c r="I42" s="110"/>
      <c r="J42" s="110"/>
      <c r="K42" s="110">
        <f>AVERAGE(K29:K41)</f>
        <v>158.98294842583053</v>
      </c>
      <c r="L42" s="110">
        <f>AVERAGE(L29:L41)</f>
        <v>3.8383725207206063</v>
      </c>
      <c r="M42" s="40"/>
      <c r="N42" s="40"/>
      <c r="O42" s="40"/>
      <c r="P42" s="40"/>
      <c r="Q42" s="40"/>
      <c r="R42" s="40"/>
      <c r="S42" s="43"/>
      <c r="T42" s="40"/>
      <c r="U42" s="43"/>
      <c r="V42" s="40"/>
      <c r="W42" s="64">
        <f>AVERAGE(W29:W41)</f>
        <v>0.84317307692307686</v>
      </c>
      <c r="X42" s="42"/>
      <c r="Y42" s="64">
        <f>AVERAGE(Y29:Y41)</f>
        <v>0.96451479777514626</v>
      </c>
      <c r="Z42" s="64"/>
      <c r="AA42" s="64">
        <f>AVERAGE(AA29:AA41)</f>
        <v>1</v>
      </c>
      <c r="AB42" s="64"/>
      <c r="AC42" s="153">
        <f>AVERAGE(AC29:AC41)</f>
        <v>0.97246133888313813</v>
      </c>
      <c r="AD42" s="159"/>
      <c r="AE42" s="171">
        <f>AVERAGE(AE29:AE41)</f>
        <v>0.99722153365503552</v>
      </c>
      <c r="AF42" s="68"/>
      <c r="AG42" s="92"/>
      <c r="AH42"/>
      <c r="AI42"/>
    </row>
    <row r="43" spans="1:35" x14ac:dyDescent="0.35">
      <c r="A43" s="200">
        <v>2019</v>
      </c>
      <c r="B43" s="41" t="s">
        <v>20</v>
      </c>
      <c r="C43" s="48">
        <v>63.526315789473685</v>
      </c>
      <c r="D43" s="48">
        <v>0.64736842105263148</v>
      </c>
      <c r="E43" s="82">
        <v>66.470588235294116</v>
      </c>
      <c r="F43" s="82">
        <v>0.9764705882352942</v>
      </c>
      <c r="G43" s="143">
        <v>74.75</v>
      </c>
      <c r="H43" s="143">
        <v>1.375</v>
      </c>
      <c r="I43" s="156">
        <f>'Summary of Avgs'!I20</f>
        <v>91.1875</v>
      </c>
      <c r="J43" s="156">
        <f>'Summary of Avgs'!H20</f>
        <v>2.0625000000000004</v>
      </c>
      <c r="K43" s="41"/>
      <c r="L43" s="55"/>
      <c r="M43" s="55"/>
      <c r="N43" s="55"/>
      <c r="O43" s="55"/>
      <c r="P43" s="55"/>
      <c r="Q43" s="55"/>
      <c r="R43" s="55"/>
      <c r="S43" s="55">
        <v>20</v>
      </c>
      <c r="T43" s="55"/>
      <c r="U43" s="55"/>
      <c r="V43" s="55"/>
      <c r="W43" s="55"/>
      <c r="X43" s="55">
        <v>19</v>
      </c>
      <c r="Y43" s="67">
        <f>X43/S43</f>
        <v>0.95</v>
      </c>
      <c r="Z43" s="83">
        <v>17</v>
      </c>
      <c r="AA43" s="106">
        <f t="shared" ref="AA43:AA60" si="12">Z43/X43</f>
        <v>0.89473684210526316</v>
      </c>
      <c r="AB43" s="149">
        <v>16</v>
      </c>
      <c r="AC43" s="151">
        <f t="shared" si="4"/>
        <v>0.94117647058823528</v>
      </c>
      <c r="AD43" s="160">
        <f>'Summary of Avgs'!J20</f>
        <v>16</v>
      </c>
      <c r="AE43" s="151">
        <f>AD43/AB43</f>
        <v>1</v>
      </c>
      <c r="AF43"/>
      <c r="AG43" s="93"/>
      <c r="AH43"/>
      <c r="AI43"/>
    </row>
    <row r="44" spans="1:35" x14ac:dyDescent="0.35">
      <c r="A44" s="200"/>
      <c r="B44" s="41" t="s">
        <v>21</v>
      </c>
      <c r="C44" s="48">
        <v>72.263157894736835</v>
      </c>
      <c r="D44" s="48">
        <v>0.77894736842105272</v>
      </c>
      <c r="E44" s="82">
        <v>76.833333333333329</v>
      </c>
      <c r="F44" s="82">
        <v>0.96666666666666679</v>
      </c>
      <c r="G44" s="143">
        <v>81.857142857142861</v>
      </c>
      <c r="H44" s="143">
        <v>1.4571428571428571</v>
      </c>
      <c r="I44" s="156">
        <f>'Summary of Avgs'!I21</f>
        <v>94.285714285714292</v>
      </c>
      <c r="J44" s="156">
        <f>'Summary of Avgs'!H21</f>
        <v>2.2785714285714289</v>
      </c>
      <c r="K44" s="41"/>
      <c r="L44" s="55"/>
      <c r="M44" s="55"/>
      <c r="N44" s="55"/>
      <c r="O44" s="55"/>
      <c r="P44" s="55"/>
      <c r="Q44" s="55"/>
      <c r="R44" s="55"/>
      <c r="S44" s="55">
        <v>20</v>
      </c>
      <c r="T44" s="55"/>
      <c r="U44" s="55"/>
      <c r="V44" s="55"/>
      <c r="W44" s="55"/>
      <c r="X44" s="55">
        <v>19</v>
      </c>
      <c r="Y44" s="67">
        <f t="shared" ref="Y44:Y60" si="13">X44/S44</f>
        <v>0.95</v>
      </c>
      <c r="Z44" s="83">
        <v>18</v>
      </c>
      <c r="AA44" s="67">
        <f t="shared" si="12"/>
        <v>0.94736842105263153</v>
      </c>
      <c r="AB44" s="150">
        <v>14</v>
      </c>
      <c r="AC44" s="151">
        <f t="shared" si="4"/>
        <v>0.77777777777777779</v>
      </c>
      <c r="AD44" s="160">
        <f>'Summary of Avgs'!J21</f>
        <v>14</v>
      </c>
      <c r="AE44" s="151">
        <f t="shared" ref="AE44:AE60" si="14">AD44/AB44</f>
        <v>1</v>
      </c>
      <c r="AF44"/>
      <c r="AG44" s="93"/>
      <c r="AH44"/>
      <c r="AI44"/>
    </row>
    <row r="45" spans="1:35" x14ac:dyDescent="0.35">
      <c r="A45" s="200"/>
      <c r="B45" s="41" t="s">
        <v>22</v>
      </c>
      <c r="C45" s="48">
        <v>65.578947368421055</v>
      </c>
      <c r="D45" s="48">
        <v>0.62631578947368416</v>
      </c>
      <c r="E45" s="82">
        <v>70.944444444444443</v>
      </c>
      <c r="F45" s="82">
        <v>0.9833333333333335</v>
      </c>
      <c r="G45" s="143">
        <v>77.166666666666671</v>
      </c>
      <c r="H45" s="143">
        <v>1.2416666666666669</v>
      </c>
      <c r="I45" s="156">
        <f>'Summary of Avgs'!I22</f>
        <v>94.416666666666671</v>
      </c>
      <c r="J45" s="156">
        <f>'Summary of Avgs'!H22</f>
        <v>1.95</v>
      </c>
      <c r="K45" s="41"/>
      <c r="L45" s="55"/>
      <c r="M45" s="55"/>
      <c r="N45" s="55"/>
      <c r="O45" s="55"/>
      <c r="P45" s="55"/>
      <c r="Q45" s="55"/>
      <c r="R45" s="55"/>
      <c r="S45" s="55">
        <v>20</v>
      </c>
      <c r="T45" s="55"/>
      <c r="U45" s="55"/>
      <c r="V45" s="55"/>
      <c r="W45" s="55"/>
      <c r="X45" s="55">
        <v>19</v>
      </c>
      <c r="Y45" s="67">
        <f t="shared" si="13"/>
        <v>0.95</v>
      </c>
      <c r="Z45" s="83">
        <v>19</v>
      </c>
      <c r="AA45" s="67">
        <f t="shared" si="12"/>
        <v>1</v>
      </c>
      <c r="AB45" s="150">
        <v>12</v>
      </c>
      <c r="AC45" s="151">
        <f t="shared" si="4"/>
        <v>0.63157894736842102</v>
      </c>
      <c r="AD45" s="160">
        <f>'Summary of Avgs'!J22</f>
        <v>12</v>
      </c>
      <c r="AE45" s="151">
        <f t="shared" si="14"/>
        <v>1</v>
      </c>
      <c r="AF45"/>
      <c r="AG45" s="93"/>
      <c r="AH45"/>
      <c r="AI45"/>
    </row>
    <row r="46" spans="1:35" x14ac:dyDescent="0.35">
      <c r="A46" s="200"/>
      <c r="B46" s="41" t="s">
        <v>23</v>
      </c>
      <c r="C46" s="48">
        <v>68.631578947368425</v>
      </c>
      <c r="D46" s="48">
        <v>0.77368421052631597</v>
      </c>
      <c r="E46" s="82">
        <v>71.705882352941174</v>
      </c>
      <c r="F46" s="82">
        <v>0.94705882352941184</v>
      </c>
      <c r="G46" s="143">
        <v>78.3125</v>
      </c>
      <c r="H46" s="143">
        <v>1.60625</v>
      </c>
      <c r="I46" s="156">
        <f>'Summary of Avgs'!I23</f>
        <v>92.0625</v>
      </c>
      <c r="J46" s="156">
        <f>'Summary of Avgs'!H23</f>
        <v>2.5437499999999997</v>
      </c>
      <c r="K46" s="41"/>
      <c r="L46" s="55"/>
      <c r="M46" s="55"/>
      <c r="N46" s="55"/>
      <c r="O46" s="55"/>
      <c r="P46" s="55"/>
      <c r="Q46" s="55"/>
      <c r="R46" s="55"/>
      <c r="S46" s="55">
        <v>20</v>
      </c>
      <c r="T46" s="55"/>
      <c r="U46" s="55"/>
      <c r="V46" s="55"/>
      <c r="W46" s="55"/>
      <c r="X46" s="55">
        <v>19</v>
      </c>
      <c r="Y46" s="67">
        <f t="shared" si="13"/>
        <v>0.95</v>
      </c>
      <c r="Z46" s="83">
        <v>17</v>
      </c>
      <c r="AA46" s="67">
        <f t="shared" si="12"/>
        <v>0.89473684210526316</v>
      </c>
      <c r="AB46" s="150">
        <v>16</v>
      </c>
      <c r="AC46" s="151">
        <f t="shared" si="4"/>
        <v>0.94117647058823528</v>
      </c>
      <c r="AD46" s="160">
        <f>'Summary of Avgs'!J23</f>
        <v>16</v>
      </c>
      <c r="AE46" s="151">
        <f t="shared" si="14"/>
        <v>1</v>
      </c>
      <c r="AF46"/>
      <c r="AG46" s="93"/>
      <c r="AH46"/>
      <c r="AI46"/>
    </row>
    <row r="47" spans="1:35" x14ac:dyDescent="0.35">
      <c r="A47" s="200"/>
      <c r="B47" s="41" t="s">
        <v>24</v>
      </c>
      <c r="C47" s="48">
        <v>66.599999999999994</v>
      </c>
      <c r="D47" s="48">
        <v>0.78</v>
      </c>
      <c r="E47" s="82">
        <v>71.888888888888886</v>
      </c>
      <c r="F47" s="82">
        <v>0.92777777777777792</v>
      </c>
      <c r="G47" s="143">
        <v>76.692307692307693</v>
      </c>
      <c r="H47" s="143">
        <v>1.2615384615384615</v>
      </c>
      <c r="I47" s="156">
        <f>'Summary of Avgs'!I24</f>
        <v>86.25</v>
      </c>
      <c r="J47" s="156">
        <f>'Summary of Avgs'!H24</f>
        <v>2</v>
      </c>
      <c r="K47" s="41"/>
      <c r="L47" s="55"/>
      <c r="M47" s="55"/>
      <c r="N47" s="55"/>
      <c r="O47" s="55"/>
      <c r="P47" s="55"/>
      <c r="Q47" s="55"/>
      <c r="R47" s="55"/>
      <c r="S47" s="55">
        <v>20</v>
      </c>
      <c r="T47" s="55"/>
      <c r="U47" s="55"/>
      <c r="V47" s="55"/>
      <c r="W47" s="55"/>
      <c r="X47" s="55">
        <v>20</v>
      </c>
      <c r="Y47" s="67">
        <f t="shared" si="13"/>
        <v>1</v>
      </c>
      <c r="Z47" s="83">
        <v>18</v>
      </c>
      <c r="AA47" s="67">
        <f t="shared" si="12"/>
        <v>0.9</v>
      </c>
      <c r="AB47" s="150">
        <v>13</v>
      </c>
      <c r="AC47" s="151">
        <f t="shared" si="4"/>
        <v>0.72222222222222221</v>
      </c>
      <c r="AD47" s="160">
        <f>'Summary of Avgs'!J24</f>
        <v>12</v>
      </c>
      <c r="AE47" s="151">
        <f t="shared" si="14"/>
        <v>0.92307692307692313</v>
      </c>
      <c r="AF47"/>
      <c r="AG47" s="93"/>
      <c r="AH47"/>
      <c r="AI47"/>
    </row>
    <row r="48" spans="1:35" x14ac:dyDescent="0.35">
      <c r="A48" s="200"/>
      <c r="B48" s="41" t="s">
        <v>25</v>
      </c>
      <c r="C48" s="48">
        <v>31.94736842105263</v>
      </c>
      <c r="D48" s="48">
        <v>0.46315789473684216</v>
      </c>
      <c r="E48" s="82">
        <v>45.578947368421055</v>
      </c>
      <c r="F48" s="82">
        <v>0.81052631578947354</v>
      </c>
      <c r="G48" s="143">
        <v>61.684210526315788</v>
      </c>
      <c r="H48" s="143">
        <v>1.1473684210526316</v>
      </c>
      <c r="I48" s="156">
        <f>'Summary of Avgs'!I25</f>
        <v>83.21052631578948</v>
      </c>
      <c r="J48" s="156">
        <f>'Summary of Avgs'!H25</f>
        <v>1.8421052631578947</v>
      </c>
      <c r="K48" s="41"/>
      <c r="L48" s="55"/>
      <c r="M48" s="55"/>
      <c r="N48" s="55"/>
      <c r="O48" s="55"/>
      <c r="P48" s="55"/>
      <c r="Q48" s="55"/>
      <c r="R48" s="55"/>
      <c r="S48" s="55">
        <v>20</v>
      </c>
      <c r="T48" s="55"/>
      <c r="U48" s="55"/>
      <c r="V48" s="55"/>
      <c r="W48" s="55"/>
      <c r="X48" s="55">
        <v>19</v>
      </c>
      <c r="Y48" s="67">
        <f t="shared" si="13"/>
        <v>0.95</v>
      </c>
      <c r="Z48" s="83">
        <v>19</v>
      </c>
      <c r="AA48" s="67">
        <f t="shared" si="12"/>
        <v>1</v>
      </c>
      <c r="AB48" s="150">
        <v>19</v>
      </c>
      <c r="AC48" s="151">
        <f t="shared" si="4"/>
        <v>1</v>
      </c>
      <c r="AD48" s="160">
        <f>'Summary of Avgs'!J25</f>
        <v>19</v>
      </c>
      <c r="AE48" s="151">
        <f t="shared" si="14"/>
        <v>1</v>
      </c>
      <c r="AF48"/>
      <c r="AG48" s="93"/>
      <c r="AH48"/>
      <c r="AI48"/>
    </row>
    <row r="49" spans="1:35" x14ac:dyDescent="0.35">
      <c r="A49" s="200"/>
      <c r="B49" s="41" t="s">
        <v>26</v>
      </c>
      <c r="C49" s="48">
        <v>52.4</v>
      </c>
      <c r="D49" s="48">
        <v>0.58799999999999986</v>
      </c>
      <c r="E49" s="82">
        <v>60.478260869565219</v>
      </c>
      <c r="F49" s="82">
        <v>1.0478260869565217</v>
      </c>
      <c r="G49" s="143">
        <v>66.222222222222229</v>
      </c>
      <c r="H49" s="143">
        <v>1.3666666666666667</v>
      </c>
      <c r="I49" s="156">
        <f>'Summary of Avgs'!I26</f>
        <v>78.833333333333329</v>
      </c>
      <c r="J49" s="156">
        <f>'Summary of Avgs'!H26</f>
        <v>2.3555555555555561</v>
      </c>
      <c r="K49" s="41"/>
      <c r="L49" s="55"/>
      <c r="M49" s="55"/>
      <c r="N49" s="55"/>
      <c r="O49" s="55"/>
      <c r="P49" s="55"/>
      <c r="Q49" s="55"/>
      <c r="R49" s="55"/>
      <c r="S49" s="55">
        <v>25</v>
      </c>
      <c r="T49" s="55"/>
      <c r="U49" s="55"/>
      <c r="V49" s="55"/>
      <c r="W49" s="55"/>
      <c r="X49" s="55">
        <v>25</v>
      </c>
      <c r="Y49" s="67">
        <f t="shared" si="13"/>
        <v>1</v>
      </c>
      <c r="Z49" s="83">
        <v>23</v>
      </c>
      <c r="AA49" s="67">
        <f t="shared" si="12"/>
        <v>0.92</v>
      </c>
      <c r="AB49" s="150">
        <v>18</v>
      </c>
      <c r="AC49" s="151">
        <f t="shared" si="4"/>
        <v>0.78260869565217395</v>
      </c>
      <c r="AD49" s="160">
        <f>'Summary of Avgs'!J26</f>
        <v>18</v>
      </c>
      <c r="AE49" s="151">
        <f t="shared" si="14"/>
        <v>1</v>
      </c>
      <c r="AG49" s="93"/>
    </row>
    <row r="50" spans="1:35" x14ac:dyDescent="0.35">
      <c r="A50" s="200"/>
      <c r="B50" s="41" t="s">
        <v>27</v>
      </c>
      <c r="C50" s="48">
        <v>58.842105263157897</v>
      </c>
      <c r="D50" s="48">
        <v>0.74736842105263168</v>
      </c>
      <c r="E50" s="82">
        <v>65.722222222222229</v>
      </c>
      <c r="F50" s="82">
        <v>1.1333333333333335</v>
      </c>
      <c r="G50" s="143">
        <v>75.92307692307692</v>
      </c>
      <c r="H50" s="143">
        <v>1.5307692307692309</v>
      </c>
      <c r="I50" s="156">
        <f>'Summary of Avgs'!I27</f>
        <v>84.15384615384616</v>
      </c>
      <c r="J50" s="156">
        <f>'Summary of Avgs'!H27</f>
        <v>2.5307692307692311</v>
      </c>
      <c r="K50" s="41"/>
      <c r="L50" s="55"/>
      <c r="M50" s="55"/>
      <c r="N50" s="55"/>
      <c r="O50" s="55"/>
      <c r="P50" s="55"/>
      <c r="Q50" s="55"/>
      <c r="R50" s="55"/>
      <c r="S50" s="55">
        <v>20</v>
      </c>
      <c r="T50" s="55"/>
      <c r="U50" s="55"/>
      <c r="V50" s="55"/>
      <c r="W50" s="55"/>
      <c r="X50" s="55">
        <v>19</v>
      </c>
      <c r="Y50" s="67">
        <f t="shared" si="13"/>
        <v>0.95</v>
      </c>
      <c r="Z50" s="83">
        <v>18</v>
      </c>
      <c r="AA50" s="67">
        <f t="shared" si="12"/>
        <v>0.94736842105263153</v>
      </c>
      <c r="AB50" s="150">
        <v>13</v>
      </c>
      <c r="AC50" s="151">
        <f t="shared" si="4"/>
        <v>0.72222222222222221</v>
      </c>
      <c r="AD50" s="160">
        <f>'Summary of Avgs'!J27</f>
        <v>13</v>
      </c>
      <c r="AE50" s="151">
        <f t="shared" si="14"/>
        <v>1</v>
      </c>
      <c r="AG50" s="93"/>
    </row>
    <row r="51" spans="1:35" x14ac:dyDescent="0.35">
      <c r="A51" s="200"/>
      <c r="B51" s="41" t="s">
        <v>28</v>
      </c>
      <c r="C51" s="48">
        <v>75.64</v>
      </c>
      <c r="D51" s="48">
        <v>0.69999999999999973</v>
      </c>
      <c r="E51" s="82">
        <v>82.347826086956516</v>
      </c>
      <c r="F51" s="82">
        <v>1.343478260869565</v>
      </c>
      <c r="G51" s="143">
        <v>99.652173913043484</v>
      </c>
      <c r="H51" s="143">
        <v>1.7652173913043483</v>
      </c>
      <c r="I51" s="156">
        <f>'Summary of Avgs'!I28</f>
        <v>118.36363636363636</v>
      </c>
      <c r="J51" s="156">
        <f>'Summary of Avgs'!H28</f>
        <v>2.0500000000000003</v>
      </c>
      <c r="K51" s="41"/>
      <c r="L51" s="55"/>
      <c r="M51" s="55"/>
      <c r="N51" s="55"/>
      <c r="O51" s="55"/>
      <c r="P51" s="55"/>
      <c r="Q51" s="55"/>
      <c r="R51" s="55"/>
      <c r="S51" s="55">
        <v>25</v>
      </c>
      <c r="T51" s="55"/>
      <c r="U51" s="55"/>
      <c r="V51" s="55"/>
      <c r="W51" s="55"/>
      <c r="X51" s="55">
        <v>25</v>
      </c>
      <c r="Y51" s="67">
        <f t="shared" si="13"/>
        <v>1</v>
      </c>
      <c r="Z51" s="83">
        <v>23</v>
      </c>
      <c r="AA51" s="67">
        <f t="shared" si="12"/>
        <v>0.92</v>
      </c>
      <c r="AB51" s="150">
        <v>23</v>
      </c>
      <c r="AC51" s="151">
        <f t="shared" si="4"/>
        <v>1</v>
      </c>
      <c r="AD51" s="160">
        <f>'Summary of Avgs'!J28</f>
        <v>22</v>
      </c>
      <c r="AE51" s="151">
        <f t="shared" si="14"/>
        <v>0.95652173913043481</v>
      </c>
      <c r="AG51" s="93"/>
    </row>
    <row r="52" spans="1:35" x14ac:dyDescent="0.35">
      <c r="A52" s="200"/>
      <c r="B52" s="41" t="s">
        <v>29</v>
      </c>
      <c r="C52" s="48">
        <v>67.25</v>
      </c>
      <c r="D52" s="48">
        <v>0.75000000000000011</v>
      </c>
      <c r="E52" s="82">
        <v>71.647058823529406</v>
      </c>
      <c r="F52" s="82">
        <v>0.92352941176470593</v>
      </c>
      <c r="G52" s="143">
        <v>80.666666666666671</v>
      </c>
      <c r="H52" s="143">
        <v>1.333333333333333</v>
      </c>
      <c r="I52" s="156">
        <f>'Summary of Avgs'!I29</f>
        <v>93</v>
      </c>
      <c r="J52" s="156">
        <f>'Summary of Avgs'!H29</f>
        <v>2</v>
      </c>
      <c r="K52" s="41"/>
      <c r="L52" s="55"/>
      <c r="M52" s="55"/>
      <c r="N52" s="55"/>
      <c r="O52" s="55"/>
      <c r="P52" s="55"/>
      <c r="Q52" s="55"/>
      <c r="R52" s="55"/>
      <c r="S52" s="55">
        <v>20</v>
      </c>
      <c r="T52" s="55"/>
      <c r="U52" s="55"/>
      <c r="V52" s="55"/>
      <c r="W52" s="55"/>
      <c r="X52" s="55">
        <v>20</v>
      </c>
      <c r="Y52" s="67">
        <f t="shared" si="13"/>
        <v>1</v>
      </c>
      <c r="Z52" s="83">
        <v>17</v>
      </c>
      <c r="AA52" s="67">
        <f t="shared" si="12"/>
        <v>0.85</v>
      </c>
      <c r="AB52" s="150">
        <v>9</v>
      </c>
      <c r="AC52" s="151">
        <f t="shared" si="4"/>
        <v>0.52941176470588236</v>
      </c>
      <c r="AD52" s="160">
        <f>'Summary of Avgs'!J29</f>
        <v>9</v>
      </c>
      <c r="AE52" s="151">
        <f t="shared" si="14"/>
        <v>1</v>
      </c>
      <c r="AG52" s="93"/>
    </row>
    <row r="53" spans="1:35" x14ac:dyDescent="0.35">
      <c r="A53" s="200"/>
      <c r="B53" s="41" t="s">
        <v>30</v>
      </c>
      <c r="C53" s="48">
        <v>70.099999999999994</v>
      </c>
      <c r="D53" s="48">
        <v>0.73499999999999988</v>
      </c>
      <c r="E53" s="82">
        <v>76.722222222222229</v>
      </c>
      <c r="F53" s="82">
        <v>1.0277777777777779</v>
      </c>
      <c r="G53" s="143">
        <v>86.222222222222229</v>
      </c>
      <c r="H53" s="143">
        <v>1.3444444444444446</v>
      </c>
      <c r="I53" s="156">
        <f>'Summary of Avgs'!I30</f>
        <v>92.875</v>
      </c>
      <c r="J53" s="156">
        <f>'Summary of Avgs'!H30</f>
        <v>2.0624999999999996</v>
      </c>
      <c r="K53" s="41"/>
      <c r="L53" s="55"/>
      <c r="M53" s="55"/>
      <c r="N53" s="55"/>
      <c r="O53" s="55"/>
      <c r="P53" s="55"/>
      <c r="Q53" s="55"/>
      <c r="R53" s="55"/>
      <c r="S53" s="55">
        <v>20</v>
      </c>
      <c r="T53" s="55"/>
      <c r="U53" s="55"/>
      <c r="V53" s="55"/>
      <c r="W53" s="55"/>
      <c r="X53" s="55">
        <v>20</v>
      </c>
      <c r="Y53" s="67">
        <f t="shared" si="13"/>
        <v>1</v>
      </c>
      <c r="Z53" s="83">
        <v>18</v>
      </c>
      <c r="AA53" s="67">
        <f t="shared" si="12"/>
        <v>0.9</v>
      </c>
      <c r="AB53" s="150">
        <v>9</v>
      </c>
      <c r="AC53" s="151">
        <f t="shared" si="4"/>
        <v>0.5</v>
      </c>
      <c r="AD53" s="160">
        <f>'Summary of Avgs'!J30</f>
        <v>8</v>
      </c>
      <c r="AE53" s="151">
        <f t="shared" si="14"/>
        <v>0.88888888888888884</v>
      </c>
      <c r="AG53" s="93"/>
    </row>
    <row r="54" spans="1:35" x14ac:dyDescent="0.35">
      <c r="A54" s="200"/>
      <c r="B54" s="41" t="s">
        <v>31</v>
      </c>
      <c r="C54" s="48">
        <v>68.611111111111114</v>
      </c>
      <c r="D54" s="48">
        <v>0.7777777777777779</v>
      </c>
      <c r="E54" s="82">
        <v>75.117647058823536</v>
      </c>
      <c r="F54" s="82">
        <v>1.1941176470588235</v>
      </c>
      <c r="G54" s="143">
        <v>84.705882352941174</v>
      </c>
      <c r="H54" s="143">
        <v>1.5882352941176472</v>
      </c>
      <c r="I54" s="156">
        <f>'Summary of Avgs'!I31</f>
        <v>94.588235294117652</v>
      </c>
      <c r="J54" s="156">
        <f>'Summary of Avgs'!H31</f>
        <v>2.5941176470588236</v>
      </c>
      <c r="K54" s="41"/>
      <c r="L54" s="55"/>
      <c r="M54" s="55"/>
      <c r="N54" s="55"/>
      <c r="O54" s="55"/>
      <c r="P54" s="55"/>
      <c r="Q54" s="55"/>
      <c r="R54" s="55"/>
      <c r="S54" s="55">
        <v>20</v>
      </c>
      <c r="T54" s="55"/>
      <c r="U54" s="55"/>
      <c r="V54" s="55"/>
      <c r="W54" s="55"/>
      <c r="X54" s="55">
        <v>18</v>
      </c>
      <c r="Y54" s="67">
        <f t="shared" si="13"/>
        <v>0.9</v>
      </c>
      <c r="Z54" s="83">
        <v>17</v>
      </c>
      <c r="AA54" s="67">
        <f t="shared" si="12"/>
        <v>0.94444444444444442</v>
      </c>
      <c r="AB54" s="150">
        <v>17</v>
      </c>
      <c r="AC54" s="151">
        <f t="shared" si="4"/>
        <v>1</v>
      </c>
      <c r="AD54" s="160">
        <f>'Summary of Avgs'!J31</f>
        <v>17</v>
      </c>
      <c r="AE54" s="151">
        <f t="shared" si="14"/>
        <v>1</v>
      </c>
      <c r="AG54" s="93"/>
    </row>
    <row r="55" spans="1:35" x14ac:dyDescent="0.35">
      <c r="A55" s="200"/>
      <c r="B55" s="41" t="s">
        <v>32</v>
      </c>
      <c r="C55" s="48">
        <v>85.2</v>
      </c>
      <c r="D55" s="48">
        <v>0.7400000000000001</v>
      </c>
      <c r="E55" s="82">
        <v>93.055555555555557</v>
      </c>
      <c r="F55" s="82">
        <v>2.0166666666666666</v>
      </c>
      <c r="G55" s="143">
        <v>120.9375</v>
      </c>
      <c r="H55" s="143">
        <v>2.6687499999999997</v>
      </c>
      <c r="I55" s="156">
        <f>'Summary of Avgs'!I32</f>
        <v>224.0625</v>
      </c>
      <c r="J55" s="156">
        <f>'Summary of Avgs'!H32</f>
        <v>3.0625</v>
      </c>
      <c r="K55" s="41"/>
      <c r="L55" s="55"/>
      <c r="M55" s="55"/>
      <c r="N55" s="55"/>
      <c r="O55" s="55"/>
      <c r="P55" s="55"/>
      <c r="Q55" s="55"/>
      <c r="R55" s="55"/>
      <c r="S55" s="55">
        <v>20</v>
      </c>
      <c r="T55" s="55"/>
      <c r="U55" s="55"/>
      <c r="V55" s="55"/>
      <c r="W55" s="55"/>
      <c r="X55" s="55">
        <v>20</v>
      </c>
      <c r="Y55" s="67">
        <f t="shared" si="13"/>
        <v>1</v>
      </c>
      <c r="Z55" s="83">
        <v>18</v>
      </c>
      <c r="AA55" s="67">
        <f t="shared" si="12"/>
        <v>0.9</v>
      </c>
      <c r="AB55" s="150">
        <v>16</v>
      </c>
      <c r="AC55" s="151">
        <f t="shared" si="4"/>
        <v>0.88888888888888884</v>
      </c>
      <c r="AD55" s="160">
        <f>'Summary of Avgs'!J32</f>
        <v>16</v>
      </c>
      <c r="AE55" s="151">
        <f t="shared" si="14"/>
        <v>1</v>
      </c>
      <c r="AG55" s="93"/>
    </row>
    <row r="56" spans="1:35" x14ac:dyDescent="0.35">
      <c r="A56" s="200"/>
      <c r="B56" s="41" t="s">
        <v>33</v>
      </c>
      <c r="C56" s="48">
        <v>65.84</v>
      </c>
      <c r="D56" s="48">
        <v>0.78</v>
      </c>
      <c r="E56" s="82">
        <v>73.583333333333329</v>
      </c>
      <c r="F56" s="82">
        <v>1.1333333333333333</v>
      </c>
      <c r="G56" s="143">
        <v>84.043478260869563</v>
      </c>
      <c r="H56" s="143">
        <v>2.2956521739130431</v>
      </c>
      <c r="I56" s="156">
        <f>'Summary of Avgs'!I33</f>
        <v>108.73913043478261</v>
      </c>
      <c r="J56" s="156">
        <f>'Summary of Avgs'!H33</f>
        <v>4.12608695652174</v>
      </c>
      <c r="K56" s="41"/>
      <c r="L56" s="55"/>
      <c r="M56" s="55"/>
      <c r="N56" s="55"/>
      <c r="O56" s="55"/>
      <c r="P56" s="55"/>
      <c r="Q56" s="55"/>
      <c r="R56" s="55"/>
      <c r="S56" s="55">
        <v>25</v>
      </c>
      <c r="T56" s="55"/>
      <c r="U56" s="55"/>
      <c r="V56" s="55"/>
      <c r="W56" s="55"/>
      <c r="X56" s="55">
        <v>25</v>
      </c>
      <c r="Y56" s="67">
        <f t="shared" si="13"/>
        <v>1</v>
      </c>
      <c r="Z56" s="83">
        <v>24</v>
      </c>
      <c r="AA56" s="67">
        <f t="shared" si="12"/>
        <v>0.96</v>
      </c>
      <c r="AB56" s="150">
        <v>23</v>
      </c>
      <c r="AC56" s="151">
        <f t="shared" si="4"/>
        <v>0.95833333333333337</v>
      </c>
      <c r="AD56" s="160">
        <f>'Summary of Avgs'!J33</f>
        <v>23</v>
      </c>
      <c r="AE56" s="151">
        <f t="shared" si="14"/>
        <v>1</v>
      </c>
      <c r="AG56" s="93"/>
    </row>
    <row r="57" spans="1:35" x14ac:dyDescent="0.35">
      <c r="A57" s="200"/>
      <c r="B57" s="41" t="s">
        <v>34</v>
      </c>
      <c r="C57" s="48">
        <v>66.72</v>
      </c>
      <c r="D57" s="48">
        <v>0.66799999999999993</v>
      </c>
      <c r="E57" s="82">
        <v>74.869565217391298</v>
      </c>
      <c r="F57" s="82">
        <v>1.2217391304347827</v>
      </c>
      <c r="G57" s="143">
        <v>84.642857142857139</v>
      </c>
      <c r="H57" s="143">
        <v>1.9785714285714284</v>
      </c>
      <c r="I57" s="156">
        <f>'Summary of Avgs'!I34</f>
        <v>99.142857142857139</v>
      </c>
      <c r="J57" s="156">
        <f>'Summary of Avgs'!H34</f>
        <v>2.6142857142857139</v>
      </c>
      <c r="K57" s="41"/>
      <c r="L57" s="55"/>
      <c r="M57" s="55"/>
      <c r="N57" s="55"/>
      <c r="O57" s="55"/>
      <c r="P57" s="55"/>
      <c r="Q57" s="55"/>
      <c r="R57" s="55"/>
      <c r="S57" s="55">
        <v>25</v>
      </c>
      <c r="T57" s="55"/>
      <c r="U57" s="55"/>
      <c r="V57" s="55"/>
      <c r="W57" s="55"/>
      <c r="X57" s="55">
        <v>25</v>
      </c>
      <c r="Y57" s="67">
        <f t="shared" si="13"/>
        <v>1</v>
      </c>
      <c r="Z57" s="83">
        <v>23</v>
      </c>
      <c r="AA57" s="67">
        <f t="shared" si="12"/>
        <v>0.92</v>
      </c>
      <c r="AB57" s="150">
        <v>14</v>
      </c>
      <c r="AC57" s="151">
        <f t="shared" si="4"/>
        <v>0.60869565217391308</v>
      </c>
      <c r="AD57" s="160">
        <f>'Summary of Avgs'!J34</f>
        <v>14</v>
      </c>
      <c r="AE57" s="151">
        <f t="shared" si="14"/>
        <v>1</v>
      </c>
      <c r="AG57" s="93"/>
    </row>
    <row r="58" spans="1:35" x14ac:dyDescent="0.35">
      <c r="A58" s="200"/>
      <c r="B58" s="41" t="s">
        <v>35</v>
      </c>
      <c r="C58" s="48">
        <v>26.72</v>
      </c>
      <c r="D58" s="48">
        <v>0.33999999999999991</v>
      </c>
      <c r="E58" s="82">
        <v>38.454545454545453</v>
      </c>
      <c r="F58" s="82">
        <v>0.87272727272727268</v>
      </c>
      <c r="G58" s="143">
        <v>57.31818181818182</v>
      </c>
      <c r="H58" s="143">
        <v>1.5636363636363635</v>
      </c>
      <c r="I58" s="156">
        <f>'Summary of Avgs'!I35</f>
        <v>77.454545454545453</v>
      </c>
      <c r="J58" s="156">
        <f>'Summary of Avgs'!H35</f>
        <v>3.127272727272727</v>
      </c>
      <c r="K58" s="41"/>
      <c r="L58" s="55"/>
      <c r="M58" s="55"/>
      <c r="N58" s="55"/>
      <c r="O58" s="55"/>
      <c r="P58" s="55"/>
      <c r="Q58" s="55"/>
      <c r="R58" s="55"/>
      <c r="S58" s="55">
        <v>25</v>
      </c>
      <c r="T58" s="55"/>
      <c r="U58" s="55"/>
      <c r="V58" s="55"/>
      <c r="W58" s="55"/>
      <c r="X58" s="55">
        <v>25</v>
      </c>
      <c r="Y58" s="67">
        <f t="shared" si="13"/>
        <v>1</v>
      </c>
      <c r="Z58" s="83">
        <v>22</v>
      </c>
      <c r="AA58" s="67">
        <f t="shared" si="12"/>
        <v>0.88</v>
      </c>
      <c r="AB58" s="150">
        <v>22</v>
      </c>
      <c r="AC58" s="151">
        <f t="shared" si="4"/>
        <v>1</v>
      </c>
      <c r="AD58" s="160">
        <f>'Summary of Avgs'!J35</f>
        <v>22</v>
      </c>
      <c r="AE58" s="151">
        <f t="shared" si="14"/>
        <v>1</v>
      </c>
      <c r="AG58" s="93"/>
    </row>
    <row r="59" spans="1:35" x14ac:dyDescent="0.35">
      <c r="A59" s="200"/>
      <c r="B59" s="41" t="s">
        <v>36</v>
      </c>
      <c r="C59" s="48">
        <v>66.400000000000006</v>
      </c>
      <c r="D59" s="48">
        <v>0.66499999999999992</v>
      </c>
      <c r="E59" s="82">
        <v>75.111111111111114</v>
      </c>
      <c r="F59" s="82">
        <v>1.2777777777777777</v>
      </c>
      <c r="G59" s="143">
        <v>85.888888888888886</v>
      </c>
      <c r="H59" s="143">
        <v>2.5777777777777775</v>
      </c>
      <c r="I59" s="156">
        <f>'Summary of Avgs'!I36</f>
        <v>100.11111111111111</v>
      </c>
      <c r="J59" s="156">
        <f>'Summary of Avgs'!H36</f>
        <v>3.861111111111112</v>
      </c>
      <c r="K59" s="41"/>
      <c r="L59" s="55"/>
      <c r="M59" s="55"/>
      <c r="N59" s="55"/>
      <c r="O59" s="55"/>
      <c r="P59" s="55"/>
      <c r="Q59" s="55"/>
      <c r="R59" s="55"/>
      <c r="S59" s="55">
        <v>20</v>
      </c>
      <c r="T59" s="55"/>
      <c r="U59" s="55"/>
      <c r="V59" s="55"/>
      <c r="W59" s="55"/>
      <c r="X59" s="55">
        <v>20</v>
      </c>
      <c r="Y59" s="67">
        <f t="shared" si="13"/>
        <v>1</v>
      </c>
      <c r="Z59" s="83">
        <v>18</v>
      </c>
      <c r="AA59" s="67">
        <f t="shared" si="12"/>
        <v>0.9</v>
      </c>
      <c r="AB59" s="150">
        <v>18</v>
      </c>
      <c r="AC59" s="151">
        <f t="shared" si="4"/>
        <v>1</v>
      </c>
      <c r="AD59" s="160">
        <f>'Summary of Avgs'!J36</f>
        <v>18</v>
      </c>
      <c r="AE59" s="151">
        <f t="shared" si="14"/>
        <v>1</v>
      </c>
      <c r="AG59" s="93"/>
    </row>
    <row r="60" spans="1:35" x14ac:dyDescent="0.35">
      <c r="A60" s="200"/>
      <c r="B60" s="41" t="s">
        <v>37</v>
      </c>
      <c r="C60" s="48">
        <v>71.55</v>
      </c>
      <c r="D60" s="48">
        <v>0.73</v>
      </c>
      <c r="E60" s="82">
        <v>78.5</v>
      </c>
      <c r="F60" s="82">
        <v>1.0722222222222224</v>
      </c>
      <c r="G60" s="143">
        <v>85.6</v>
      </c>
      <c r="H60" s="143">
        <v>1.7066666666666666</v>
      </c>
      <c r="I60" s="156">
        <f>'Summary of Avgs'!I37</f>
        <v>102.86666666666666</v>
      </c>
      <c r="J60" s="156">
        <f>'Summary of Avgs'!H37</f>
        <v>2.7733333333333334</v>
      </c>
      <c r="K60" s="41"/>
      <c r="L60" s="55"/>
      <c r="M60" s="55"/>
      <c r="N60" s="55"/>
      <c r="O60" s="55"/>
      <c r="P60" s="55"/>
      <c r="Q60" s="55"/>
      <c r="R60" s="55"/>
      <c r="S60" s="55">
        <v>20</v>
      </c>
      <c r="T60" s="55"/>
      <c r="U60" s="55"/>
      <c r="V60" s="55"/>
      <c r="W60" s="55"/>
      <c r="X60" s="55">
        <v>20</v>
      </c>
      <c r="Y60" s="67">
        <f t="shared" si="13"/>
        <v>1</v>
      </c>
      <c r="Z60" s="83">
        <v>18</v>
      </c>
      <c r="AA60" s="67">
        <f t="shared" si="12"/>
        <v>0.9</v>
      </c>
      <c r="AB60" s="150">
        <v>15</v>
      </c>
      <c r="AC60" s="151">
        <f t="shared" si="4"/>
        <v>0.83333333333333337</v>
      </c>
      <c r="AD60" s="160">
        <f>'Summary of Avgs'!J37</f>
        <v>15</v>
      </c>
      <c r="AE60" s="151">
        <f t="shared" si="14"/>
        <v>1</v>
      </c>
      <c r="AG60" s="93"/>
      <c r="AI60" s="94"/>
    </row>
    <row r="61" spans="1:35" s="57" customFormat="1" x14ac:dyDescent="0.35">
      <c r="A61" s="1" t="s">
        <v>38</v>
      </c>
      <c r="B61" s="40"/>
      <c r="C61" s="1"/>
      <c r="D61" s="1"/>
      <c r="E61" s="43"/>
      <c r="F61" s="43"/>
      <c r="G61" s="110"/>
      <c r="H61" s="110"/>
      <c r="I61" s="110">
        <f>AVERAGE(I43:I60)</f>
        <v>100.86687606794816</v>
      </c>
      <c r="J61" s="110">
        <f>AVERAGE(J43:J60)</f>
        <v>2.5463588315354202</v>
      </c>
      <c r="K61" s="40"/>
      <c r="L61" s="40"/>
      <c r="M61" s="40"/>
      <c r="N61" s="40"/>
      <c r="O61" s="40"/>
      <c r="P61" s="40"/>
      <c r="Q61" s="1"/>
      <c r="R61" s="1"/>
      <c r="S61" s="40"/>
      <c r="T61" s="40"/>
      <c r="U61" s="40"/>
      <c r="V61" s="40"/>
      <c r="W61" s="40"/>
      <c r="X61" s="40"/>
      <c r="Y61" s="64">
        <f>AVERAGE(Y43:Y60)</f>
        <v>0.97777777777777786</v>
      </c>
      <c r="Z61" s="64"/>
      <c r="AA61" s="64">
        <f>AVERAGE(AA43:AA60)</f>
        <v>0.92103638726445758</v>
      </c>
      <c r="AB61" s="64"/>
      <c r="AC61" s="153">
        <f>AVERAGE(AC43:AC60)</f>
        <v>0.82430143215859131</v>
      </c>
      <c r="AD61" s="153"/>
      <c r="AE61" s="171">
        <f>AVERAGE(AE43:AE60)</f>
        <v>0.98713819728312502</v>
      </c>
      <c r="AF61" s="68"/>
      <c r="AG61" s="92"/>
      <c r="AH61" s="56"/>
      <c r="AI61" s="56"/>
    </row>
    <row r="62" spans="1:35" x14ac:dyDescent="0.35">
      <c r="AC62" s="91"/>
      <c r="AD62" s="40" t="s">
        <v>139</v>
      </c>
      <c r="AE62" s="170">
        <f>AVERAGE(AE28,AE42,AE61)</f>
        <v>0.99258696938351287</v>
      </c>
    </row>
    <row r="63" spans="1:35" x14ac:dyDescent="0.35">
      <c r="Y63" s="91"/>
      <c r="AA63" s="91"/>
      <c r="AB63" s="91"/>
      <c r="AC63" s="91"/>
      <c r="AD63" s="91"/>
      <c r="AE63" s="91"/>
    </row>
    <row r="64" spans="1:35" x14ac:dyDescent="0.35">
      <c r="A64" s="195" t="s">
        <v>101</v>
      </c>
      <c r="B64" s="195"/>
    </row>
    <row r="65" spans="1:2" x14ac:dyDescent="0.35">
      <c r="B65"/>
    </row>
    <row r="66" spans="1:2" x14ac:dyDescent="0.35">
      <c r="A66" s="111" t="s">
        <v>102</v>
      </c>
      <c r="B66" s="111" t="s">
        <v>103</v>
      </c>
    </row>
    <row r="67" spans="1:2" x14ac:dyDescent="0.35">
      <c r="A67" s="112" t="s">
        <v>104</v>
      </c>
      <c r="B67" s="113">
        <v>0.76300000000000001</v>
      </c>
    </row>
    <row r="68" spans="1:2" x14ac:dyDescent="0.35">
      <c r="A68" s="112" t="s">
        <v>105</v>
      </c>
      <c r="B68" s="114">
        <v>0.73</v>
      </c>
    </row>
    <row r="69" spans="1:2" x14ac:dyDescent="0.35">
      <c r="A69" s="112" t="s">
        <v>106</v>
      </c>
      <c r="B69" s="113">
        <v>0.88400000000000001</v>
      </c>
    </row>
    <row r="70" spans="1:2" x14ac:dyDescent="0.35">
      <c r="A70" s="112" t="s">
        <v>107</v>
      </c>
      <c r="B70" s="114">
        <v>0.85499999999999998</v>
      </c>
    </row>
    <row r="71" spans="1:2" x14ac:dyDescent="0.35">
      <c r="A71" s="112" t="s">
        <v>108</v>
      </c>
      <c r="B71" s="113">
        <v>0.79200000000000004</v>
      </c>
    </row>
    <row r="72" spans="1:2" x14ac:dyDescent="0.35">
      <c r="A72" s="112" t="s">
        <v>109</v>
      </c>
      <c r="B72" s="115">
        <v>0.76300000000000001</v>
      </c>
    </row>
    <row r="73" spans="1:2" x14ac:dyDescent="0.35">
      <c r="A73" s="116" t="s">
        <v>92</v>
      </c>
      <c r="B73" s="117">
        <f>AVERAGE(B67:B72)</f>
        <v>0.79783333333333328</v>
      </c>
    </row>
  </sheetData>
  <mergeCells count="29">
    <mergeCell ref="AD2:AD4"/>
    <mergeCell ref="AE2:AE4"/>
    <mergeCell ref="Z2:Z4"/>
    <mergeCell ref="AA2:AA4"/>
    <mergeCell ref="A43:A60"/>
    <mergeCell ref="X2:X4"/>
    <mergeCell ref="A5:A12"/>
    <mergeCell ref="A13:A19"/>
    <mergeCell ref="A20:A27"/>
    <mergeCell ref="A29:A41"/>
    <mergeCell ref="M2:N2"/>
    <mergeCell ref="Y2:Y4"/>
    <mergeCell ref="A2:A4"/>
    <mergeCell ref="B2:B4"/>
    <mergeCell ref="C2:D2"/>
    <mergeCell ref="E2:F2"/>
    <mergeCell ref="AB2:AB4"/>
    <mergeCell ref="AC2:AC4"/>
    <mergeCell ref="A64:B64"/>
    <mergeCell ref="W2:W4"/>
    <mergeCell ref="G2:H2"/>
    <mergeCell ref="I2:J2"/>
    <mergeCell ref="T2:T4"/>
    <mergeCell ref="V2:V4"/>
    <mergeCell ref="S2:S4"/>
    <mergeCell ref="U2:U4"/>
    <mergeCell ref="K2:L2"/>
    <mergeCell ref="Q2:R2"/>
    <mergeCell ref="O2:P2"/>
  </mergeCells>
  <phoneticPr fontId="8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8D2A7-C677-1445-B419-C8DE8C7F329B}">
  <dimension ref="A1:P123"/>
  <sheetViews>
    <sheetView tabSelected="1" topLeftCell="A110" zoomScale="70" zoomScaleNormal="70" workbookViewId="0">
      <selection activeCell="H113" sqref="H113"/>
    </sheetView>
  </sheetViews>
  <sheetFormatPr defaultColWidth="10.81640625" defaultRowHeight="14.5" x14ac:dyDescent="0.35"/>
  <cols>
    <col min="1" max="1" width="23.81640625" style="15" customWidth="1"/>
    <col min="2" max="2" width="15.54296875" style="26" customWidth="1"/>
    <col min="3" max="3" width="12" style="26" customWidth="1"/>
    <col min="4" max="4" width="17.1796875" style="26" bestFit="1" customWidth="1"/>
    <col min="5" max="6" width="12.36328125" style="26" customWidth="1"/>
    <col min="7" max="7" width="17.81640625" style="26" customWidth="1"/>
    <col min="8" max="8" width="17.6328125" style="26" bestFit="1" customWidth="1"/>
    <col min="9" max="9" width="17.08984375" style="27" customWidth="1"/>
    <col min="10" max="10" width="9.90625" style="15" customWidth="1"/>
    <col min="11" max="11" width="21.6328125" style="71" bestFit="1" customWidth="1"/>
    <col min="12" max="12" width="9.6328125" style="71" customWidth="1"/>
    <col min="13" max="13" width="9.453125" style="71" customWidth="1"/>
    <col min="14" max="14" width="21.6328125" style="71" bestFit="1" customWidth="1"/>
    <col min="15" max="15" width="8.1796875" style="71" customWidth="1"/>
    <col min="16" max="16" width="10.81640625" style="15" customWidth="1"/>
    <col min="17" max="17" width="11.54296875" style="15" customWidth="1"/>
    <col min="18" max="18" width="10.81640625" style="15" customWidth="1"/>
    <col min="19" max="19" width="12.36328125" style="15" customWidth="1"/>
    <col min="20" max="16384" width="10.81640625" style="15"/>
  </cols>
  <sheetData>
    <row r="1" spans="1:15" s="13" customFormat="1" ht="43.5" x14ac:dyDescent="0.35">
      <c r="A1" s="10"/>
      <c r="B1" s="10" t="s">
        <v>41</v>
      </c>
      <c r="C1" s="11" t="s">
        <v>0</v>
      </c>
      <c r="D1" s="11" t="s">
        <v>3</v>
      </c>
      <c r="E1" s="11" t="s">
        <v>42</v>
      </c>
      <c r="F1" s="11" t="s">
        <v>43</v>
      </c>
      <c r="G1" s="11" t="s">
        <v>44</v>
      </c>
      <c r="H1" s="11" t="s">
        <v>45</v>
      </c>
      <c r="I1" s="12" t="s">
        <v>46</v>
      </c>
      <c r="K1" s="173" t="s">
        <v>144</v>
      </c>
      <c r="L1" s="173"/>
      <c r="M1" s="70"/>
      <c r="N1" s="174" t="s">
        <v>142</v>
      </c>
      <c r="O1" s="174"/>
    </row>
    <row r="2" spans="1:15" x14ac:dyDescent="0.35">
      <c r="A2" s="211">
        <v>2015</v>
      </c>
      <c r="B2" s="6"/>
      <c r="C2" s="6" t="s">
        <v>1</v>
      </c>
      <c r="D2" s="6" t="s">
        <v>65</v>
      </c>
      <c r="E2" s="6"/>
      <c r="F2" s="6"/>
      <c r="G2" s="6"/>
      <c r="H2" s="6"/>
      <c r="I2" s="14"/>
      <c r="K2" s="178"/>
      <c r="L2" s="178"/>
      <c r="N2" s="179"/>
      <c r="O2" s="179"/>
    </row>
    <row r="3" spans="1:15" x14ac:dyDescent="0.35">
      <c r="A3" s="212"/>
      <c r="B3" s="6">
        <v>4</v>
      </c>
      <c r="C3" s="14">
        <f>'Summary of Avgs'!C5</f>
        <v>3.0625000000000013</v>
      </c>
      <c r="D3" s="14">
        <f>'Summary of Avgs'!D5/100</f>
        <v>2.59375</v>
      </c>
      <c r="E3" s="14">
        <f>0.22*'Growth data'!$B$73*(C3^2*D3)^0.82</f>
        <v>2.4039238771153499</v>
      </c>
      <c r="F3" s="14">
        <f>1.69*'Growth data'!$B$73*(C3^2*D3)^0.4</f>
        <v>4.8331581381043947</v>
      </c>
      <c r="G3" s="14">
        <f t="shared" ref="G3:G10" si="0">SUM(E3:F3)</f>
        <v>7.2370820152197446</v>
      </c>
      <c r="H3" s="6">
        <v>4000</v>
      </c>
      <c r="I3" s="14">
        <f t="shared" ref="I3:I10" si="1">G3*H3/1000</f>
        <v>28.948328060878978</v>
      </c>
      <c r="K3" s="178" t="s">
        <v>110</v>
      </c>
      <c r="L3" s="178">
        <v>29.620924406411838</v>
      </c>
      <c r="N3" s="179" t="s">
        <v>110</v>
      </c>
      <c r="O3" s="179">
        <v>25.894575365399312</v>
      </c>
    </row>
    <row r="4" spans="1:15" x14ac:dyDescent="0.35">
      <c r="A4" s="212"/>
      <c r="B4" s="6">
        <v>5</v>
      </c>
      <c r="C4" s="14">
        <f>'Summary of Avgs'!C6</f>
        <v>2.8425000000000002</v>
      </c>
      <c r="D4" s="14">
        <f>'Summary of Avgs'!D6/100</f>
        <v>2.798</v>
      </c>
      <c r="E4" s="14">
        <f>0.22*'Growth data'!$B$73*(C4^2*D4)^0.82</f>
        <v>2.2636994042822614</v>
      </c>
      <c r="F4" s="14">
        <f>1.69*'Growth data'!$B$73*(C4^2*D4)^0.4</f>
        <v>4.6935164513740819</v>
      </c>
      <c r="G4" s="14">
        <f t="shared" si="0"/>
        <v>6.9572158556563437</v>
      </c>
      <c r="H4" s="6">
        <v>4000</v>
      </c>
      <c r="I4" s="14">
        <f t="shared" si="1"/>
        <v>27.828863422625375</v>
      </c>
      <c r="K4" s="178" t="s">
        <v>111</v>
      </c>
      <c r="L4" s="178">
        <v>2.3263327920629764</v>
      </c>
      <c r="N4" s="179" t="s">
        <v>111</v>
      </c>
      <c r="O4" s="179">
        <v>1.9444153197916578</v>
      </c>
    </row>
    <row r="5" spans="1:15" x14ac:dyDescent="0.35">
      <c r="A5" s="212"/>
      <c r="B5" s="6">
        <v>11</v>
      </c>
      <c r="C5" s="14">
        <f>'Summary of Avgs'!C7</f>
        <v>3.1551020408163275</v>
      </c>
      <c r="D5" s="14">
        <f>'Summary of Avgs'!D7/100</f>
        <v>1.9177551020408163</v>
      </c>
      <c r="E5" s="14">
        <f>0.22*'Growth data'!$B$73*(C5^2*D5)^0.82</f>
        <v>1.9706397102552853</v>
      </c>
      <c r="F5" s="14">
        <f>1.69*'Growth data'!$B$73*(C5^2*D5)^0.4</f>
        <v>4.3865882207665932</v>
      </c>
      <c r="G5" s="14">
        <f t="shared" si="0"/>
        <v>6.3572279310218782</v>
      </c>
      <c r="H5" s="6">
        <v>4000</v>
      </c>
      <c r="I5" s="14">
        <f t="shared" si="1"/>
        <v>25.428911724087513</v>
      </c>
      <c r="K5" s="178" t="s">
        <v>112</v>
      </c>
      <c r="L5" s="178">
        <v>28.388595741752177</v>
      </c>
      <c r="N5" s="179" t="s">
        <v>112</v>
      </c>
      <c r="O5" s="179">
        <v>25.537522947616544</v>
      </c>
    </row>
    <row r="6" spans="1:15" x14ac:dyDescent="0.35">
      <c r="A6" s="212"/>
      <c r="B6" s="6">
        <v>33</v>
      </c>
      <c r="C6" s="14">
        <f>'Summary of Avgs'!C8</f>
        <v>5.2541666666666655</v>
      </c>
      <c r="D6" s="14">
        <f>'Summary of Avgs'!D8/100</f>
        <v>1.2</v>
      </c>
      <c r="E6" s="14">
        <f>0.22*'Growth data'!$B$73*(C6^2*D6)^0.82</f>
        <v>3.096633339489848</v>
      </c>
      <c r="F6" s="14">
        <f>1.69*'Growth data'!$B$73*(C6^2*D6)^0.4</f>
        <v>5.4685785672699199</v>
      </c>
      <c r="G6" s="14">
        <f t="shared" si="0"/>
        <v>8.5652119067597674</v>
      </c>
      <c r="H6" s="6">
        <v>4000</v>
      </c>
      <c r="I6" s="14">
        <f t="shared" si="1"/>
        <v>34.26084762703907</v>
      </c>
      <c r="K6" s="178" t="s">
        <v>113</v>
      </c>
      <c r="L6" s="178" t="e">
        <v>#N/A</v>
      </c>
      <c r="N6" s="179" t="s">
        <v>113</v>
      </c>
      <c r="O6" s="179" t="e">
        <v>#N/A</v>
      </c>
    </row>
    <row r="7" spans="1:15" x14ac:dyDescent="0.35">
      <c r="A7" s="212"/>
      <c r="B7" s="6">
        <v>45</v>
      </c>
      <c r="C7" s="14">
        <f>'Summary of Avgs'!C9</f>
        <v>2.6666666666666665</v>
      </c>
      <c r="D7" s="14">
        <f>'Summary of Avgs'!D9/100</f>
        <v>2.3969230769230769</v>
      </c>
      <c r="E7" s="14">
        <f>0.22*'Growth data'!$B$73*(C7^2*D7)^0.82</f>
        <v>1.7957254515876262</v>
      </c>
      <c r="F7" s="14">
        <f>1.69*'Growth data'!$B$73*(C7^2*D7)^0.4</f>
        <v>4.1921373779658371</v>
      </c>
      <c r="G7" s="14">
        <f t="shared" si="0"/>
        <v>5.9878628295534631</v>
      </c>
      <c r="H7" s="6">
        <v>4000</v>
      </c>
      <c r="I7" s="14">
        <f t="shared" si="1"/>
        <v>23.951451318213852</v>
      </c>
      <c r="K7" s="178" t="s">
        <v>114</v>
      </c>
      <c r="L7" s="178">
        <v>6.5798627702574617</v>
      </c>
      <c r="N7" s="179" t="s">
        <v>114</v>
      </c>
      <c r="O7" s="179">
        <v>5.1444393815928544</v>
      </c>
    </row>
    <row r="8" spans="1:15" x14ac:dyDescent="0.35">
      <c r="A8" s="212"/>
      <c r="B8" s="6">
        <v>53</v>
      </c>
      <c r="C8" s="14">
        <f>'Summary of Avgs'!C10</f>
        <v>4.3690909090909082</v>
      </c>
      <c r="D8" s="14">
        <f>'Summary of Avgs'!D10/100</f>
        <v>1.6792727272727275</v>
      </c>
      <c r="E8" s="14">
        <f>0.22*'Growth data'!$B$73*(C8^2*D8)^0.82</f>
        <v>3.0142248348603879</v>
      </c>
      <c r="F8" s="14">
        <f>1.69*'Growth data'!$B$73*(C8^2*D8)^0.4</f>
        <v>5.3970972126664689</v>
      </c>
      <c r="G8" s="14">
        <f t="shared" si="0"/>
        <v>8.4113220475268573</v>
      </c>
      <c r="H8" s="6">
        <v>4000</v>
      </c>
      <c r="I8" s="14">
        <f t="shared" si="1"/>
        <v>33.645288190107429</v>
      </c>
      <c r="K8" s="178" t="s">
        <v>115</v>
      </c>
      <c r="L8" s="178">
        <v>43.2945940754202</v>
      </c>
      <c r="N8" s="179" t="s">
        <v>115</v>
      </c>
      <c r="O8" s="179">
        <v>26.465256550883471</v>
      </c>
    </row>
    <row r="9" spans="1:15" x14ac:dyDescent="0.35">
      <c r="A9" s="212"/>
      <c r="B9" s="6">
        <v>90</v>
      </c>
      <c r="C9" s="14">
        <f>'Summary of Avgs'!C11</f>
        <v>3.2347826086956526</v>
      </c>
      <c r="D9" s="14">
        <f>'Summary of Avgs'!D11/100</f>
        <v>1.3034782608695652</v>
      </c>
      <c r="E9" s="14">
        <f>0.22*'Growth data'!$B$73*(C9^2*D9)^0.82</f>
        <v>1.4957738315077993</v>
      </c>
      <c r="F9" s="14">
        <f>1.69*'Growth data'!$B$73*(C9^2*D9)^0.4</f>
        <v>3.8345683057860636</v>
      </c>
      <c r="G9" s="14">
        <f t="shared" si="0"/>
        <v>5.3303421372938633</v>
      </c>
      <c r="H9" s="6">
        <v>4000</v>
      </c>
      <c r="I9" s="14">
        <f>G9*H9/1000</f>
        <v>21.321368549175453</v>
      </c>
      <c r="K9" s="178" t="s">
        <v>116</v>
      </c>
      <c r="L9" s="178">
        <v>9.2380381470214878E-2</v>
      </c>
      <c r="N9" s="179" t="s">
        <v>116</v>
      </c>
      <c r="O9" s="179">
        <v>-0.88357907014107351</v>
      </c>
    </row>
    <row r="10" spans="1:15" x14ac:dyDescent="0.35">
      <c r="A10" s="212"/>
      <c r="B10" s="6">
        <v>99</v>
      </c>
      <c r="C10" s="14">
        <f>'Summary of Avgs'!C12</f>
        <v>4.3157894736842106</v>
      </c>
      <c r="D10" s="14">
        <f>'Summary of Avgs'!D12/100</f>
        <v>2.5150000000000001</v>
      </c>
      <c r="E10" s="14">
        <f>0.22*'Growth data'!$B$73*(C10^2*D10)^0.82</f>
        <v>4.1140997900428458</v>
      </c>
      <c r="F10" s="14">
        <f>1.69*'Growth data'!$B$73*(C10^2*D10)^0.4</f>
        <v>6.2814842997489118</v>
      </c>
      <c r="G10" s="14">
        <f t="shared" si="0"/>
        <v>10.395584089791758</v>
      </c>
      <c r="H10" s="6">
        <v>4000</v>
      </c>
      <c r="I10" s="14">
        <f t="shared" si="1"/>
        <v>41.58233635916703</v>
      </c>
      <c r="K10" s="178" t="s">
        <v>117</v>
      </c>
      <c r="L10" s="178">
        <v>0.69725316063032527</v>
      </c>
      <c r="N10" s="179" t="s">
        <v>117</v>
      </c>
      <c r="O10" s="179">
        <v>0.13565446472983736</v>
      </c>
    </row>
    <row r="11" spans="1:15" x14ac:dyDescent="0.35">
      <c r="A11" s="212"/>
      <c r="B11" s="6"/>
      <c r="C11" s="14"/>
      <c r="D11" s="14"/>
      <c r="E11" s="6"/>
      <c r="F11" s="6"/>
      <c r="G11" s="6"/>
      <c r="H11" s="6" t="s">
        <v>47</v>
      </c>
      <c r="I11" s="14">
        <f>L3</f>
        <v>29.620924406411838</v>
      </c>
      <c r="J11" s="86"/>
      <c r="K11" s="178" t="s">
        <v>118</v>
      </c>
      <c r="L11" s="178">
        <v>20.260967809991577</v>
      </c>
      <c r="N11" s="179" t="s">
        <v>118</v>
      </c>
      <c r="O11" s="179">
        <v>14.242065872752136</v>
      </c>
    </row>
    <row r="12" spans="1:15" x14ac:dyDescent="0.35">
      <c r="A12" s="212"/>
      <c r="B12" s="6"/>
      <c r="C12" s="6"/>
      <c r="D12" s="6"/>
      <c r="E12" s="6"/>
      <c r="F12" s="6"/>
      <c r="G12" s="6"/>
      <c r="H12" s="6" t="s">
        <v>48</v>
      </c>
      <c r="I12" s="14">
        <f>L7</f>
        <v>6.5798627702574617</v>
      </c>
      <c r="J12" s="86"/>
      <c r="K12" s="178" t="s">
        <v>119</v>
      </c>
      <c r="L12" s="178">
        <v>21.321368549175453</v>
      </c>
      <c r="N12" s="179" t="s">
        <v>119</v>
      </c>
      <c r="O12" s="179">
        <v>18.827832877702235</v>
      </c>
    </row>
    <row r="13" spans="1:15" x14ac:dyDescent="0.35">
      <c r="A13" s="212"/>
      <c r="B13" s="6"/>
      <c r="C13" s="6"/>
      <c r="D13" s="6"/>
      <c r="E13" s="6"/>
      <c r="F13" s="6"/>
      <c r="G13" s="6"/>
      <c r="H13" s="6" t="s">
        <v>49</v>
      </c>
      <c r="I13" s="14">
        <f>L4</f>
        <v>2.3263327920629764</v>
      </c>
      <c r="J13" s="86"/>
      <c r="K13" s="178" t="s">
        <v>120</v>
      </c>
      <c r="L13" s="178">
        <v>41.58233635916703</v>
      </c>
      <c r="N13" s="179" t="s">
        <v>120</v>
      </c>
      <c r="O13" s="179">
        <v>33.069898750454371</v>
      </c>
    </row>
    <row r="14" spans="1:15" x14ac:dyDescent="0.35">
      <c r="A14" s="212"/>
      <c r="B14" s="6"/>
      <c r="C14" s="6"/>
      <c r="D14" s="6"/>
      <c r="E14" s="6"/>
      <c r="F14" s="6"/>
      <c r="G14" s="6"/>
      <c r="H14" s="6" t="s">
        <v>50</v>
      </c>
      <c r="I14" s="14">
        <f>L16</f>
        <v>4.4074203361618158</v>
      </c>
      <c r="J14" s="86"/>
      <c r="K14" s="178" t="s">
        <v>121</v>
      </c>
      <c r="L14" s="178">
        <v>236.9673952512947</v>
      </c>
      <c r="N14" s="179" t="s">
        <v>121</v>
      </c>
      <c r="O14" s="179">
        <v>181.26202755779519</v>
      </c>
    </row>
    <row r="15" spans="1:15" x14ac:dyDescent="0.35">
      <c r="A15" s="213"/>
      <c r="B15" s="6"/>
      <c r="C15" s="6"/>
      <c r="D15" s="6"/>
      <c r="E15" s="6"/>
      <c r="F15" s="6"/>
      <c r="G15" s="6"/>
      <c r="H15" s="6" t="s">
        <v>51</v>
      </c>
      <c r="I15" s="14">
        <f>(I14/I11)*100</f>
        <v>14.879415225838704</v>
      </c>
      <c r="J15" s="85"/>
      <c r="K15" s="178" t="s">
        <v>122</v>
      </c>
      <c r="L15" s="178">
        <v>8</v>
      </c>
      <c r="N15" s="179" t="s">
        <v>122</v>
      </c>
      <c r="O15" s="179">
        <v>7</v>
      </c>
    </row>
    <row r="16" spans="1:15" s="13" customFormat="1" ht="43.5" x14ac:dyDescent="0.35">
      <c r="A16" s="10"/>
      <c r="B16" s="10" t="s">
        <v>41</v>
      </c>
      <c r="C16" s="11" t="s">
        <v>0</v>
      </c>
      <c r="D16" s="11" t="s">
        <v>3</v>
      </c>
      <c r="E16" s="11" t="s">
        <v>42</v>
      </c>
      <c r="F16" s="11" t="s">
        <v>43</v>
      </c>
      <c r="G16" s="11" t="s">
        <v>44</v>
      </c>
      <c r="H16" s="11" t="s">
        <v>45</v>
      </c>
      <c r="I16" s="12" t="s">
        <v>46</v>
      </c>
      <c r="J16" s="15"/>
      <c r="K16" s="178" t="s">
        <v>123</v>
      </c>
      <c r="L16" s="178">
        <v>4.4074203361618158</v>
      </c>
      <c r="M16" s="70"/>
      <c r="N16" s="179" t="s">
        <v>123</v>
      </c>
      <c r="O16" s="179">
        <v>3.7783495065510069</v>
      </c>
    </row>
    <row r="17" spans="1:16" x14ac:dyDescent="0.35">
      <c r="A17" s="214">
        <v>2016</v>
      </c>
      <c r="B17" s="7"/>
      <c r="C17" s="7" t="s">
        <v>1</v>
      </c>
      <c r="D17" s="7" t="s">
        <v>65</v>
      </c>
      <c r="E17" s="7"/>
      <c r="F17" s="7"/>
      <c r="G17" s="7"/>
      <c r="H17" s="7"/>
      <c r="I17" s="16"/>
      <c r="M17" s="15"/>
      <c r="N17" s="15"/>
      <c r="O17" s="15"/>
    </row>
    <row r="18" spans="1:16" x14ac:dyDescent="0.35">
      <c r="A18" s="215"/>
      <c r="B18" s="7">
        <v>21</v>
      </c>
      <c r="C18" s="16">
        <f>'Summary of Avgs'!H6</f>
        <v>3.3551724137931029</v>
      </c>
      <c r="D18" s="16">
        <f>'Summary of Avgs'!I6/100</f>
        <v>1.1722413793103448</v>
      </c>
      <c r="E18" s="16">
        <f>0.22*'Growth data'!$B$73*(C18^2*D18)^0.82</f>
        <v>1.455798201274195</v>
      </c>
      <c r="F18" s="16">
        <f>1.69*'Growth data'!$B$73*(C18^2*D18)^0.4</f>
        <v>3.7842304385733065</v>
      </c>
      <c r="G18" s="16">
        <f t="shared" ref="G18:G24" si="2">SUM(E18:F18)</f>
        <v>5.2400286398475018</v>
      </c>
      <c r="H18" s="7">
        <v>4000</v>
      </c>
      <c r="I18" s="16">
        <f t="shared" ref="I18:I24" si="3">G18*H18/1000</f>
        <v>20.960114559390007</v>
      </c>
      <c r="K18" s="72"/>
      <c r="L18" s="73"/>
      <c r="M18" s="73"/>
      <c r="N18" s="73"/>
      <c r="O18" s="73"/>
      <c r="P18" s="73"/>
    </row>
    <row r="19" spans="1:16" x14ac:dyDescent="0.35">
      <c r="A19" s="215"/>
      <c r="B19" s="7">
        <v>25</v>
      </c>
      <c r="C19" s="16">
        <f>'Summary of Avgs'!H7</f>
        <v>2.9870370370370374</v>
      </c>
      <c r="D19" s="16">
        <f>'Summary of Avgs'!I7/100</f>
        <v>2.255185185185185</v>
      </c>
      <c r="E19" s="16">
        <f>0.22*'Growth data'!$B$73*(C19^2*D19)^0.82</f>
        <v>2.057495369310113</v>
      </c>
      <c r="F19" s="16">
        <f>1.69*'Growth data'!$B$73*(C19^2*D19)^0.4</f>
        <v>4.4798580363822333</v>
      </c>
      <c r="G19" s="16">
        <f t="shared" si="2"/>
        <v>6.5373534056923468</v>
      </c>
      <c r="H19" s="7">
        <v>4000</v>
      </c>
      <c r="I19" s="16">
        <f t="shared" si="3"/>
        <v>26.149413622769387</v>
      </c>
      <c r="K19" s="72"/>
      <c r="L19" s="73"/>
      <c r="M19" s="73"/>
      <c r="N19" s="73"/>
      <c r="O19" s="73"/>
      <c r="P19" s="73"/>
    </row>
    <row r="20" spans="1:16" x14ac:dyDescent="0.35">
      <c r="A20" s="215"/>
      <c r="B20" s="7">
        <v>32</v>
      </c>
      <c r="C20" s="16">
        <f>'Summary of Avgs'!H8</f>
        <v>3.4457142857142862</v>
      </c>
      <c r="D20" s="16">
        <f>'Summary of Avgs'!I8/100</f>
        <v>0.9017142857142858</v>
      </c>
      <c r="E20" s="16">
        <f>0.22*'Growth data'!$B$73*(C20^2*D20)^0.82</f>
        <v>1.2263922266789016</v>
      </c>
      <c r="F20" s="16">
        <f>1.69*'Growth data'!$B$73*(C20^2*D20)^0.4</f>
        <v>3.4805659927466577</v>
      </c>
      <c r="G20" s="16">
        <f t="shared" si="2"/>
        <v>4.7069582194255588</v>
      </c>
      <c r="H20" s="7">
        <v>4000</v>
      </c>
      <c r="I20" s="16">
        <f t="shared" si="3"/>
        <v>18.827832877702235</v>
      </c>
      <c r="K20" s="72"/>
      <c r="L20" s="73"/>
      <c r="M20" s="73"/>
      <c r="N20" s="73"/>
      <c r="O20" s="73"/>
      <c r="P20" s="73"/>
    </row>
    <row r="21" spans="1:16" x14ac:dyDescent="0.35">
      <c r="A21" s="215"/>
      <c r="B21" s="7">
        <v>34</v>
      </c>
      <c r="C21" s="16">
        <f>'Summary of Avgs'!H9</f>
        <v>4.379999999999999</v>
      </c>
      <c r="D21" s="16">
        <f>'Summary of Avgs'!I9/100</f>
        <v>0.9740833333333333</v>
      </c>
      <c r="E21" s="16">
        <f>0.22*'Growth data'!$B$73*(C21^2*D21)^0.82</f>
        <v>1.9364273656167856</v>
      </c>
      <c r="F21" s="16">
        <f>1.69*'Growth data'!$B$73*(C21^2*D21)^0.4</f>
        <v>4.3492724627186989</v>
      </c>
      <c r="G21" s="16">
        <f t="shared" si="2"/>
        <v>6.2856998283354848</v>
      </c>
      <c r="H21" s="7">
        <v>4000</v>
      </c>
      <c r="I21" s="16">
        <f t="shared" si="3"/>
        <v>25.142799313341939</v>
      </c>
      <c r="K21" s="72"/>
      <c r="L21" s="73"/>
      <c r="M21" s="73"/>
      <c r="N21" s="73"/>
      <c r="O21" s="73"/>
      <c r="P21" s="73"/>
    </row>
    <row r="22" spans="1:16" x14ac:dyDescent="0.35">
      <c r="A22" s="215"/>
      <c r="B22" s="7">
        <v>43</v>
      </c>
      <c r="C22" s="16">
        <f>'Summary of Avgs'!H10</f>
        <v>3.9857142857142858</v>
      </c>
      <c r="D22" s="16">
        <f>'Summary of Avgs'!I10/100</f>
        <v>1.2114285714285713</v>
      </c>
      <c r="E22" s="16">
        <f>0.22*'Growth data'!$B$73*(C22^2*D22)^0.82</f>
        <v>1.9836688415556192</v>
      </c>
      <c r="F22" s="16">
        <f>1.69*'Growth data'!$B$73*(C22^2*D22)^0.4</f>
        <v>4.4007118953485165</v>
      </c>
      <c r="G22" s="16">
        <f t="shared" si="2"/>
        <v>6.3843807369041361</v>
      </c>
      <c r="H22" s="7">
        <v>4000</v>
      </c>
      <c r="I22" s="16">
        <f t="shared" si="3"/>
        <v>25.537522947616544</v>
      </c>
      <c r="M22" s="73"/>
      <c r="N22" s="73"/>
      <c r="O22" s="73"/>
      <c r="P22" s="73"/>
    </row>
    <row r="23" spans="1:16" x14ac:dyDescent="0.35">
      <c r="A23" s="215"/>
      <c r="B23" s="7">
        <v>48</v>
      </c>
      <c r="C23" s="16">
        <f>'Summary of Avgs'!H11</f>
        <v>4.5432098765432114</v>
      </c>
      <c r="D23" s="16">
        <f>'Summary of Avgs'!I11/100</f>
        <v>1.3830864197530863</v>
      </c>
      <c r="E23" s="16">
        <f>0.22*'Growth data'!$B$73*(C23^2*D23)^0.82</f>
        <v>2.7409826693769155</v>
      </c>
      <c r="F23" s="16">
        <f>1.69*'Growth data'!$B$73*(C23^2*D23)^0.4</f>
        <v>5.1526287022532626</v>
      </c>
      <c r="G23" s="16">
        <f t="shared" si="2"/>
        <v>7.8936113716301781</v>
      </c>
      <c r="H23" s="7">
        <v>4000</v>
      </c>
      <c r="I23" s="16">
        <f t="shared" si="3"/>
        <v>31.574445486520712</v>
      </c>
    </row>
    <row r="24" spans="1:16" x14ac:dyDescent="0.35">
      <c r="A24" s="215"/>
      <c r="B24" s="7">
        <v>73</v>
      </c>
      <c r="C24" s="16">
        <f>'Summary of Avgs'!H12</f>
        <v>4.3803030303030317</v>
      </c>
      <c r="D24" s="16">
        <f>'Summary of Avgs'!I12/100</f>
        <v>1.6190909090909091</v>
      </c>
      <c r="E24" s="16">
        <f>0.22*'Growth data'!$B$73*(C24^2*D24)^0.82</f>
        <v>2.9376772912538049</v>
      </c>
      <c r="F24" s="16">
        <f>1.69*'Growth data'!$B$73*(C24^2*D24)^0.4</f>
        <v>5.3297973963597887</v>
      </c>
      <c r="G24" s="16">
        <f t="shared" si="2"/>
        <v>8.2674746876135927</v>
      </c>
      <c r="H24" s="7">
        <v>4000</v>
      </c>
      <c r="I24" s="16">
        <f t="shared" si="3"/>
        <v>33.069898750454371</v>
      </c>
    </row>
    <row r="25" spans="1:16" x14ac:dyDescent="0.35">
      <c r="A25" s="215"/>
      <c r="B25" s="7"/>
      <c r="C25" s="7"/>
      <c r="D25" s="7"/>
      <c r="E25" s="7"/>
      <c r="F25" s="7"/>
      <c r="G25" s="7"/>
      <c r="H25" s="7" t="s">
        <v>47</v>
      </c>
      <c r="I25" s="16">
        <f>O3</f>
        <v>25.894575365399312</v>
      </c>
      <c r="J25" s="74"/>
      <c r="O25" s="72"/>
    </row>
    <row r="26" spans="1:16" x14ac:dyDescent="0.35">
      <c r="A26" s="215"/>
      <c r="B26" s="7"/>
      <c r="C26" s="7"/>
      <c r="D26" s="7"/>
      <c r="E26" s="7"/>
      <c r="F26" s="7"/>
      <c r="G26" s="7"/>
      <c r="H26" s="7" t="s">
        <v>48</v>
      </c>
      <c r="I26" s="16">
        <f>O7</f>
        <v>5.1444393815928544</v>
      </c>
      <c r="J26" s="74"/>
    </row>
    <row r="27" spans="1:16" x14ac:dyDescent="0.35">
      <c r="A27" s="215"/>
      <c r="B27" s="7"/>
      <c r="C27" s="7"/>
      <c r="D27" s="7"/>
      <c r="E27" s="7"/>
      <c r="F27" s="7"/>
      <c r="G27" s="7"/>
      <c r="H27" s="7" t="s">
        <v>49</v>
      </c>
      <c r="I27" s="16">
        <f>O4</f>
        <v>1.9444153197916578</v>
      </c>
      <c r="J27" s="74"/>
      <c r="K27" s="175" t="s">
        <v>145</v>
      </c>
      <c r="L27" s="175"/>
    </row>
    <row r="28" spans="1:16" x14ac:dyDescent="0.35">
      <c r="A28" s="215"/>
      <c r="B28" s="7"/>
      <c r="C28" s="7"/>
      <c r="D28" s="7"/>
      <c r="E28" s="7"/>
      <c r="F28" s="7"/>
      <c r="G28" s="7"/>
      <c r="H28" s="7" t="s">
        <v>50</v>
      </c>
      <c r="I28" s="16">
        <f>O16</f>
        <v>3.7783495065510069</v>
      </c>
      <c r="J28" s="74"/>
      <c r="K28" s="180"/>
      <c r="L28" s="180"/>
    </row>
    <row r="29" spans="1:16" x14ac:dyDescent="0.35">
      <c r="A29" s="216"/>
      <c r="B29" s="7"/>
      <c r="C29" s="7"/>
      <c r="D29" s="7"/>
      <c r="E29" s="7"/>
      <c r="F29" s="7"/>
      <c r="G29" s="7"/>
      <c r="H29" s="7" t="s">
        <v>51</v>
      </c>
      <c r="I29" s="16">
        <f>(I28/I25)*100</f>
        <v>14.591278108385936</v>
      </c>
      <c r="J29" s="85"/>
      <c r="K29" s="180" t="s">
        <v>110</v>
      </c>
      <c r="L29" s="180">
        <v>19.675258718221539</v>
      </c>
    </row>
    <row r="30" spans="1:16" s="18" customFormat="1" ht="43.5" x14ac:dyDescent="0.35">
      <c r="A30" s="17"/>
      <c r="B30" s="10" t="s">
        <v>41</v>
      </c>
      <c r="C30" s="11" t="s">
        <v>0</v>
      </c>
      <c r="D30" s="11" t="s">
        <v>3</v>
      </c>
      <c r="E30" s="11" t="s">
        <v>42</v>
      </c>
      <c r="F30" s="11" t="s">
        <v>43</v>
      </c>
      <c r="G30" s="11" t="s">
        <v>44</v>
      </c>
      <c r="H30" s="11" t="s">
        <v>45</v>
      </c>
      <c r="I30" s="12" t="s">
        <v>46</v>
      </c>
      <c r="J30" s="15"/>
      <c r="K30" s="180" t="s">
        <v>111</v>
      </c>
      <c r="L30" s="180">
        <v>1.4505323403693264</v>
      </c>
      <c r="M30" s="71"/>
      <c r="N30" s="71"/>
      <c r="O30" s="71"/>
    </row>
    <row r="31" spans="1:16" x14ac:dyDescent="0.35">
      <c r="A31" s="217">
        <v>2017</v>
      </c>
      <c r="B31" s="8"/>
      <c r="C31" s="8" t="s">
        <v>1</v>
      </c>
      <c r="D31" s="8" t="s">
        <v>65</v>
      </c>
      <c r="E31" s="8"/>
      <c r="F31" s="8"/>
      <c r="G31" s="8"/>
      <c r="H31" s="8"/>
      <c r="I31" s="19"/>
      <c r="K31" s="180" t="s">
        <v>112</v>
      </c>
      <c r="L31" s="180">
        <v>18.886908326491788</v>
      </c>
    </row>
    <row r="32" spans="1:16" x14ac:dyDescent="0.35">
      <c r="A32" s="218"/>
      <c r="B32" s="8">
        <v>6</v>
      </c>
      <c r="C32" s="19">
        <f>'Summary of Avgs'!M5</f>
        <v>2.4846153846153851</v>
      </c>
      <c r="D32" s="19">
        <f>'Summary of Avgs'!N5/100</f>
        <v>1.5228205128205128</v>
      </c>
      <c r="E32" s="19">
        <f>0.22*'Growth data'!$B$73*(C32^2*D32)^0.82</f>
        <v>1.1023813207065354</v>
      </c>
      <c r="F32" s="19">
        <f>1.69*'Growth data'!$B$73*(C32^2*D32)^0.4</f>
        <v>3.3041952689700427</v>
      </c>
      <c r="G32" s="19">
        <f t="shared" ref="G32:G39" si="4">SUM(E32:F32)</f>
        <v>4.4065765896765781</v>
      </c>
      <c r="H32" s="8">
        <v>4000</v>
      </c>
      <c r="I32" s="19">
        <f t="shared" ref="I32:I39" si="5">G32*H32/1000</f>
        <v>17.626306358706312</v>
      </c>
      <c r="K32" s="180" t="s">
        <v>113</v>
      </c>
      <c r="L32" s="180" t="e">
        <v>#N/A</v>
      </c>
    </row>
    <row r="33" spans="1:15" x14ac:dyDescent="0.35">
      <c r="A33" s="218"/>
      <c r="B33" s="8">
        <v>19</v>
      </c>
      <c r="C33" s="19">
        <f>'Summary of Avgs'!M6</f>
        <v>2.8609756097560974</v>
      </c>
      <c r="D33" s="19">
        <f>'Summary of Avgs'!N6/100</f>
        <v>1.4634146341463414</v>
      </c>
      <c r="E33" s="19">
        <f>0.22*'Growth data'!$B$73*(C33^2*D33)^0.82</f>
        <v>1.3446812078356474</v>
      </c>
      <c r="F33" s="19">
        <f>1.69*'Growth data'!$B$73*(C33^2*D33)^0.4</f>
        <v>3.6404675437616194</v>
      </c>
      <c r="G33" s="19">
        <f t="shared" si="4"/>
        <v>4.9851487515972668</v>
      </c>
      <c r="H33" s="8">
        <v>4000</v>
      </c>
      <c r="I33" s="19">
        <f t="shared" si="5"/>
        <v>19.940595006389067</v>
      </c>
      <c r="K33" s="180" t="s">
        <v>114</v>
      </c>
      <c r="L33" s="180">
        <v>4.1027250168221761</v>
      </c>
    </row>
    <row r="34" spans="1:15" x14ac:dyDescent="0.35">
      <c r="A34" s="218"/>
      <c r="B34" s="8">
        <v>26</v>
      </c>
      <c r="C34" s="19">
        <f>'Summary of Avgs'!M7</f>
        <v>2.306896551724138</v>
      </c>
      <c r="D34" s="19">
        <f>'Summary of Avgs'!N7/100</f>
        <v>1.4468965517241379</v>
      </c>
      <c r="E34" s="19">
        <f>0.22*'Growth data'!$B$73*(C34^2*D34)^0.82</f>
        <v>0.93596521690522849</v>
      </c>
      <c r="F34" s="19">
        <f>1.69*'Growth data'!$B$73*(C34^2*D34)^0.4</f>
        <v>3.0506780007770633</v>
      </c>
      <c r="G34" s="19">
        <f t="shared" si="4"/>
        <v>3.9866432176822917</v>
      </c>
      <c r="H34" s="8">
        <v>4000</v>
      </c>
      <c r="I34" s="19">
        <f t="shared" si="5"/>
        <v>15.946572870729167</v>
      </c>
      <c r="K34" s="180" t="s">
        <v>115</v>
      </c>
      <c r="L34" s="180">
        <v>16.832352563658528</v>
      </c>
    </row>
    <row r="35" spans="1:15" x14ac:dyDescent="0.35">
      <c r="A35" s="218"/>
      <c r="B35" s="8">
        <v>62</v>
      </c>
      <c r="C35" s="19">
        <f>'Summary of Avgs'!M8</f>
        <v>3.7749999999999999</v>
      </c>
      <c r="D35" s="19">
        <f>'Summary of Avgs'!N8/100</f>
        <v>1.4515</v>
      </c>
      <c r="E35" s="19">
        <f>0.22*'Growth data'!$B$73*(C35^2*D35)^0.82</f>
        <v>2.1045955057015315</v>
      </c>
      <c r="F35" s="19">
        <f>1.69*'Growth data'!$B$73*(C35^2*D35)^0.4</f>
        <v>4.52959385195821</v>
      </c>
      <c r="G35" s="19">
        <f t="shared" si="4"/>
        <v>6.634189357659741</v>
      </c>
      <c r="H35" s="8">
        <v>4000</v>
      </c>
      <c r="I35" s="19">
        <f t="shared" si="5"/>
        <v>26.536757430638964</v>
      </c>
      <c r="K35" s="180" t="s">
        <v>116</v>
      </c>
      <c r="L35" s="180">
        <v>-0.57456946025533462</v>
      </c>
    </row>
    <row r="36" spans="1:15" x14ac:dyDescent="0.35">
      <c r="A36" s="218"/>
      <c r="B36" s="8">
        <v>68</v>
      </c>
      <c r="C36" s="19">
        <f>'Summary of Avgs'!M9</f>
        <v>2.4</v>
      </c>
      <c r="D36" s="19">
        <f>'Summary of Avgs'!N9/100</f>
        <v>1.0604651162790697</v>
      </c>
      <c r="E36" s="19">
        <f>0.22*'Growth data'!$B$73*(C36^2*D36)^0.82</f>
        <v>0.77408442933819666</v>
      </c>
      <c r="F36" s="19">
        <f>1.69*'Growth data'!$B$73*(C36^2*D36)^0.4</f>
        <v>2.7807787109501856</v>
      </c>
      <c r="G36" s="19">
        <f t="shared" si="4"/>
        <v>3.5548631402883824</v>
      </c>
      <c r="H36" s="8">
        <v>4000</v>
      </c>
      <c r="I36" s="19">
        <f t="shared" si="5"/>
        <v>14.219452561153529</v>
      </c>
      <c r="K36" s="180" t="s">
        <v>117</v>
      </c>
      <c r="L36" s="180">
        <v>0.44672977717203111</v>
      </c>
    </row>
    <row r="37" spans="1:15" x14ac:dyDescent="0.35">
      <c r="A37" s="218"/>
      <c r="B37" s="8">
        <v>77</v>
      </c>
      <c r="C37" s="19">
        <f>'Summary of Avgs'!M10</f>
        <v>2.5263157894736836</v>
      </c>
      <c r="D37" s="19">
        <f>'Summary of Avgs'!N10/100</f>
        <v>1.5073684210526315</v>
      </c>
      <c r="E37" s="19">
        <f>0.22*'Growth data'!$B$73*(C37^2*D37)^0.82</f>
        <v>1.1234519439496169</v>
      </c>
      <c r="F37" s="19">
        <f>1.69*'Growth data'!$B$73*(C37^2*D37)^0.4</f>
        <v>3.33485346769901</v>
      </c>
      <c r="G37" s="19">
        <f t="shared" si="4"/>
        <v>4.4583054116486274</v>
      </c>
      <c r="H37" s="8">
        <v>4000</v>
      </c>
      <c r="I37" s="19">
        <f t="shared" si="5"/>
        <v>17.833221646594509</v>
      </c>
      <c r="K37" s="180" t="s">
        <v>118</v>
      </c>
      <c r="L37" s="180">
        <v>12.317304869485435</v>
      </c>
    </row>
    <row r="38" spans="1:15" x14ac:dyDescent="0.35">
      <c r="A38" s="218"/>
      <c r="B38" s="8">
        <v>100</v>
      </c>
      <c r="C38" s="19">
        <f>'Summary of Avgs'!M11</f>
        <v>2.8135135135135139</v>
      </c>
      <c r="D38" s="19">
        <f>'Summary of Avgs'!N11/100</f>
        <v>2.0897297297297297</v>
      </c>
      <c r="E38" s="19">
        <f>0.22*'Growth data'!$B$73*(C38^2*D38)^0.82</f>
        <v>1.7521735748765437</v>
      </c>
      <c r="F38" s="19">
        <f>1.69*'Growth data'!$B$73*(C38^2*D38)^0.4</f>
        <v>4.1422292834572705</v>
      </c>
      <c r="G38" s="19">
        <f t="shared" si="4"/>
        <v>5.8944028583338142</v>
      </c>
      <c r="H38" s="8">
        <v>4000</v>
      </c>
      <c r="I38" s="19">
        <f t="shared" si="5"/>
        <v>23.577611433335257</v>
      </c>
      <c r="K38" s="180" t="s">
        <v>119</v>
      </c>
      <c r="L38" s="180">
        <v>14.219452561153529</v>
      </c>
    </row>
    <row r="39" spans="1:15" x14ac:dyDescent="0.35">
      <c r="A39" s="218"/>
      <c r="B39" s="8">
        <v>106</v>
      </c>
      <c r="C39" s="19">
        <f>'Summary of Avgs'!M12</f>
        <v>2.7</v>
      </c>
      <c r="D39" s="19">
        <f>'Summary of Avgs'!N12/100</f>
        <v>1.9392857142857141</v>
      </c>
      <c r="E39" s="19">
        <f>0.22*'Growth data'!$B$73*(C39^2*D39)^0.82</f>
        <v>1.5404148819961796</v>
      </c>
      <c r="F39" s="19">
        <f>1.69*'Growth data'!$B$73*(C39^2*D39)^0.4</f>
        <v>3.889973227560195</v>
      </c>
      <c r="G39" s="19">
        <f t="shared" si="4"/>
        <v>5.4303881095563744</v>
      </c>
      <c r="H39" s="8">
        <v>4000</v>
      </c>
      <c r="I39" s="19">
        <f t="shared" si="5"/>
        <v>21.721552438225498</v>
      </c>
      <c r="K39" s="180" t="s">
        <v>120</v>
      </c>
      <c r="L39" s="180">
        <v>26.536757430638964</v>
      </c>
    </row>
    <row r="40" spans="1:15" x14ac:dyDescent="0.35">
      <c r="A40" s="218"/>
      <c r="B40" s="8"/>
      <c r="C40" s="8"/>
      <c r="D40" s="8"/>
      <c r="E40" s="8"/>
      <c r="F40" s="8"/>
      <c r="G40" s="8"/>
      <c r="H40" s="8" t="s">
        <v>47</v>
      </c>
      <c r="I40" s="19">
        <f>L29</f>
        <v>19.675258718221539</v>
      </c>
      <c r="J40" s="86"/>
      <c r="K40" s="180" t="s">
        <v>121</v>
      </c>
      <c r="L40" s="180">
        <v>157.40206974577231</v>
      </c>
    </row>
    <row r="41" spans="1:15" x14ac:dyDescent="0.35">
      <c r="A41" s="218"/>
      <c r="B41" s="8"/>
      <c r="C41" s="8"/>
      <c r="D41" s="8"/>
      <c r="E41" s="8"/>
      <c r="F41" s="8"/>
      <c r="G41" s="8"/>
      <c r="H41" s="8" t="s">
        <v>48</v>
      </c>
      <c r="I41" s="19">
        <f>L33</f>
        <v>4.1027250168221761</v>
      </c>
      <c r="J41" s="86"/>
      <c r="K41" s="180" t="s">
        <v>122</v>
      </c>
      <c r="L41" s="180">
        <v>8</v>
      </c>
    </row>
    <row r="42" spans="1:15" x14ac:dyDescent="0.35">
      <c r="A42" s="218"/>
      <c r="B42" s="8"/>
      <c r="C42" s="8"/>
      <c r="D42" s="8"/>
      <c r="E42" s="8"/>
      <c r="F42" s="8"/>
      <c r="G42" s="8"/>
      <c r="H42" s="8" t="s">
        <v>49</v>
      </c>
      <c r="I42" s="19">
        <f>L30</f>
        <v>1.4505323403693264</v>
      </c>
      <c r="J42" s="86"/>
      <c r="K42" s="180" t="s">
        <v>123</v>
      </c>
      <c r="L42" s="180">
        <v>2.7481475380548623</v>
      </c>
    </row>
    <row r="43" spans="1:15" x14ac:dyDescent="0.35">
      <c r="A43" s="218"/>
      <c r="B43" s="8"/>
      <c r="C43" s="8"/>
      <c r="D43" s="8"/>
      <c r="E43" s="8"/>
      <c r="F43" s="8"/>
      <c r="G43" s="8"/>
      <c r="H43" s="8" t="s">
        <v>50</v>
      </c>
      <c r="I43" s="19">
        <f>L42</f>
        <v>2.7481475380548623</v>
      </c>
      <c r="J43" s="86"/>
      <c r="K43"/>
      <c r="L43"/>
    </row>
    <row r="44" spans="1:15" x14ac:dyDescent="0.35">
      <c r="A44" s="219"/>
      <c r="B44" s="8"/>
      <c r="C44" s="8"/>
      <c r="D44" s="8"/>
      <c r="E44" s="8"/>
      <c r="F44" s="8"/>
      <c r="G44" s="8"/>
      <c r="H44" s="8" t="s">
        <v>51</v>
      </c>
      <c r="I44" s="19">
        <f>(I43/I40)*100</f>
        <v>13.967529359650877</v>
      </c>
      <c r="J44" s="85"/>
    </row>
    <row r="45" spans="1:15" s="13" customFormat="1" ht="43.5" x14ac:dyDescent="0.35">
      <c r="A45" s="10"/>
      <c r="B45" s="10" t="s">
        <v>41</v>
      </c>
      <c r="C45" s="11" t="s">
        <v>0</v>
      </c>
      <c r="D45" s="11" t="s">
        <v>3</v>
      </c>
      <c r="E45" s="11" t="s">
        <v>42</v>
      </c>
      <c r="F45" s="11" t="s">
        <v>43</v>
      </c>
      <c r="G45" s="11" t="s">
        <v>44</v>
      </c>
      <c r="H45" s="11" t="s">
        <v>45</v>
      </c>
      <c r="I45" s="12" t="s">
        <v>46</v>
      </c>
      <c r="J45" s="15"/>
      <c r="M45" s="70"/>
      <c r="N45" s="70"/>
      <c r="O45" s="70"/>
    </row>
    <row r="46" spans="1:15" x14ac:dyDescent="0.35">
      <c r="A46" s="220">
        <v>2018</v>
      </c>
      <c r="B46" s="9"/>
      <c r="C46" s="9" t="s">
        <v>1</v>
      </c>
      <c r="D46" s="9" t="s">
        <v>65</v>
      </c>
      <c r="E46" s="9"/>
      <c r="F46" s="9"/>
      <c r="G46" s="9"/>
      <c r="H46" s="9"/>
      <c r="I46" s="20"/>
    </row>
    <row r="47" spans="1:15" x14ac:dyDescent="0.35">
      <c r="A47" s="221"/>
      <c r="B47" s="9">
        <v>1</v>
      </c>
      <c r="C47" s="20">
        <f>'Summary of Avgs'!C20</f>
        <v>3.2117647058823535</v>
      </c>
      <c r="D47" s="20">
        <f>'Summary of Avgs'!D20/100</f>
        <v>2.5847058823529414</v>
      </c>
      <c r="E47" s="20">
        <f>0.22*'Growth data'!$B$73*(C47^2*D47)^0.82</f>
        <v>2.5916221821080487</v>
      </c>
      <c r="F47" s="20">
        <f>1.69*'Growth data'!$B$73*(C47^2*D47)^0.4</f>
        <v>5.0136996227498321</v>
      </c>
      <c r="G47" s="20">
        <f t="shared" ref="G47:G59" si="6">SUM(E47:F47)</f>
        <v>7.6053218048578808</v>
      </c>
      <c r="H47" s="9">
        <v>4000</v>
      </c>
      <c r="I47" s="20">
        <f>G47*H47/1000</f>
        <v>30.421287219431523</v>
      </c>
    </row>
    <row r="48" spans="1:15" x14ac:dyDescent="0.35">
      <c r="A48" s="221"/>
      <c r="B48" s="9">
        <v>2</v>
      </c>
      <c r="C48" s="20">
        <f>'Summary of Avgs'!C21</f>
        <v>3.4661764705882345</v>
      </c>
      <c r="D48" s="20">
        <f>'Summary of Avgs'!D21/100</f>
        <v>3.1916176470588238</v>
      </c>
      <c r="E48" s="20">
        <f>0.22*'Growth data'!$B$73*(C48^2*D48)^0.82</f>
        <v>3.4912332070233694</v>
      </c>
      <c r="F48" s="20">
        <f>1.69*'Growth data'!$B$73*(C48^2*D48)^0.4</f>
        <v>5.7980740901777255</v>
      </c>
      <c r="G48" s="20">
        <f t="shared" si="6"/>
        <v>9.2893072972010948</v>
      </c>
      <c r="H48" s="9">
        <v>4000</v>
      </c>
      <c r="I48" s="20">
        <f t="shared" ref="I48:I59" si="7">G48*H48/1000</f>
        <v>37.157229188804379</v>
      </c>
      <c r="K48" s="182" t="s">
        <v>146</v>
      </c>
      <c r="L48" s="176"/>
      <c r="M48" s="161"/>
      <c r="N48" s="161"/>
      <c r="O48" s="161"/>
    </row>
    <row r="49" spans="1:15" x14ac:dyDescent="0.35">
      <c r="A49" s="221"/>
      <c r="B49" s="9">
        <v>3</v>
      </c>
      <c r="C49" s="20">
        <f>'Summary of Avgs'!C22</f>
        <v>3.5720930232558143</v>
      </c>
      <c r="D49" s="20">
        <f>'Summary of Avgs'!D22/100</f>
        <v>1.4195348837209303</v>
      </c>
      <c r="E49" s="20">
        <f>0.22*'Growth data'!$B$73*(C49^2*D49)^0.82</f>
        <v>1.8875043508738627</v>
      </c>
      <c r="F49" s="20">
        <f>1.69*'Growth data'!$B$73*(C49^2*D49)^0.4</f>
        <v>4.2953199344829329</v>
      </c>
      <c r="G49" s="20">
        <f t="shared" si="6"/>
        <v>6.1828242853567961</v>
      </c>
      <c r="H49" s="9">
        <v>4000</v>
      </c>
      <c r="I49" s="20">
        <f t="shared" si="7"/>
        <v>24.731297141427184</v>
      </c>
      <c r="K49" s="181"/>
      <c r="L49" s="181"/>
      <c r="M49"/>
      <c r="N49"/>
      <c r="O49"/>
    </row>
    <row r="50" spans="1:15" x14ac:dyDescent="0.35">
      <c r="A50" s="221"/>
      <c r="B50" s="9">
        <v>5</v>
      </c>
      <c r="C50" s="20">
        <f>'Summary of Avgs'!C23</f>
        <v>4.3148648648648651</v>
      </c>
      <c r="D50" s="20">
        <f>'Summary of Avgs'!D23/100</f>
        <v>1.4379729729729729</v>
      </c>
      <c r="E50" s="20">
        <f>0.22*'Growth data'!$B$73*(C50^2*D50)^0.82</f>
        <v>2.6003790423585431</v>
      </c>
      <c r="F50" s="20">
        <f>1.69*'Growth data'!$B$73*(C50^2*D50)^0.4</f>
        <v>5.0219563102712694</v>
      </c>
      <c r="G50" s="20">
        <f t="shared" si="6"/>
        <v>7.622335352629813</v>
      </c>
      <c r="H50" s="9">
        <v>4000</v>
      </c>
      <c r="I50" s="20">
        <f t="shared" si="7"/>
        <v>30.489341410519252</v>
      </c>
      <c r="K50" s="181" t="s">
        <v>110</v>
      </c>
      <c r="L50" s="181">
        <v>27.709407668926815</v>
      </c>
      <c r="M50"/>
      <c r="N50"/>
      <c r="O50"/>
    </row>
    <row r="51" spans="1:15" x14ac:dyDescent="0.35">
      <c r="A51" s="221"/>
      <c r="B51" s="9">
        <v>11</v>
      </c>
      <c r="C51" s="20">
        <f>'Summary of Avgs'!C24</f>
        <v>3.6642857142857159</v>
      </c>
      <c r="D51" s="20">
        <f>'Summary of Avgs'!D24/100</f>
        <v>0.95297619047619053</v>
      </c>
      <c r="E51" s="20">
        <f>0.22*'Growth data'!$B$73*(C51^2*D51)^0.82</f>
        <v>1.4194648392983522</v>
      </c>
      <c r="F51" s="20">
        <f>1.69*'Growth data'!$B$73*(C51^2*D51)^0.4</f>
        <v>3.7378611559624382</v>
      </c>
      <c r="G51" s="20">
        <f t="shared" si="6"/>
        <v>5.1573259952607904</v>
      </c>
      <c r="H51" s="9">
        <v>4000</v>
      </c>
      <c r="I51" s="20">
        <f t="shared" si="7"/>
        <v>20.629303981043162</v>
      </c>
      <c r="K51" s="181" t="s">
        <v>111</v>
      </c>
      <c r="L51" s="181">
        <v>1.9672774490884712</v>
      </c>
      <c r="M51"/>
      <c r="N51"/>
      <c r="O51"/>
    </row>
    <row r="52" spans="1:15" x14ac:dyDescent="0.35">
      <c r="A52" s="221"/>
      <c r="B52" s="9">
        <v>14</v>
      </c>
      <c r="C52" s="20">
        <f>'Summary of Avgs'!C25</f>
        <v>6.0341176470588245</v>
      </c>
      <c r="D52" s="20">
        <f>'Summary of Avgs'!D25/100</f>
        <v>1.268</v>
      </c>
      <c r="E52" s="20">
        <f>0.22*'Growth data'!$B$73*(C52^2*D52)^0.82</f>
        <v>4.0653621005103293</v>
      </c>
      <c r="F52" s="20">
        <f>1.69*'Growth data'!$B$73*(C52^2*D52)^0.4</f>
        <v>6.2450741864798971</v>
      </c>
      <c r="G52" s="20">
        <f t="shared" si="6"/>
        <v>10.310436286990226</v>
      </c>
      <c r="H52" s="9">
        <v>4000</v>
      </c>
      <c r="I52" s="20">
        <f t="shared" si="7"/>
        <v>41.241745147960906</v>
      </c>
      <c r="K52" s="181" t="s">
        <v>112</v>
      </c>
      <c r="L52" s="181">
        <v>25.476066753051221</v>
      </c>
      <c r="M52"/>
      <c r="N52"/>
      <c r="O52"/>
    </row>
    <row r="53" spans="1:15" x14ac:dyDescent="0.35">
      <c r="A53" s="221"/>
      <c r="B53" s="9">
        <v>19</v>
      </c>
      <c r="C53" s="20">
        <f>'Summary of Avgs'!C26</f>
        <v>3.9053763440860201</v>
      </c>
      <c r="D53" s="20">
        <f>'Summary of Avgs'!D26/100</f>
        <v>2.0903225806451613</v>
      </c>
      <c r="E53" s="20">
        <f>0.22*'Growth data'!$B$73*(C53^2*D53)^0.82</f>
        <v>3.0007990628625949</v>
      </c>
      <c r="F53" s="20">
        <f>1.69*'Growth data'!$B$73*(C53^2*D53)^0.4</f>
        <v>5.3853572630752113</v>
      </c>
      <c r="G53" s="20">
        <f t="shared" si="6"/>
        <v>8.3861563259378062</v>
      </c>
      <c r="H53" s="9">
        <v>4000</v>
      </c>
      <c r="I53" s="20">
        <f t="shared" si="7"/>
        <v>33.544625303751225</v>
      </c>
      <c r="K53" s="181" t="s">
        <v>113</v>
      </c>
      <c r="L53" s="181" t="e">
        <v>#N/A</v>
      </c>
      <c r="M53"/>
      <c r="N53"/>
      <c r="O53"/>
    </row>
    <row r="54" spans="1:15" x14ac:dyDescent="0.35">
      <c r="A54" s="221"/>
      <c r="B54" s="9">
        <v>12</v>
      </c>
      <c r="C54" s="20">
        <f>'Summary of Avgs'!C27</f>
        <v>4.0743243243243255</v>
      </c>
      <c r="D54" s="20">
        <f>'Summary of Avgs'!D27/100</f>
        <v>1.154054054054054</v>
      </c>
      <c r="E54" s="20">
        <f>0.22*'Growth data'!$B$73*(C54^2*D54)^0.82</f>
        <v>1.9762936734228664</v>
      </c>
      <c r="F54" s="20">
        <f>1.69*'Growth data'!$B$73*(C54^2*D54)^0.4</f>
        <v>4.3927230148399383</v>
      </c>
      <c r="G54" s="20">
        <f t="shared" si="6"/>
        <v>6.3690166882628052</v>
      </c>
      <c r="H54" s="9">
        <v>4000</v>
      </c>
      <c r="I54" s="20">
        <f t="shared" si="7"/>
        <v>25.476066753051221</v>
      </c>
      <c r="K54" s="181" t="s">
        <v>114</v>
      </c>
      <c r="L54" s="181">
        <v>7.0931197157524801</v>
      </c>
      <c r="M54"/>
      <c r="N54"/>
      <c r="O54"/>
    </row>
    <row r="55" spans="1:15" x14ac:dyDescent="0.35">
      <c r="A55" s="221"/>
      <c r="B55" s="9">
        <v>28</v>
      </c>
      <c r="C55" s="20">
        <f>'Summary of Avgs'!C28</f>
        <v>2.9666666666666668</v>
      </c>
      <c r="D55" s="20">
        <f>'Summary of Avgs'!D28/100</f>
        <v>1.7651111111111113</v>
      </c>
      <c r="E55" s="20">
        <f>0.22*'Growth data'!$B$73*(C55^2*D55)^0.82</f>
        <v>1.6642121603877693</v>
      </c>
      <c r="F55" s="20">
        <f>1.69*'Growth data'!$B$73*(C55^2*D55)^0.4</f>
        <v>4.0394543336522544</v>
      </c>
      <c r="G55" s="20">
        <f t="shared" si="6"/>
        <v>5.7036664940400232</v>
      </c>
      <c r="H55" s="9">
        <v>4000</v>
      </c>
      <c r="I55" s="20">
        <f t="shared" si="7"/>
        <v>22.814665976160093</v>
      </c>
      <c r="K55" s="181" t="s">
        <v>115</v>
      </c>
      <c r="L55" s="181">
        <v>50.312347301996546</v>
      </c>
      <c r="M55"/>
      <c r="N55"/>
      <c r="O55"/>
    </row>
    <row r="56" spans="1:15" x14ac:dyDescent="0.35">
      <c r="A56" s="221"/>
      <c r="B56" s="9">
        <v>29</v>
      </c>
      <c r="C56" s="20">
        <f>'Summary of Avgs'!C29</f>
        <v>4.0383720930232565</v>
      </c>
      <c r="D56" s="20">
        <f>'Summary of Avgs'!D29/100</f>
        <v>0.97953488372093023</v>
      </c>
      <c r="E56" s="20">
        <f>0.22*'Growth data'!$B$73*(C56^2*D56)^0.82</f>
        <v>1.7027448138345396</v>
      </c>
      <c r="F56" s="20">
        <f>1.69*'Growth data'!$B$73*(C56^2*D56)^0.4</f>
        <v>4.0848104654275295</v>
      </c>
      <c r="G56" s="20">
        <f t="shared" si="6"/>
        <v>5.7875552792620688</v>
      </c>
      <c r="H56" s="9">
        <v>4000</v>
      </c>
      <c r="I56" s="20">
        <f t="shared" si="7"/>
        <v>23.150221117048275</v>
      </c>
      <c r="K56" s="181" t="s">
        <v>116</v>
      </c>
      <c r="L56" s="181">
        <v>-8.8404073794559501E-2</v>
      </c>
      <c r="M56"/>
      <c r="N56"/>
      <c r="O56"/>
    </row>
    <row r="57" spans="1:15" x14ac:dyDescent="0.35">
      <c r="A57" s="221"/>
      <c r="B57" s="9" t="s">
        <v>15</v>
      </c>
      <c r="C57" s="20">
        <f>'Summary of Avgs'!C30</f>
        <v>3.0119565217391306</v>
      </c>
      <c r="D57" s="20">
        <f>'Summary of Avgs'!D30/100</f>
        <v>0.77847826086956518</v>
      </c>
      <c r="E57" s="20">
        <f>0.22*'Growth data'!$B$73*(C57^2*D57)^0.82</f>
        <v>0.87190435041951264</v>
      </c>
      <c r="F57" s="20">
        <f>1.69*'Growth data'!$B$73*(C57^2*D57)^0.4</f>
        <v>2.9469748952804067</v>
      </c>
      <c r="G57" s="20">
        <f t="shared" si="6"/>
        <v>3.8188792456999194</v>
      </c>
      <c r="H57" s="9">
        <v>4000</v>
      </c>
      <c r="I57" s="20">
        <f t="shared" si="7"/>
        <v>15.275516982799678</v>
      </c>
      <c r="K57" s="181" t="s">
        <v>117</v>
      </c>
      <c r="L57" s="181">
        <v>0.28455366724665732</v>
      </c>
      <c r="M57"/>
      <c r="N57"/>
      <c r="O57"/>
    </row>
    <row r="58" spans="1:15" x14ac:dyDescent="0.35">
      <c r="A58" s="221"/>
      <c r="B58" s="9" t="s">
        <v>16</v>
      </c>
      <c r="C58" s="20">
        <f>'Summary of Avgs'!C31</f>
        <v>3.4967391304347819</v>
      </c>
      <c r="D58" s="20">
        <f>'Summary of Avgs'!D31/100</f>
        <v>1.4633695652173913</v>
      </c>
      <c r="E58" s="20">
        <f>0.22*'Growth data'!$B$73*(C58^2*D58)^0.82</f>
        <v>1.8686710441952294</v>
      </c>
      <c r="F58" s="20">
        <f>1.69*'Growth data'!$B$73*(C58^2*D58)^0.4</f>
        <v>4.2743597925730494</v>
      </c>
      <c r="G58" s="20">
        <f t="shared" si="6"/>
        <v>6.1430308367682791</v>
      </c>
      <c r="H58" s="9">
        <v>4000</v>
      </c>
      <c r="I58" s="20">
        <f t="shared" si="7"/>
        <v>24.572123347073116</v>
      </c>
      <c r="K58" s="181" t="s">
        <v>118</v>
      </c>
      <c r="L58" s="181">
        <v>25.966228165161226</v>
      </c>
      <c r="M58"/>
      <c r="N58"/>
      <c r="O58"/>
    </row>
    <row r="59" spans="1:15" x14ac:dyDescent="0.35">
      <c r="A59" s="221"/>
      <c r="B59" s="9" t="s">
        <v>17</v>
      </c>
      <c r="C59" s="20">
        <f>'Summary of Avgs'!C32</f>
        <v>4.1421052631578945</v>
      </c>
      <c r="D59" s="20">
        <f>'Summary of Avgs'!D32/100</f>
        <v>1.5821052631578949</v>
      </c>
      <c r="E59" s="20">
        <f>0.22*'Growth data'!$B$73*(C59^2*D59)^0.82</f>
        <v>2.6299683446007665</v>
      </c>
      <c r="F59" s="20">
        <f>1.69*'Growth data'!$B$73*(C59^2*D59)^0.4</f>
        <v>5.0497506871438942</v>
      </c>
      <c r="G59" s="20">
        <f t="shared" si="6"/>
        <v>7.6797190317446606</v>
      </c>
      <c r="H59" s="9">
        <v>4000</v>
      </c>
      <c r="I59" s="20">
        <f t="shared" si="7"/>
        <v>30.718876126978643</v>
      </c>
      <c r="K59" s="181" t="s">
        <v>119</v>
      </c>
      <c r="L59" s="181">
        <v>15.275516982799678</v>
      </c>
      <c r="M59"/>
      <c r="N59"/>
      <c r="O59"/>
    </row>
    <row r="60" spans="1:15" x14ac:dyDescent="0.35">
      <c r="A60" s="221"/>
      <c r="B60" s="9"/>
      <c r="C60" s="9"/>
      <c r="D60" s="9"/>
      <c r="E60" s="20"/>
      <c r="F60" s="9"/>
      <c r="G60" s="9"/>
      <c r="H60" s="9" t="s">
        <v>47</v>
      </c>
      <c r="I60" s="20">
        <f>L50</f>
        <v>27.709407668926815</v>
      </c>
      <c r="J60" s="85"/>
      <c r="K60" s="181" t="s">
        <v>120</v>
      </c>
      <c r="L60" s="181">
        <v>41.241745147960906</v>
      </c>
      <c r="M60"/>
      <c r="N60"/>
      <c r="O60"/>
    </row>
    <row r="61" spans="1:15" x14ac:dyDescent="0.35">
      <c r="A61" s="221"/>
      <c r="B61" s="9"/>
      <c r="C61" s="9"/>
      <c r="D61" s="9"/>
      <c r="E61" s="20"/>
      <c r="F61" s="9"/>
      <c r="G61" s="9"/>
      <c r="H61" s="9" t="s">
        <v>48</v>
      </c>
      <c r="I61" s="20">
        <f>L54</f>
        <v>7.0931197157524801</v>
      </c>
      <c r="J61" s="85"/>
      <c r="K61" s="181" t="s">
        <v>121</v>
      </c>
      <c r="L61" s="181">
        <v>360.22229969604859</v>
      </c>
      <c r="M61"/>
      <c r="N61"/>
      <c r="O61"/>
    </row>
    <row r="62" spans="1:15" x14ac:dyDescent="0.35">
      <c r="A62" s="221"/>
      <c r="B62" s="9"/>
      <c r="C62" s="9"/>
      <c r="D62" s="9"/>
      <c r="E62" s="9"/>
      <c r="F62" s="9"/>
      <c r="G62" s="9"/>
      <c r="H62" s="9" t="s">
        <v>49</v>
      </c>
      <c r="I62" s="20">
        <f>L51</f>
        <v>1.9672774490884712</v>
      </c>
      <c r="J62" s="85"/>
      <c r="K62" s="181" t="s">
        <v>122</v>
      </c>
      <c r="L62" s="181">
        <v>13</v>
      </c>
      <c r="M62"/>
      <c r="N62"/>
      <c r="O62"/>
    </row>
    <row r="63" spans="1:15" x14ac:dyDescent="0.35">
      <c r="A63" s="221"/>
      <c r="B63" s="9"/>
      <c r="C63" s="9"/>
      <c r="D63" s="9"/>
      <c r="E63" s="9"/>
      <c r="F63" s="9"/>
      <c r="G63" s="9"/>
      <c r="H63" s="9" t="s">
        <v>50</v>
      </c>
      <c r="I63" s="20">
        <f>L63</f>
        <v>3.506254116019921</v>
      </c>
      <c r="J63" s="85"/>
      <c r="K63" s="181" t="s">
        <v>123</v>
      </c>
      <c r="L63" s="181">
        <v>3.506254116019921</v>
      </c>
      <c r="M63"/>
      <c r="N63"/>
      <c r="O63"/>
    </row>
    <row r="64" spans="1:15" x14ac:dyDescent="0.35">
      <c r="A64" s="222"/>
      <c r="B64" s="9"/>
      <c r="C64" s="9"/>
      <c r="D64" s="9"/>
      <c r="E64" s="9"/>
      <c r="F64" s="9"/>
      <c r="G64" s="9"/>
      <c r="H64" s="9" t="s">
        <v>51</v>
      </c>
      <c r="I64" s="20">
        <f>(I63/I60)*100</f>
        <v>12.653659572636105</v>
      </c>
      <c r="J64" s="85"/>
    </row>
    <row r="65" spans="1:15" s="13" customFormat="1" ht="43.5" x14ac:dyDescent="0.35">
      <c r="A65" s="10"/>
      <c r="B65" s="10" t="s">
        <v>41</v>
      </c>
      <c r="C65" s="11" t="s">
        <v>0</v>
      </c>
      <c r="D65" s="11" t="s">
        <v>3</v>
      </c>
      <c r="E65" s="11" t="s">
        <v>42</v>
      </c>
      <c r="F65" s="11" t="s">
        <v>43</v>
      </c>
      <c r="G65" s="11" t="s">
        <v>44</v>
      </c>
      <c r="H65" s="11" t="s">
        <v>45</v>
      </c>
      <c r="I65" s="12" t="s">
        <v>46</v>
      </c>
      <c r="J65" s="15"/>
      <c r="M65" s="70"/>
      <c r="N65" s="70"/>
      <c r="O65" s="70"/>
    </row>
    <row r="66" spans="1:15" x14ac:dyDescent="0.35">
      <c r="A66" s="208">
        <v>2019</v>
      </c>
      <c r="B66" s="21"/>
      <c r="C66" s="21" t="s">
        <v>1</v>
      </c>
      <c r="D66" s="21" t="s">
        <v>65</v>
      </c>
      <c r="E66" s="21"/>
      <c r="F66" s="21"/>
      <c r="G66" s="21"/>
      <c r="H66" s="21"/>
      <c r="I66" s="22"/>
    </row>
    <row r="67" spans="1:15" x14ac:dyDescent="0.35">
      <c r="A67" s="209"/>
      <c r="B67" s="21" t="s">
        <v>20</v>
      </c>
      <c r="C67" s="22">
        <f>'Summary of Avgs'!H20</f>
        <v>2.0625000000000004</v>
      </c>
      <c r="D67" s="22">
        <f>'Summary of Avgs'!I20/100</f>
        <v>0.91187499999999999</v>
      </c>
      <c r="E67" s="22">
        <f>0.22*'Growth data'!$B$73*(C67^2*D67)^0.82</f>
        <v>0.53344285356269039</v>
      </c>
      <c r="F67" s="22">
        <f>1.69*'Growth data'!$B$73*(C67^2*D67)^0.4</f>
        <v>2.3189328412094339</v>
      </c>
      <c r="G67" s="22">
        <f t="shared" ref="G67:G84" si="8">SUM(E67:F67)</f>
        <v>2.8523756947721242</v>
      </c>
      <c r="H67" s="21">
        <v>2040</v>
      </c>
      <c r="I67" s="22">
        <f>G67*H67/1000</f>
        <v>5.8188464173351333</v>
      </c>
    </row>
    <row r="68" spans="1:15" x14ac:dyDescent="0.35">
      <c r="A68" s="209"/>
      <c r="B68" s="21" t="s">
        <v>21</v>
      </c>
      <c r="C68" s="22">
        <f>'Summary of Avgs'!H21</f>
        <v>2.2785714285714289</v>
      </c>
      <c r="D68" s="22">
        <f>'Summary of Avgs'!I21/100</f>
        <v>0.94285714285714295</v>
      </c>
      <c r="E68" s="22">
        <f>0.22*'Growth data'!$B$73*(C68^2*D68)^0.82</f>
        <v>0.64557578790262937</v>
      </c>
      <c r="F68" s="22">
        <f>1.69*'Growth data'!$B$73*(C68^2*D68)^0.4</f>
        <v>2.5451146910904678</v>
      </c>
      <c r="G68" s="22">
        <f t="shared" si="8"/>
        <v>3.1906904789930972</v>
      </c>
      <c r="H68" s="21">
        <v>2040</v>
      </c>
      <c r="I68" s="22">
        <f t="shared" ref="I68:I84" si="9">G68*H68/1000</f>
        <v>6.5090085771459183</v>
      </c>
    </row>
    <row r="69" spans="1:15" x14ac:dyDescent="0.35">
      <c r="A69" s="209"/>
      <c r="B69" s="21" t="s">
        <v>22</v>
      </c>
      <c r="C69" s="22">
        <f>'Summary of Avgs'!H22</f>
        <v>1.95</v>
      </c>
      <c r="D69" s="22">
        <f>'Summary of Avgs'!I22/100</f>
        <v>0.94416666666666671</v>
      </c>
      <c r="E69" s="22">
        <f>0.22*'Growth data'!$B$73*(C69^2*D69)^0.82</f>
        <v>0.50064689253092209</v>
      </c>
      <c r="F69" s="22">
        <f>1.69*'Growth data'!$B$73*(C69^2*D69)^0.4</f>
        <v>2.2482574247816722</v>
      </c>
      <c r="G69" s="22">
        <f t="shared" si="8"/>
        <v>2.7489043173125944</v>
      </c>
      <c r="H69" s="21">
        <v>2040</v>
      </c>
      <c r="I69" s="22">
        <f t="shared" si="9"/>
        <v>5.6077648073176922</v>
      </c>
    </row>
    <row r="70" spans="1:15" x14ac:dyDescent="0.35">
      <c r="A70" s="209"/>
      <c r="B70" s="21" t="s">
        <v>23</v>
      </c>
      <c r="C70" s="22">
        <f>'Summary of Avgs'!H23</f>
        <v>2.5437499999999997</v>
      </c>
      <c r="D70" s="22">
        <f>'Summary of Avgs'!I23/100</f>
        <v>0.92062500000000003</v>
      </c>
      <c r="E70" s="22">
        <f>0.22*'Growth data'!$B$73*(C70^2*D70)^0.82</f>
        <v>0.75833444710788656</v>
      </c>
      <c r="F70" s="22">
        <f>1.69*'Growth data'!$B$73*(C70^2*D70)^0.4</f>
        <v>2.7530337063353953</v>
      </c>
      <c r="G70" s="22">
        <f t="shared" si="8"/>
        <v>3.5113681534432821</v>
      </c>
      <c r="H70" s="21">
        <v>2040</v>
      </c>
      <c r="I70" s="22">
        <f t="shared" si="9"/>
        <v>7.1631910330242956</v>
      </c>
    </row>
    <row r="71" spans="1:15" x14ac:dyDescent="0.35">
      <c r="A71" s="209"/>
      <c r="B71" s="21" t="s">
        <v>24</v>
      </c>
      <c r="C71" s="22">
        <f>'Summary of Avgs'!H24</f>
        <v>2</v>
      </c>
      <c r="D71" s="22">
        <f>'Summary of Avgs'!I24/100</f>
        <v>0.86250000000000004</v>
      </c>
      <c r="E71" s="22">
        <f>0.22*'Growth data'!$B$73*(C71^2*D71)^0.82</f>
        <v>0.48455883430387386</v>
      </c>
      <c r="F71" s="22">
        <f>1.69*'Growth data'!$B$73*(C71^2*D71)^0.4</f>
        <v>2.2127202977209319</v>
      </c>
      <c r="G71" s="22">
        <f t="shared" si="8"/>
        <v>2.6972791320248057</v>
      </c>
      <c r="H71" s="21">
        <v>2040</v>
      </c>
      <c r="I71" s="22">
        <f t="shared" si="9"/>
        <v>5.5024494293306034</v>
      </c>
    </row>
    <row r="72" spans="1:15" x14ac:dyDescent="0.35">
      <c r="A72" s="209"/>
      <c r="B72" s="21" t="s">
        <v>25</v>
      </c>
      <c r="C72" s="22">
        <f>'Summary of Avgs'!H25</f>
        <v>1.8421052631578947</v>
      </c>
      <c r="D72" s="22">
        <f>'Summary of Avgs'!I25/100</f>
        <v>0.83210526315789479</v>
      </c>
      <c r="E72" s="22">
        <f>0.22*'Growth data'!$B$73*(C72^2*D72)^0.82</f>
        <v>0.41114662127055268</v>
      </c>
      <c r="F72" s="22">
        <f>1.69*'Growth data'!$B$73*(C72^2*D72)^0.4</f>
        <v>2.0423103770684179</v>
      </c>
      <c r="G72" s="22">
        <f t="shared" si="8"/>
        <v>2.4534569983389707</v>
      </c>
      <c r="H72" s="21">
        <v>2040</v>
      </c>
      <c r="I72" s="22">
        <f t="shared" si="9"/>
        <v>5.0050522766115</v>
      </c>
    </row>
    <row r="73" spans="1:15" x14ac:dyDescent="0.35">
      <c r="A73" s="209"/>
      <c r="B73" s="21" t="s">
        <v>26</v>
      </c>
      <c r="C73" s="22">
        <f>'Summary of Avgs'!H26</f>
        <v>2.3555555555555561</v>
      </c>
      <c r="D73" s="22">
        <f>'Summary of Avgs'!I26/100</f>
        <v>0.78833333333333333</v>
      </c>
      <c r="E73" s="22">
        <f>0.22*'Growth data'!$B$73*(C73^2*D73)^0.82</f>
        <v>0.58866750695684711</v>
      </c>
      <c r="F73" s="22">
        <f>1.69*'Growth data'!$B$73*(C73^2*D73)^0.4</f>
        <v>2.4330863319130431</v>
      </c>
      <c r="G73" s="22">
        <f t="shared" si="8"/>
        <v>3.0217538388698904</v>
      </c>
      <c r="H73" s="21">
        <v>2040</v>
      </c>
      <c r="I73" s="22">
        <f t="shared" si="9"/>
        <v>6.1643778312945763</v>
      </c>
      <c r="K73" s="177" t="s">
        <v>147</v>
      </c>
      <c r="L73" s="177"/>
    </row>
    <row r="74" spans="1:15" x14ac:dyDescent="0.35">
      <c r="A74" s="209"/>
      <c r="B74" s="21" t="s">
        <v>27</v>
      </c>
      <c r="C74" s="22">
        <f>'Summary of Avgs'!H27</f>
        <v>2.5307692307692311</v>
      </c>
      <c r="D74" s="22">
        <f>'Summary of Avgs'!I27/100</f>
        <v>0.84153846153846157</v>
      </c>
      <c r="E74" s="22">
        <f>0.22*'Growth data'!$B$73*(C74^2*D74)^0.82</f>
        <v>0.69860178009548746</v>
      </c>
      <c r="F74" s="22">
        <f>1.69*'Growth data'!$B$73*(C74^2*D74)^0.4</f>
        <v>2.6450294148588567</v>
      </c>
      <c r="G74" s="22">
        <f t="shared" si="8"/>
        <v>3.343631194954344</v>
      </c>
      <c r="H74" s="21">
        <v>2040</v>
      </c>
      <c r="I74" s="22">
        <f t="shared" si="9"/>
        <v>6.8210076377068614</v>
      </c>
      <c r="K74" s="183"/>
      <c r="L74" s="183"/>
    </row>
    <row r="75" spans="1:15" x14ac:dyDescent="0.35">
      <c r="A75" s="209"/>
      <c r="B75" s="21" t="s">
        <v>28</v>
      </c>
      <c r="C75" s="22">
        <f>'Summary of Avgs'!H28</f>
        <v>2.0500000000000003</v>
      </c>
      <c r="D75" s="22">
        <f>'Summary of Avgs'!I28/100</f>
        <v>1.1836363636363636</v>
      </c>
      <c r="E75" s="22">
        <f>0.22*'Growth data'!$B$73*(C75^2*D75)^0.82</f>
        <v>0.65410910631231955</v>
      </c>
      <c r="F75" s="22">
        <f>1.69*'Growth data'!$B$73*(C75^2*D75)^0.4</f>
        <v>2.5614700967964272</v>
      </c>
      <c r="G75" s="22">
        <f t="shared" si="8"/>
        <v>3.2155792031087467</v>
      </c>
      <c r="H75" s="21">
        <v>2040</v>
      </c>
      <c r="I75" s="22">
        <f t="shared" si="9"/>
        <v>6.5597815743418435</v>
      </c>
      <c r="K75" s="183" t="s">
        <v>110</v>
      </c>
      <c r="L75" s="183">
        <v>7.5483757745841977</v>
      </c>
    </row>
    <row r="76" spans="1:15" x14ac:dyDescent="0.35">
      <c r="A76" s="209"/>
      <c r="B76" s="21" t="s">
        <v>29</v>
      </c>
      <c r="C76" s="22">
        <f>'Summary of Avgs'!H29</f>
        <v>2</v>
      </c>
      <c r="D76" s="22">
        <f>'Summary of Avgs'!I29/100</f>
        <v>0.93</v>
      </c>
      <c r="E76" s="22">
        <f>0.22*'Growth data'!$B$73*(C76^2*D76)^0.82</f>
        <v>0.51544231469059343</v>
      </c>
      <c r="F76" s="22">
        <f>1.69*'Growth data'!$B$73*(C76^2*D76)^0.4</f>
        <v>2.2804263872449204</v>
      </c>
      <c r="G76" s="22">
        <f t="shared" si="8"/>
        <v>2.7958687019355137</v>
      </c>
      <c r="H76" s="21">
        <v>2040</v>
      </c>
      <c r="I76" s="22">
        <f t="shared" si="9"/>
        <v>5.7035721519484479</v>
      </c>
      <c r="K76" s="183" t="s">
        <v>111</v>
      </c>
      <c r="L76" s="183">
        <v>0.59469535295576814</v>
      </c>
    </row>
    <row r="77" spans="1:15" x14ac:dyDescent="0.35">
      <c r="A77" s="209"/>
      <c r="B77" s="21" t="s">
        <v>30</v>
      </c>
      <c r="C77" s="22">
        <f>'Summary of Avgs'!H30</f>
        <v>2.0624999999999996</v>
      </c>
      <c r="D77" s="22">
        <f>'Summary of Avgs'!I30/100</f>
        <v>0.92874999999999996</v>
      </c>
      <c r="E77" s="22">
        <f>0.22*'Growth data'!$B$73*(C77^2*D77)^0.82</f>
        <v>0.54152434498274093</v>
      </c>
      <c r="F77" s="22">
        <f>1.69*'Growth data'!$B$73*(C77^2*D77)^0.4</f>
        <v>2.3360039790350862</v>
      </c>
      <c r="G77" s="22">
        <f t="shared" si="8"/>
        <v>2.8775283240178271</v>
      </c>
      <c r="H77" s="21">
        <v>2040</v>
      </c>
      <c r="I77" s="22">
        <f t="shared" si="9"/>
        <v>5.870157780996367</v>
      </c>
      <c r="K77" s="183" t="s">
        <v>112</v>
      </c>
      <c r="L77" s="183">
        <v>6.690394606024352</v>
      </c>
    </row>
    <row r="78" spans="1:15" x14ac:dyDescent="0.35">
      <c r="A78" s="209"/>
      <c r="B78" s="21" t="s">
        <v>31</v>
      </c>
      <c r="C78" s="22">
        <f>'Summary of Avgs'!H31</f>
        <v>2.5941176470588236</v>
      </c>
      <c r="D78" s="22">
        <f>'Summary of Avgs'!I31/100</f>
        <v>0.94588235294117651</v>
      </c>
      <c r="E78" s="22">
        <f>0.22*'Growth data'!$B$73*(C78^2*D78)^0.82</f>
        <v>0.80068990770135851</v>
      </c>
      <c r="F78" s="22">
        <f>1.69*'Growth data'!$B$73*(C78^2*D78)^0.4</f>
        <v>2.8269977666735815</v>
      </c>
      <c r="G78" s="22">
        <f t="shared" si="8"/>
        <v>3.6276876743749398</v>
      </c>
      <c r="H78" s="21">
        <v>2040</v>
      </c>
      <c r="I78" s="22">
        <f t="shared" si="9"/>
        <v>7.4004828557248779</v>
      </c>
      <c r="K78" s="183" t="s">
        <v>113</v>
      </c>
      <c r="L78" s="183" t="e">
        <v>#N/A</v>
      </c>
    </row>
    <row r="79" spans="1:15" x14ac:dyDescent="0.35">
      <c r="A79" s="209"/>
      <c r="B79" s="21" t="s">
        <v>32</v>
      </c>
      <c r="C79" s="22">
        <f>'Summary of Avgs'!H32</f>
        <v>3.0625</v>
      </c>
      <c r="D79" s="22">
        <f>'Summary of Avgs'!I32/100</f>
        <v>2.2406250000000001</v>
      </c>
      <c r="E79" s="22">
        <f>0.22*'Growth data'!$B$73*(C79^2*D79)^0.82</f>
        <v>2.132074534781855</v>
      </c>
      <c r="F79" s="22">
        <f>1.69*'Growth data'!$B$73*(C79^2*D79)^0.4</f>
        <v>4.5583475056530274</v>
      </c>
      <c r="G79" s="22">
        <f t="shared" si="8"/>
        <v>6.690422040434882</v>
      </c>
      <c r="H79" s="21">
        <v>2040</v>
      </c>
      <c r="I79" s="22">
        <f t="shared" si="9"/>
        <v>13.648460962487158</v>
      </c>
      <c r="K79" s="183" t="s">
        <v>114</v>
      </c>
      <c r="L79" s="183">
        <v>2.5230787008909057</v>
      </c>
    </row>
    <row r="80" spans="1:15" x14ac:dyDescent="0.35">
      <c r="A80" s="209"/>
      <c r="B80" s="21" t="s">
        <v>33</v>
      </c>
      <c r="C80" s="22">
        <f>'Summary of Avgs'!H33</f>
        <v>4.12608695652174</v>
      </c>
      <c r="D80" s="22">
        <f>'Summary of Avgs'!I33/100</f>
        <v>1.087391304347826</v>
      </c>
      <c r="E80" s="22">
        <f>0.22*'Growth data'!$B$73*(C80^2*D80)^0.82</f>
        <v>1.9215610938407397</v>
      </c>
      <c r="F80" s="22">
        <f>1.69*'Growth data'!$B$73*(C80^2*D80)^0.4</f>
        <v>4.3329524702537308</v>
      </c>
      <c r="G80" s="22">
        <f t="shared" si="8"/>
        <v>6.25451356409447</v>
      </c>
      <c r="H80" s="21">
        <v>2040</v>
      </c>
      <c r="I80" s="22">
        <f t="shared" si="9"/>
        <v>12.759207670752719</v>
      </c>
      <c r="K80" s="183" t="s">
        <v>115</v>
      </c>
      <c r="L80" s="183">
        <v>6.3659261308893402</v>
      </c>
    </row>
    <row r="81" spans="1:12" x14ac:dyDescent="0.35">
      <c r="A81" s="209"/>
      <c r="B81" s="21" t="s">
        <v>34</v>
      </c>
      <c r="C81" s="22">
        <f>'Summary of Avgs'!H34</f>
        <v>2.6142857142857139</v>
      </c>
      <c r="D81" s="22">
        <f>'Summary of Avgs'!I34/100</f>
        <v>0.99142857142857144</v>
      </c>
      <c r="E81" s="22">
        <f>0.22*'Growth data'!$B$73*(C81^2*D81)^0.82</f>
        <v>0.84280719095502687</v>
      </c>
      <c r="F81" s="22">
        <f>1.69*'Growth data'!$B$73*(C81^2*D81)^0.4</f>
        <v>2.8985840204391504</v>
      </c>
      <c r="G81" s="22">
        <f t="shared" si="8"/>
        <v>3.7413912113941774</v>
      </c>
      <c r="H81" s="21">
        <v>2040</v>
      </c>
      <c r="I81" s="22">
        <f t="shared" si="9"/>
        <v>7.6324380712441213</v>
      </c>
      <c r="K81" s="183" t="s">
        <v>116</v>
      </c>
      <c r="L81" s="183">
        <v>1.453545633593083</v>
      </c>
    </row>
    <row r="82" spans="1:12" x14ac:dyDescent="0.35">
      <c r="A82" s="209"/>
      <c r="B82" s="21" t="s">
        <v>35</v>
      </c>
      <c r="C82" s="22">
        <f>'Summary of Avgs'!H35</f>
        <v>3.127272727272727</v>
      </c>
      <c r="D82" s="22">
        <f>'Summary of Avgs'!I35/100</f>
        <v>0.77454545454545454</v>
      </c>
      <c r="E82" s="22">
        <f>0.22*'Growth data'!$B$73*(C82^2*D82)^0.82</f>
        <v>0.92347504910632394</v>
      </c>
      <c r="F82" s="22">
        <f>1.69*'Growth data'!$B$73*(C82^2*D82)^0.4</f>
        <v>3.0307509606105194</v>
      </c>
      <c r="G82" s="22">
        <f t="shared" si="8"/>
        <v>3.9542260097168436</v>
      </c>
      <c r="H82" s="21">
        <v>2040</v>
      </c>
      <c r="I82" s="22">
        <f t="shared" si="9"/>
        <v>8.06662105982236</v>
      </c>
      <c r="K82" s="183" t="s">
        <v>117</v>
      </c>
      <c r="L82" s="183">
        <v>1.5333953985093556</v>
      </c>
    </row>
    <row r="83" spans="1:12" x14ac:dyDescent="0.35">
      <c r="A83" s="209"/>
      <c r="B83" s="21" t="s">
        <v>36</v>
      </c>
      <c r="C83" s="22">
        <f>'Summary of Avgs'!H36</f>
        <v>3.861111111111112</v>
      </c>
      <c r="D83" s="22">
        <f>'Summary of Avgs'!I36/100</f>
        <v>1.0011111111111111</v>
      </c>
      <c r="E83" s="22">
        <f>0.22*'Growth data'!$B$73*(C83^2*D83)^0.82</f>
        <v>1.6104175692189378</v>
      </c>
      <c r="F83" s="22">
        <f>1.69*'Growth data'!$B$73*(C83^2*D83)^0.4</f>
        <v>3.975224257796258</v>
      </c>
      <c r="G83" s="22">
        <f t="shared" si="8"/>
        <v>5.5856418270151957</v>
      </c>
      <c r="H83" s="21">
        <v>2040</v>
      </c>
      <c r="I83" s="22">
        <f t="shared" si="9"/>
        <v>11.394709327110998</v>
      </c>
      <c r="K83" s="183" t="s">
        <v>118</v>
      </c>
      <c r="L83" s="183">
        <v>8.6434086858756594</v>
      </c>
    </row>
    <row r="84" spans="1:12" x14ac:dyDescent="0.35">
      <c r="A84" s="209"/>
      <c r="B84" s="21" t="s">
        <v>37</v>
      </c>
      <c r="C84" s="22">
        <f>'Summary of Avgs'!H37</f>
        <v>2.7733333333333334</v>
      </c>
      <c r="D84" s="22">
        <f>'Summary of Avgs'!I37/100</f>
        <v>1.0286666666666666</v>
      </c>
      <c r="E84" s="22">
        <f>0.22*'Growth data'!$B$73*(C84^2*D84)^0.82</f>
        <v>0.95702543942320506</v>
      </c>
      <c r="F84" s="22">
        <f>1.69*'Growth data'!$B$73*(C84^2*D84)^0.4</f>
        <v>3.0839718538709544</v>
      </c>
      <c r="G84" s="22">
        <f t="shared" si="8"/>
        <v>4.0409972932941596</v>
      </c>
      <c r="H84" s="21">
        <v>2040</v>
      </c>
      <c r="I84" s="22">
        <f t="shared" si="9"/>
        <v>8.2436344783200859</v>
      </c>
      <c r="K84" s="183" t="s">
        <v>119</v>
      </c>
      <c r="L84" s="183">
        <v>5.0050522766115</v>
      </c>
    </row>
    <row r="85" spans="1:12" x14ac:dyDescent="0.35">
      <c r="A85" s="209"/>
      <c r="B85" s="23"/>
      <c r="C85" s="21"/>
      <c r="D85" s="21"/>
      <c r="E85" s="22"/>
      <c r="F85" s="22"/>
      <c r="G85" s="22"/>
      <c r="H85" s="21" t="s">
        <v>47</v>
      </c>
      <c r="I85" s="22">
        <f>L75</f>
        <v>7.5483757745841977</v>
      </c>
      <c r="J85" s="85"/>
      <c r="K85" s="183" t="s">
        <v>120</v>
      </c>
      <c r="L85" s="183">
        <v>13.648460962487158</v>
      </c>
    </row>
    <row r="86" spans="1:12" x14ac:dyDescent="0.35">
      <c r="A86" s="209"/>
      <c r="B86" s="23"/>
      <c r="C86" s="21"/>
      <c r="D86" s="21"/>
      <c r="E86" s="22"/>
      <c r="F86" s="22"/>
      <c r="G86" s="22"/>
      <c r="H86" s="21" t="s">
        <v>48</v>
      </c>
      <c r="I86" s="22">
        <f>L79</f>
        <v>2.5230787008909057</v>
      </c>
      <c r="J86" s="85"/>
      <c r="K86" s="183" t="s">
        <v>121</v>
      </c>
      <c r="L86" s="183">
        <v>135.87076394251557</v>
      </c>
    </row>
    <row r="87" spans="1:12" x14ac:dyDescent="0.35">
      <c r="A87" s="209"/>
      <c r="B87" s="23"/>
      <c r="C87" s="21"/>
      <c r="D87" s="21"/>
      <c r="E87" s="22"/>
      <c r="F87" s="22"/>
      <c r="G87" s="22"/>
      <c r="H87" s="21" t="s">
        <v>49</v>
      </c>
      <c r="I87" s="22">
        <f>L76</f>
        <v>0.59469535295576814</v>
      </c>
      <c r="J87" s="85"/>
      <c r="K87" s="183" t="s">
        <v>122</v>
      </c>
      <c r="L87" s="183">
        <v>18</v>
      </c>
    </row>
    <row r="88" spans="1:12" x14ac:dyDescent="0.35">
      <c r="A88" s="209"/>
      <c r="B88" s="21"/>
      <c r="C88" s="21"/>
      <c r="D88" s="21"/>
      <c r="E88" s="21"/>
      <c r="F88" s="21"/>
      <c r="G88" s="21"/>
      <c r="H88" s="21" t="s">
        <v>50</v>
      </c>
      <c r="I88" s="22">
        <f>L88</f>
        <v>1.0345360359674438</v>
      </c>
      <c r="J88" s="85"/>
      <c r="K88" s="183" t="s">
        <v>123</v>
      </c>
      <c r="L88" s="183">
        <v>1.0345360359674438</v>
      </c>
    </row>
    <row r="89" spans="1:12" x14ac:dyDescent="0.35">
      <c r="A89" s="210"/>
      <c r="B89" s="21"/>
      <c r="C89" s="21"/>
      <c r="D89" s="21"/>
      <c r="E89" s="21"/>
      <c r="F89" s="21"/>
      <c r="G89" s="21"/>
      <c r="H89" s="21" t="s">
        <v>51</v>
      </c>
      <c r="I89" s="22">
        <f>(I88/I85)*100</f>
        <v>13.705412486892667</v>
      </c>
      <c r="J89" s="85"/>
    </row>
    <row r="90" spans="1:12" x14ac:dyDescent="0.35">
      <c r="A90" s="24">
        <v>2015</v>
      </c>
      <c r="B90" s="25">
        <f>$I$15</f>
        <v>14.879415225838704</v>
      </c>
      <c r="C90" s="87"/>
    </row>
    <row r="91" spans="1:12" x14ac:dyDescent="0.35">
      <c r="A91" s="28">
        <v>2016</v>
      </c>
      <c r="B91" s="29">
        <f>$I$29</f>
        <v>14.591278108385936</v>
      </c>
      <c r="C91" s="87"/>
    </row>
    <row r="92" spans="1:12" x14ac:dyDescent="0.35">
      <c r="A92" s="28">
        <v>2017</v>
      </c>
      <c r="B92" s="29">
        <f>$I$44</f>
        <v>13.967529359650877</v>
      </c>
      <c r="C92" s="87"/>
    </row>
    <row r="93" spans="1:12" x14ac:dyDescent="0.35">
      <c r="A93" s="28">
        <v>2018</v>
      </c>
      <c r="B93" s="29">
        <f>$I$64</f>
        <v>12.653659572636105</v>
      </c>
      <c r="C93" s="87"/>
    </row>
    <row r="94" spans="1:12" x14ac:dyDescent="0.35">
      <c r="A94" s="28">
        <v>2019</v>
      </c>
      <c r="B94" s="29">
        <f>$I$89</f>
        <v>13.705412486892667</v>
      </c>
      <c r="C94" s="87"/>
    </row>
    <row r="95" spans="1:12" x14ac:dyDescent="0.35">
      <c r="A95" s="5" t="s">
        <v>66</v>
      </c>
      <c r="B95" s="162">
        <f>AVERAGE(B90:B94)</f>
        <v>13.959458950680858</v>
      </c>
      <c r="C95" s="87"/>
    </row>
    <row r="98" spans="1:8" ht="58" x14ac:dyDescent="0.35">
      <c r="A98" s="30"/>
      <c r="B98" s="11" t="s">
        <v>52</v>
      </c>
    </row>
    <row r="99" spans="1:8" x14ac:dyDescent="0.35">
      <c r="A99" s="30"/>
      <c r="B99" s="31" t="s">
        <v>53</v>
      </c>
    </row>
    <row r="100" spans="1:8" x14ac:dyDescent="0.35">
      <c r="A100" s="30" t="s">
        <v>55</v>
      </c>
      <c r="B100" s="132">
        <f>'VCUs for 2022-23'!E5</f>
        <v>5638.0599999999995</v>
      </c>
      <c r="C100" s="87"/>
    </row>
    <row r="101" spans="1:8" x14ac:dyDescent="0.35">
      <c r="A101" s="30" t="s">
        <v>54</v>
      </c>
      <c r="B101" s="132">
        <f>'VCUs for 2022-23'!E6</f>
        <v>4948.66</v>
      </c>
      <c r="C101" s="87"/>
      <c r="D101" s="27"/>
    </row>
    <row r="102" spans="1:8" x14ac:dyDescent="0.35">
      <c r="A102" s="30" t="s">
        <v>56</v>
      </c>
      <c r="B102" s="132">
        <f>'VCUs for 2022-23'!E7</f>
        <v>4153.66</v>
      </c>
      <c r="C102" s="87"/>
      <c r="D102" s="27"/>
    </row>
    <row r="103" spans="1:8" x14ac:dyDescent="0.35">
      <c r="A103" s="127" t="s">
        <v>57</v>
      </c>
      <c r="B103" s="133">
        <f>SUM(B100:B102)</f>
        <v>14740.38</v>
      </c>
      <c r="C103" s="87"/>
      <c r="D103" s="27"/>
    </row>
    <row r="104" spans="1:8" x14ac:dyDescent="0.35">
      <c r="A104" s="30" t="s">
        <v>143</v>
      </c>
      <c r="B104" s="132">
        <f>ROUND(B103*0.25,2)</f>
        <v>3685.1</v>
      </c>
      <c r="C104" s="87"/>
      <c r="D104" s="27"/>
    </row>
    <row r="105" spans="1:8" x14ac:dyDescent="0.35">
      <c r="A105" s="127" t="s">
        <v>58</v>
      </c>
      <c r="B105" s="133">
        <f>B103-B104</f>
        <v>11055.279999999999</v>
      </c>
      <c r="C105" s="87"/>
      <c r="D105" s="27"/>
    </row>
    <row r="106" spans="1:8" x14ac:dyDescent="0.35">
      <c r="B106" s="90"/>
      <c r="C106" s="90"/>
      <c r="D106" s="90"/>
      <c r="E106" s="90"/>
      <c r="F106" s="90"/>
    </row>
    <row r="107" spans="1:8" ht="63" customHeight="1" x14ac:dyDescent="0.35">
      <c r="A107" s="30"/>
      <c r="B107" s="32" t="s">
        <v>59</v>
      </c>
      <c r="C107" s="32" t="s">
        <v>60</v>
      </c>
      <c r="D107" s="32" t="s">
        <v>61</v>
      </c>
      <c r="E107" s="32" t="s">
        <v>62</v>
      </c>
      <c r="F107" s="32" t="s">
        <v>57</v>
      </c>
      <c r="G107" s="32" t="s">
        <v>151</v>
      </c>
      <c r="H107" s="32" t="s">
        <v>152</v>
      </c>
    </row>
    <row r="108" spans="1:8" x14ac:dyDescent="0.35">
      <c r="A108" s="30" t="s">
        <v>63</v>
      </c>
      <c r="B108" s="134">
        <f>B105</f>
        <v>11055.279999999999</v>
      </c>
      <c r="C108" s="134">
        <f>'VCUs for 2022-23'!F5</f>
        <v>27068.19</v>
      </c>
      <c r="D108" s="134">
        <f>'VCUs for 2022-23'!F6</f>
        <v>12375.98</v>
      </c>
      <c r="E108" s="134">
        <f>'VCUs for 2022-23'!F7</f>
        <v>45725.22</v>
      </c>
      <c r="F108" s="128">
        <f>SUM(B108:E108)</f>
        <v>96224.67</v>
      </c>
      <c r="G108" s="185">
        <v>1780</v>
      </c>
      <c r="H108" s="190">
        <f>F108-G108</f>
        <v>94444.67</v>
      </c>
    </row>
    <row r="109" spans="1:8" x14ac:dyDescent="0.35">
      <c r="A109" s="135" t="s">
        <v>148</v>
      </c>
      <c r="B109" s="136"/>
      <c r="C109" s="136"/>
      <c r="D109" s="136"/>
      <c r="E109" s="136"/>
      <c r="F109" s="137"/>
      <c r="G109" s="186"/>
      <c r="H109" s="188">
        <f>ROUND(H108*0.17,2)</f>
        <v>16055.59</v>
      </c>
    </row>
    <row r="110" spans="1:8" x14ac:dyDescent="0.35">
      <c r="A110" s="135" t="s">
        <v>149</v>
      </c>
      <c r="B110" s="136"/>
      <c r="C110" s="136"/>
      <c r="D110" s="136"/>
      <c r="E110" s="136"/>
      <c r="F110" s="138"/>
      <c r="G110" s="187"/>
      <c r="H110" s="189">
        <f>ROUND(H108*0.83,2)</f>
        <v>78389.08</v>
      </c>
    </row>
    <row r="111" spans="1:8" x14ac:dyDescent="0.35">
      <c r="F111" s="26" t="s">
        <v>97</v>
      </c>
      <c r="G111" s="108"/>
      <c r="H111" s="118"/>
    </row>
    <row r="112" spans="1:8" x14ac:dyDescent="0.35">
      <c r="D112" s="33"/>
      <c r="E112" s="89"/>
      <c r="H112" s="118"/>
    </row>
    <row r="113" spans="1:13" x14ac:dyDescent="0.35">
      <c r="A113" s="123" t="s">
        <v>133</v>
      </c>
      <c r="B113" s="34"/>
      <c r="C113" s="97"/>
    </row>
    <row r="114" spans="1:13" ht="74.5" x14ac:dyDescent="0.35">
      <c r="A114" s="126" t="s">
        <v>127</v>
      </c>
      <c r="B114" s="126" t="s">
        <v>129</v>
      </c>
      <c r="C114" s="126" t="s">
        <v>130</v>
      </c>
      <c r="D114" s="126" t="s">
        <v>131</v>
      </c>
      <c r="E114" s="126" t="s">
        <v>132</v>
      </c>
      <c r="F114" s="139" t="s">
        <v>150</v>
      </c>
      <c r="G114" s="126" t="s">
        <v>128</v>
      </c>
      <c r="J114"/>
      <c r="K114"/>
      <c r="L114"/>
      <c r="M114"/>
    </row>
    <row r="115" spans="1:13" x14ac:dyDescent="0.35">
      <c r="A115" s="121" t="s">
        <v>137</v>
      </c>
      <c r="B115" s="122">
        <v>0</v>
      </c>
      <c r="C115" s="129">
        <f>ROUND(200*$H$108/565,2)</f>
        <v>33431.74</v>
      </c>
      <c r="D115" s="122">
        <v>0</v>
      </c>
      <c r="E115" s="129">
        <f>ROUND(C115-B115-D115,2)</f>
        <v>33431.74</v>
      </c>
      <c r="F115" s="140">
        <f>ROUND(E115*0.17,2)</f>
        <v>5683.4</v>
      </c>
      <c r="G115" s="131">
        <f>E115-F115</f>
        <v>27748.339999999997</v>
      </c>
      <c r="J115"/>
      <c r="K115"/>
      <c r="L115"/>
      <c r="M115"/>
    </row>
    <row r="116" spans="1:13" x14ac:dyDescent="0.35">
      <c r="A116" s="121" t="s">
        <v>138</v>
      </c>
      <c r="B116" s="122">
        <v>0</v>
      </c>
      <c r="C116" s="129">
        <f>ROUND(365*$H$108/565,2)</f>
        <v>61012.93</v>
      </c>
      <c r="D116" s="122">
        <v>0</v>
      </c>
      <c r="E116" s="129">
        <f>ROUND(C116-B116-D116,2)</f>
        <v>61012.93</v>
      </c>
      <c r="F116" s="140">
        <f>ROUND(E116*0.17,2)</f>
        <v>10372.200000000001</v>
      </c>
      <c r="G116" s="131">
        <f>E116-F116</f>
        <v>50640.729999999996</v>
      </c>
      <c r="J116"/>
      <c r="K116"/>
      <c r="L116"/>
      <c r="M116"/>
    </row>
    <row r="117" spans="1:13" x14ac:dyDescent="0.35">
      <c r="A117" s="124" t="s">
        <v>57</v>
      </c>
      <c r="B117" s="125">
        <v>0</v>
      </c>
      <c r="C117" s="130">
        <f>SUM(C115:C116)</f>
        <v>94444.67</v>
      </c>
      <c r="D117" s="125">
        <v>0</v>
      </c>
      <c r="E117" s="130">
        <f>SUM(E115:E116)</f>
        <v>94444.67</v>
      </c>
      <c r="F117" s="130">
        <f>ROUND(SUM(F115:F116),2)</f>
        <v>16055.6</v>
      </c>
      <c r="G117" s="130">
        <f>ROUND(SUM(G115:G116),2)</f>
        <v>78389.070000000007</v>
      </c>
      <c r="J117"/>
      <c r="K117"/>
      <c r="L117"/>
      <c r="M117"/>
    </row>
    <row r="118" spans="1:13" x14ac:dyDescent="0.35">
      <c r="A118" s="119"/>
      <c r="B118"/>
      <c r="C118"/>
      <c r="D118"/>
      <c r="E118"/>
      <c r="F118"/>
      <c r="G118"/>
    </row>
    <row r="122" spans="1:13" x14ac:dyDescent="0.3">
      <c r="F122" s="120"/>
      <c r="G122" s="97"/>
    </row>
    <row r="123" spans="1:13" x14ac:dyDescent="0.3">
      <c r="F123" s="120"/>
      <c r="G123" s="97"/>
    </row>
  </sheetData>
  <mergeCells count="5">
    <mergeCell ref="A66:A89"/>
    <mergeCell ref="A2:A15"/>
    <mergeCell ref="A17:A29"/>
    <mergeCell ref="A31:A44"/>
    <mergeCell ref="A46:A6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 of Avgs</vt:lpstr>
      <vt:lpstr>VCUs for 2022-23</vt:lpstr>
      <vt:lpstr>Growth data</vt:lpstr>
      <vt:lpstr>Uncertainty Calc and Final VCUs</vt:lpstr>
      <vt:lpstr>'Uncertainty Calc and Final VCUs'!_Toc121086254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2025-08-22T10:17:09Z</dcterms:modified>
</cp:coreProperties>
</file>