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growindigo1.sharepoint.com/sites/1201Projects-01Aadi/Shared Documents/01 Aadi/Aadi MP 1/07 PRR 5/VCS2590_Final Verra Submission_20260115/"/>
    </mc:Choice>
  </mc:AlternateContent>
  <xr:revisionPtr revIDLastSave="88" documentId="8_{D6E069AB-8D7C-433B-AF49-2048F0272274}" xr6:coauthVersionLast="47" xr6:coauthVersionMax="47" xr10:uidLastSave="{241DD327-8CCE-4348-97B7-414D949E2BCE}"/>
  <bookViews>
    <workbookView xWindow="-110" yWindow="-110" windowWidth="19420" windowHeight="10420" activeTab="2" xr2:uid="{4E00C731-F88B-4621-ABCD-41DCCB826046}"/>
  </bookViews>
  <sheets>
    <sheet name="Final tables for JPDMR" sheetId="5" r:id="rId1"/>
    <sheet name="ERR calculations" sheetId="4" r:id="rId2"/>
    <sheet name="Vintage ERR calculations" sheetId="7" r:id="rId3"/>
    <sheet name="Leakage analysis_Stats" sheetId="6" r:id="rId4"/>
  </sheets>
  <definedNames>
    <definedName name="_Hlk163354160" localSheetId="2">'Vintage ERR calculations'!$B$54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7" l="1"/>
  <c r="G4" i="7"/>
  <c r="G6" i="7"/>
  <c r="G5" i="7"/>
  <c r="F7" i="7"/>
  <c r="F6" i="7"/>
  <c r="F5" i="7"/>
  <c r="F4" i="7"/>
  <c r="E7" i="7"/>
  <c r="E4" i="7"/>
  <c r="E6" i="7"/>
  <c r="E5" i="7"/>
  <c r="C4" i="7"/>
  <c r="G8" i="7" l="1"/>
  <c r="E8" i="7"/>
  <c r="F8" i="7"/>
  <c r="I7" i="7" l="1"/>
  <c r="K7" i="7" s="1"/>
  <c r="I6" i="7"/>
  <c r="I5" i="7"/>
  <c r="K5" i="7" s="1"/>
  <c r="I4" i="7"/>
  <c r="K4" i="7" s="1"/>
  <c r="H7" i="7"/>
  <c r="H6" i="7"/>
  <c r="H5" i="7"/>
  <c r="H4" i="7"/>
  <c r="D7" i="7"/>
  <c r="D6" i="7"/>
  <c r="D5" i="7"/>
  <c r="D4" i="7"/>
  <c r="C7" i="7"/>
  <c r="C6" i="7"/>
  <c r="C5" i="7"/>
  <c r="I63" i="7"/>
  <c r="D8" i="7" l="1"/>
  <c r="J4" i="7"/>
  <c r="I8" i="7"/>
  <c r="L5" i="7"/>
  <c r="H8" i="7"/>
  <c r="C8" i="7"/>
  <c r="L7" i="7"/>
  <c r="L4" i="7"/>
  <c r="K6" i="7"/>
  <c r="K8" i="7" s="1"/>
  <c r="J5" i="7"/>
  <c r="J7" i="7"/>
  <c r="J6" i="7"/>
  <c r="C29" i="4"/>
  <c r="C28" i="4"/>
  <c r="C27" i="4"/>
  <c r="D22" i="4"/>
  <c r="D23" i="4"/>
  <c r="D21" i="4"/>
  <c r="L6" i="7" l="1"/>
  <c r="L8" i="7" s="1"/>
  <c r="J8" i="7"/>
  <c r="D9" i="6" l="1"/>
  <c r="E8" i="6"/>
  <c r="E7" i="6"/>
  <c r="E6" i="6"/>
  <c r="E5" i="6"/>
  <c r="E9" i="6" s="1"/>
  <c r="E10" i="6" s="1"/>
  <c r="C3" i="4"/>
  <c r="C45" i="4" s="1"/>
  <c r="D45" i="4" l="1"/>
  <c r="D43" i="4"/>
  <c r="C52" i="4"/>
  <c r="C50" i="4"/>
  <c r="C44" i="4"/>
  <c r="D44" i="4"/>
  <c r="C43" i="4"/>
  <c r="D52" i="4"/>
  <c r="D50" i="4"/>
  <c r="C51" i="4"/>
  <c r="D51" i="4"/>
  <c r="E45" i="4" l="1"/>
  <c r="F45" i="4" s="1"/>
  <c r="E43" i="4"/>
  <c r="F43" i="4" s="1"/>
  <c r="E52" i="4"/>
  <c r="E51" i="4"/>
  <c r="E50" i="4"/>
  <c r="E44" i="4"/>
  <c r="G43" i="4" l="1"/>
  <c r="G45" i="4"/>
  <c r="F44" i="4"/>
  <c r="F50" i="4"/>
  <c r="G50" i="4" s="1"/>
  <c r="F52" i="4"/>
  <c r="F51" i="4"/>
  <c r="G51" i="4" s="1"/>
  <c r="G44" i="4" l="1"/>
  <c r="G5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tc={E66CF818-77A3-4867-B236-8A1B7709EAC5}</author>
    <author>tc={705AD8A9-82E7-43A7-A573-F2230E37A024}</author>
    <author>tc={9DDBA5CE-4EED-4DF1-8F00-5EF3EB6C7B1F}</author>
    <author>tc={CD5AD41F-806E-48FE-A904-28FEDD76824E}</author>
    <author>tc={2C469715-A2D0-4E3E-8BD6-DF5369408886}</author>
    <author>tc={F3C3F193-F674-44E5-A170-7E182E4FA92B}</author>
    <author>tc={203CF5B7-759A-4BC4-8425-336FAC5D270A}</author>
    <author>tc={BECC38E2-7323-4EC7-BF7A-B6441B74E875}</author>
    <author>tc={C6E2BAA7-B066-4B82-9D9C-50DC4072195A}</author>
    <author>tc={201A7470-CFB6-40A2-8F3F-1FDAAD036E2F}</author>
    <author>tc={FB18ADA9-25FA-4D5B-A115-C38128DF50A3}</author>
    <author>tc={20955614-25F1-476B-8547-A1001C27ED0B}</author>
    <author>tc={75FEDE5F-F1F9-4787-8892-4FAD36423D95}</author>
    <author>tc={2DB6EA13-69F7-4680-93D2-835682CADD33}</author>
    <author>tc={06259623-F411-4C51-8CD1-2A9FC302B39F}</author>
    <author>tc={90F2985A-30E9-438E-B71D-78A821A5FB9A}</author>
    <author>tc={558C6C3D-0937-4FBC-8C51-4DB708E6C254}</author>
    <author>tc={6B4D3476-2AF6-43CE-9C46-4CA249788BF8}</author>
    <author>tc={C82E25F1-77FF-4695-9689-001F7740DDB7}</author>
    <author>tc={4C2E2FB1-0E4D-4BEB-9799-0B54D5DECF2D}</author>
    <author>tc={8BF79DA0-AC70-4678-8A36-781CDDB7CA5A}</author>
    <author>tc={ED6AF8C7-60C1-4E21-BCA0-A397AC01C13D}</author>
    <author>tc={62ACB8FD-BBEB-4E1A-81B9-FD6FA6B20853}</author>
    <author>tc={CF48EB0F-FD6E-4FCB-ACB1-57FEB578573F}</author>
  </authors>
  <commentList>
    <comment ref="C15" authorId="0" shapeId="0" xr:uid="{E66CF818-77A3-4867-B236-8A1B7709EAC5}">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AA31 
</t>
      </text>
    </comment>
    <comment ref="D15" authorId="1" shapeId="0" xr:uid="{705AD8A9-82E7-43A7-A573-F2230E37A024}">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AD31 
</t>
      </text>
    </comment>
    <comment ref="C16" authorId="2" shapeId="0" xr:uid="{9DDBA5CE-4EED-4DF1-8F00-5EF3EB6C7B1F}">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AB31 </t>
      </text>
    </comment>
    <comment ref="D16" authorId="3" shapeId="0" xr:uid="{CD5AD41F-806E-48FE-A904-28FEDD76824E}">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AE31 
</t>
      </text>
    </comment>
    <comment ref="C17" authorId="4" shapeId="0" xr:uid="{2C469715-A2D0-4E3E-8BD6-DF5369408886}">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AC31 
</t>
      </text>
    </comment>
    <comment ref="D17" authorId="5" shapeId="0" xr:uid="{F3C3F193-F674-44E5-A170-7E182E4FA92B}">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AF31 
</t>
      </text>
    </comment>
    <comment ref="C21" authorId="6" shapeId="0" xr:uid="{203CF5B7-759A-4BC4-8425-336FAC5D270A}">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AA31 
</t>
      </text>
    </comment>
    <comment ref="C22" authorId="7" shapeId="0" xr:uid="{BECC38E2-7323-4EC7-BF7A-B6441B74E875}">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AB31 </t>
      </text>
    </comment>
    <comment ref="C23" authorId="8" shapeId="0" xr:uid="{C6E2BAA7-B066-4B82-9D9C-50DC4072195A}">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AC31 
</t>
      </text>
    </comment>
    <comment ref="D27" authorId="9" shapeId="0" xr:uid="{201A7470-CFB6-40A2-8F3F-1FDAAD036E2F}">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AD31 
</t>
      </text>
    </comment>
    <comment ref="D28" authorId="10" shapeId="0" xr:uid="{FB18ADA9-25FA-4D5B-A115-C38128DF50A3}">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AE31 
</t>
      </text>
    </comment>
    <comment ref="D29" authorId="11" shapeId="0" xr:uid="{20955614-25F1-476B-8547-A1001C27ED0B}">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Baseline_Scenario &gt; AF31 
</t>
      </text>
    </comment>
    <comment ref="D33" authorId="12" shapeId="0" xr:uid="{75FEDE5F-F1F9-4787-8892-4FAD36423D95}">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Summary &gt; J3
</t>
      </text>
    </comment>
    <comment ref="F33" authorId="13" shapeId="0" xr:uid="{2DB6EA13-69F7-4680-93D2-835682CADD33}">
      <text>
        <t xml:space="preserve">[Threaded comment]
Your version of Excel allows you to read this threaded comment; however, any edits to it will get removed if the file is opened in a newer version of Excel. Learn more: https://go.microsoft.com/fwlink/?linkid=870924
Comment:
    'PC1_2019.xlsx' &gt; Uncertainty Calculations &gt; C35
</t>
      </text>
    </comment>
    <comment ref="D34" authorId="14" shapeId="0" xr:uid="{06259623-F411-4C51-8CD1-2A9FC302B39F}">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Summary &gt; K3
</t>
      </text>
    </comment>
    <comment ref="F34" authorId="15" shapeId="0" xr:uid="{90F2985A-30E9-438E-B71D-78A821A5FB9A}">
      <text>
        <t xml:space="preserve">[Threaded comment]
Your version of Excel allows you to read this threaded comment; however, any edits to it will get removed if the file is opened in a newer version of Excel. Learn more: https://go.microsoft.com/fwlink/?linkid=870924
Comment:
    'PC1_2020.xlsx' &gt; Uncertainty Calculations &gt; C35
</t>
      </text>
    </comment>
    <comment ref="D35" authorId="16" shapeId="0" xr:uid="{558C6C3D-0937-4FBC-8C51-4DB708E6C254}">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Summary &gt; L3
</t>
      </text>
    </comment>
    <comment ref="F35" authorId="17" shapeId="0" xr:uid="{6B4D3476-2AF6-43CE-9C46-4CA249788BF8}">
      <text>
        <t xml:space="preserve">[Threaded comment]
Your version of Excel allows you to read this threaded comment; however, any edits to it will get removed if the file is opened in a newer version of Excel. Learn more: https://go.microsoft.com/fwlink/?linkid=870924
Comment:
    'PC1_2021.xlsx' &gt; Uncertainty Calculations &gt; C35
</t>
      </text>
    </comment>
    <comment ref="E36" authorId="18" shapeId="0" xr:uid="{C82E25F1-77FF-4695-9689-001F7740DDB7}">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Summary &gt; J4
</t>
      </text>
    </comment>
    <comment ref="F36" authorId="19" shapeId="0" xr:uid="{4C2E2FB1-0E4D-4BEB-9799-0B54D5DECF2D}">
      <text>
        <t xml:space="preserve">[Threaded comment]
Your version of Excel allows you to read this threaded comment; however, any edits to it will get removed if the file is opened in a newer version of Excel. Learn more: https://go.microsoft.com/fwlink/?linkid=870924
Comment:
    'PC2_2019.xlsx' &gt; Uncertainty Calculations &gt; C35
</t>
      </text>
    </comment>
    <comment ref="E37" authorId="20" shapeId="0" xr:uid="{8BF79DA0-AC70-4678-8A36-781CDDB7CA5A}">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Summary &gt; K4
</t>
      </text>
    </comment>
    <comment ref="F37" authorId="21" shapeId="0" xr:uid="{ED6AF8C7-60C1-4E21-BCA0-A397AC01C13D}">
      <text>
        <t xml:space="preserve">[Threaded comment]
Your version of Excel allows you to read this threaded comment; however, any edits to it will get removed if the file is opened in a newer version of Excel. Learn more: https://go.microsoft.com/fwlink/?linkid=870924
Comment:
    'PC2_2020.xlsx' &gt; Uncertainty Calculations &gt; C35
</t>
      </text>
    </comment>
    <comment ref="E38" authorId="22" shapeId="0" xr:uid="{62ACB8FD-BBEB-4E1A-81B9-FD6FA6B20853}">
      <text>
        <t xml:space="preserve">[Threaded comment]
Your version of Excel allows you to read this threaded comment; however, any edits to it will get removed if the file is opened in a newer version of Excel. Learn more: https://go.microsoft.com/fwlink/?linkid=870924
Comment:
    'Model output summary_IME approved_20251108.xlsx' &gt; Summary &gt; L4
</t>
      </text>
    </comment>
    <comment ref="F38" authorId="23" shapeId="0" xr:uid="{CF48EB0F-FD6E-4FCB-ACB1-57FEB578573F}">
      <text>
        <t xml:space="preserve">[Threaded comment]
Your version of Excel allows you to read this threaded comment; however, any edits to it will get removed if the file is opened in a newer version of Excel. Learn more: https://go.microsoft.com/fwlink/?linkid=870924
Comment:
    'PC2_2021.xlsx' &gt; Uncertainty Calculations &gt; C35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Umang Agarwal</author>
  </authors>
  <commentList>
    <comment ref="C38" authorId="0" shapeId="0" xr:uid="{E11C8E99-9180-48CC-897D-2B8DF7B27087}">
      <text>
        <r>
          <rPr>
            <b/>
            <sz val="10"/>
            <color rgb="FF000000"/>
            <rFont val="Tahoma"/>
            <family val="2"/>
          </rPr>
          <t>Umang Agarwal:</t>
        </r>
        <r>
          <rPr>
            <sz val="10"/>
            <color rgb="FF000000"/>
            <rFont val="Tahoma"/>
            <family val="2"/>
          </rPr>
          <t xml:space="preserve">
</t>
        </r>
        <r>
          <rPr>
            <sz val="10"/>
            <color rgb="FF000000"/>
            <rFont val="Tahoma"/>
            <family val="2"/>
          </rPr>
          <t>Insignificant difference in mean productivity</t>
        </r>
      </text>
    </comment>
    <comment ref="F38" authorId="0" shapeId="0" xr:uid="{0CAC7DF7-FABB-416C-AD77-2E2D79F38890}">
      <text>
        <r>
          <rPr>
            <b/>
            <sz val="10"/>
            <color rgb="FF000000"/>
            <rFont val="Tahoma"/>
            <family val="2"/>
          </rPr>
          <t>Umang Agarwal:</t>
        </r>
        <r>
          <rPr>
            <sz val="10"/>
            <color rgb="FF000000"/>
            <rFont val="Tahoma"/>
            <family val="2"/>
          </rPr>
          <t xml:space="preserve">
</t>
        </r>
        <r>
          <rPr>
            <sz val="10"/>
            <color rgb="FF000000"/>
            <rFont val="Aptos Narrow"/>
            <family val="2"/>
            <scheme val="minor"/>
          </rPr>
          <t>Insignificant difference in mean productivity</t>
        </r>
        <r>
          <rPr>
            <sz val="10"/>
            <color rgb="FF000000"/>
            <rFont val="Aptos Narrow"/>
            <family val="2"/>
            <scheme val="minor"/>
          </rPr>
          <t xml:space="preserve">
</t>
        </r>
      </text>
    </comment>
  </commentList>
</comments>
</file>

<file path=xl/sharedStrings.xml><?xml version="1.0" encoding="utf-8"?>
<sst xmlns="http://schemas.openxmlformats.org/spreadsheetml/2006/main" count="179" uniqueCount="130">
  <si>
    <r>
      <t>Table 34:</t>
    </r>
    <r>
      <rPr>
        <sz val="10.5"/>
        <color theme="1"/>
        <rFont val="Franklin Gothic Book"/>
        <family val="2"/>
      </rPr>
      <t xml:space="preserve"> Baseline and project emissions and SOC stocks, tCO2e</t>
    </r>
  </si>
  <si>
    <t>SOC Stock Changes across project area</t>
  </si>
  <si>
    <t>Baseline emissions (tCO2e)
 (a)</t>
  </si>
  <si>
    <t>Project emissions (tCO2e)
(b)</t>
  </si>
  <si>
    <t>Reductions (tCO2e)
(a-b)</t>
  </si>
  <si>
    <r>
      <t>Baseline SOC stock (tCO</t>
    </r>
    <r>
      <rPr>
        <b/>
        <vertAlign val="subscript"/>
        <sz val="10.5"/>
        <color rgb="FFFFFFFF"/>
        <rFont val="Franklin Gothic Book"/>
        <family val="2"/>
      </rPr>
      <t>2</t>
    </r>
    <r>
      <rPr>
        <b/>
        <sz val="10.5"/>
        <color rgb="FFFFFFFF"/>
        <rFont val="Franklin Gothic Book"/>
        <family val="2"/>
      </rPr>
      <t>e) 
(c)</t>
    </r>
  </si>
  <si>
    <r>
      <t>Project SOC stock (tCO</t>
    </r>
    <r>
      <rPr>
        <b/>
        <vertAlign val="subscript"/>
        <sz val="10.5"/>
        <color rgb="FFFFFFFF"/>
        <rFont val="Franklin Gothic Book"/>
        <family val="2"/>
      </rPr>
      <t>2</t>
    </r>
    <r>
      <rPr>
        <b/>
        <sz val="10.5"/>
        <color rgb="FFFFFFFF"/>
        <rFont val="Franklin Gothic Book"/>
        <family val="2"/>
      </rPr>
      <t>e)
(d)</t>
    </r>
  </si>
  <si>
    <r>
      <t>Removal (tCO</t>
    </r>
    <r>
      <rPr>
        <b/>
        <vertAlign val="subscript"/>
        <sz val="10.5"/>
        <color rgb="FFFFFFFF"/>
        <rFont val="Franklin Gothic Book"/>
        <family val="2"/>
      </rPr>
      <t>2</t>
    </r>
    <r>
      <rPr>
        <b/>
        <sz val="10.5"/>
        <color rgb="FFFFFFFF"/>
        <rFont val="Franklin Gothic Book"/>
        <family val="2"/>
      </rPr>
      <t>e)
(d-c)</t>
    </r>
  </si>
  <si>
    <t xml:space="preserve">JPDMR Template table </t>
  </si>
  <si>
    <t>Net GHG Emission reductions and removals generated in the project is given in the table below:</t>
  </si>
  <si>
    <t>Year</t>
  </si>
  <si>
    <t>Reductions (tCO2e)</t>
  </si>
  <si>
    <t>Removals (tCO2e)</t>
  </si>
  <si>
    <r>
      <t>Leakage emissions (tCO</t>
    </r>
    <r>
      <rPr>
        <b/>
        <vertAlign val="subscript"/>
        <sz val="9"/>
        <color rgb="FFFFFFFF"/>
        <rFont val="Franklin Gothic Book"/>
        <family val="2"/>
      </rPr>
      <t>2</t>
    </r>
    <r>
      <rPr>
        <b/>
        <sz val="9"/>
        <color rgb="FFFFFFFF"/>
        <rFont val="Franklin Gothic Book"/>
        <family val="2"/>
      </rPr>
      <t>e)</t>
    </r>
  </si>
  <si>
    <t>Uncertainty deductions</t>
  </si>
  <si>
    <r>
      <t>Net GHG emission reductions and removals (tCO</t>
    </r>
    <r>
      <rPr>
        <b/>
        <vertAlign val="subscript"/>
        <sz val="9"/>
        <color rgb="FFFFFFFF"/>
        <rFont val="Franklin Gothic Book"/>
        <family val="2"/>
      </rPr>
      <t>2</t>
    </r>
    <r>
      <rPr>
        <b/>
        <sz val="9"/>
        <color rgb="FFFFFFFF"/>
        <rFont val="Franklin Gothic Book"/>
        <family val="2"/>
      </rPr>
      <t>e)</t>
    </r>
  </si>
  <si>
    <t>Buffer pool allocation</t>
  </si>
  <si>
    <t>VCUs eligible for Issuance*</t>
  </si>
  <si>
    <t>Total</t>
  </si>
  <si>
    <t>Percent Difference</t>
  </si>
  <si>
    <t>Justifications for difference</t>
  </si>
  <si>
    <t xml:space="preserve">Lower difference due to succesful penetration into the project area and effective promotion and adoption rate achieved in the first year </t>
  </si>
  <si>
    <t>High difference is because of lower achieved project area; project implementation affected due to covid19 restrictions</t>
  </si>
  <si>
    <t>Monitoring period</t>
  </si>
  <si>
    <t>May 6, 2019 to May 31, 2022</t>
  </si>
  <si>
    <t>Total eligible enrolled area, ha</t>
  </si>
  <si>
    <t>This area has now reduced because of revision in PC categorization logic as per Verra's comments</t>
  </si>
  <si>
    <t>Table 1: Area under practice change category (in hectares) (Reference: Project database document)</t>
  </si>
  <si>
    <t>Total Area of PC1 fields</t>
  </si>
  <si>
    <t>Total Area of PC2 fields</t>
  </si>
  <si>
    <t>Total eligible area (PC1+PC2)</t>
  </si>
  <si>
    <t>06 May 2019 - 31 May 2020</t>
  </si>
  <si>
    <t>01 June 2020 - 31 May 2021</t>
  </si>
  <si>
    <t>01 June 2021 - 31 May 2022</t>
  </si>
  <si>
    <t>From MVR</t>
  </si>
  <si>
    <t>Table 30a: Baseline SOC stocks and emissions (tCO2e/ha) [from MVR]</t>
  </si>
  <si>
    <t>SOC stock at end of year (tCO2e/ha)</t>
  </si>
  <si>
    <t>Emissions (tCO2e/ha/ year)</t>
  </si>
  <si>
    <t>2019-20</t>
  </si>
  <si>
    <t>2020-21</t>
  </si>
  <si>
    <t>2021-22</t>
  </si>
  <si>
    <t>Table 30b: PC1 SOC stocks and emissions (tCO2e/ha) [from MVR]</t>
  </si>
  <si>
    <t>Table 30c: PC2 SOC stocks and emissions (tCO2e/ha) [from MVR]</t>
  </si>
  <si>
    <t>Table 30d: Emission reductions, removals and uncertainty deductions across PC groups [from MVR]</t>
  </si>
  <si>
    <t>PC group</t>
  </si>
  <si>
    <t>Emission reductions (tCO2e/ha)</t>
  </si>
  <si>
    <t>Removals (SOC stock increase, tCO2e/ha)</t>
  </si>
  <si>
    <t>Uncertainty deductions (%) after accounting for spatial error</t>
  </si>
  <si>
    <t>PC1</t>
  </si>
  <si>
    <t>Uncertainty deduction of 0 means the uncertainty was ≤15% threshold, and no deduction applies.</t>
  </si>
  <si>
    <t>PC2</t>
  </si>
  <si>
    <t>Baseline, tCO2e</t>
  </si>
  <si>
    <t>Project, tCO2e</t>
  </si>
  <si>
    <t>Removal, tCO2e</t>
  </si>
  <si>
    <t>Uncertainty deduction, tCO2e</t>
  </si>
  <si>
    <t>Net removals, tCO2e</t>
  </si>
  <si>
    <t>Baseline emissions, tCO2e</t>
  </si>
  <si>
    <t>Project emissions, tCO2e</t>
  </si>
  <si>
    <t>Reductions, tCO2e</t>
  </si>
  <si>
    <t>Net reductions, tCO2e</t>
  </si>
  <si>
    <t xml:space="preserve">Table : Revised Vintage ERR calculations  (tCO2e) </t>
  </si>
  <si>
    <t>Vintage Year</t>
  </si>
  <si>
    <t>Baseline emissions (tCO2e)</t>
  </si>
  <si>
    <t>Project emissions (tCO2e)</t>
  </si>
  <si>
    <t>Net reductions (tCO2e)</t>
  </si>
  <si>
    <t>Net removals (tCO2e)</t>
  </si>
  <si>
    <t>Net Reductions + Removals</t>
  </si>
  <si>
    <t>VCUs eligible for issuance</t>
  </si>
  <si>
    <t>06 May 2019 - 31 December 2019</t>
  </si>
  <si>
    <t>01 January 2020 - 31 December 2020</t>
  </si>
  <si>
    <t>01 January 2021 - 31 December 2021</t>
  </si>
  <si>
    <t>01 January 2022 - 31 May 2022</t>
  </si>
  <si>
    <t>Yellow highlighted portion indicates the revised VCUs. Our NPRR calculation has been revised to 13% during curent round of PRR. Therefore, revised Buffer pool allocation and revised VCUs eligible for issuance.</t>
  </si>
  <si>
    <t>Rationale for vintage ERR calculations for monitoring period</t>
  </si>
  <si>
    <t>In the previous sheet "ERR calculations" the ERRs have been calculated as per the project yearly monitoring period i.e. from June to May, each year, thus, dividing the entire monitoring period into three parts. In this sheet, a 50% rule has been followed to divide the ERRs as per yearly vintages, thus, allocating 50% of ERRs to each cropping season and dividing the entire monitoring period into four yearly vintage periods or calendar years.</t>
  </si>
  <si>
    <t>Practice</t>
  </si>
  <si>
    <t>Productivity (t/ha)</t>
  </si>
  <si>
    <t>∆P (%)</t>
  </si>
  <si>
    <r>
      <t xml:space="preserve">Historical look-back period (2016-2018) </t>
    </r>
    <r>
      <rPr>
        <b/>
        <sz val="9"/>
        <color rgb="FFC00000"/>
        <rFont val="Aptos Narrow"/>
        <family val="2"/>
        <scheme val="minor"/>
      </rPr>
      <t>Source: Grow Indigo Farmer reported data</t>
    </r>
  </si>
  <si>
    <r>
      <t xml:space="preserve">Project period (2019-2022) </t>
    </r>
    <r>
      <rPr>
        <b/>
        <sz val="9"/>
        <color rgb="FFC00000"/>
        <rFont val="Aptos Narrow"/>
        <family val="2"/>
        <scheme val="minor"/>
      </rPr>
      <t>Data Source: Crop cutting trials</t>
    </r>
  </si>
  <si>
    <t>(Pbsl, p)</t>
  </si>
  <si>
    <t>(Pwp, p)</t>
  </si>
  <si>
    <t>Rice (TPR)</t>
  </si>
  <si>
    <r>
      <t xml:space="preserve"> </t>
    </r>
    <r>
      <rPr>
        <sz val="11"/>
        <color rgb="FF000000"/>
        <rFont val="Aptos Narrow"/>
        <family val="2"/>
      </rPr>
      <t>∆</t>
    </r>
    <r>
      <rPr>
        <sz val="11"/>
        <color rgb="FF000000"/>
        <rFont val="Franklin Gothic Book"/>
        <family val="2"/>
      </rPr>
      <t>P</t>
    </r>
  </si>
  <si>
    <t>Change in productivity; %</t>
  </si>
  <si>
    <t>Rice (DSR)</t>
  </si>
  <si>
    <t>Pwp, p</t>
  </si>
  <si>
    <t>Avergage productivity for product p during the project period; productivity per hectare or acre</t>
  </si>
  <si>
    <t>Wheat (CT)</t>
  </si>
  <si>
    <t>Pbsl, p</t>
  </si>
  <si>
    <t>Average productivity for product p during the historical baseline period; productivity per hectare or acre</t>
  </si>
  <si>
    <t>Wheat (ZT)</t>
  </si>
  <si>
    <t>Average change in productivity, %</t>
  </si>
  <si>
    <t>Change in productivity is &lt;5%; therefore Leakage = 0</t>
  </si>
  <si>
    <t>Crop cutting trials conducted for estimating productivity in 2021 (Kharif and Rabi) across project area</t>
  </si>
  <si>
    <t>Rabi</t>
  </si>
  <si>
    <t>Kharif</t>
  </si>
  <si>
    <t>Field no.</t>
  </si>
  <si>
    <t>CT Wheat (t/ha)</t>
  </si>
  <si>
    <t>ZT Wheat (t/ha)</t>
  </si>
  <si>
    <t>TPR (t/ha)</t>
  </si>
  <si>
    <t>DSR (t/ha)</t>
  </si>
  <si>
    <t>t-Test: Paired Two Sample for Means</t>
  </si>
  <si>
    <t>CT Wheat</t>
  </si>
  <si>
    <t>ZT Wheat</t>
  </si>
  <si>
    <t>TPR</t>
  </si>
  <si>
    <t>DSR</t>
  </si>
  <si>
    <t>Mean</t>
  </si>
  <si>
    <t>Variance</t>
  </si>
  <si>
    <t>Observations</t>
  </si>
  <si>
    <t>Pooled Variance</t>
  </si>
  <si>
    <t>Hypothesized Mean Difference</t>
  </si>
  <si>
    <t>df</t>
  </si>
  <si>
    <t>t Stat</t>
  </si>
  <si>
    <t>P(T&lt;=t) one-tail</t>
  </si>
  <si>
    <t>t Critical one-tail</t>
  </si>
  <si>
    <t>P(T&lt;=t) two-tail</t>
  </si>
  <si>
    <t>t Critical two-tail</t>
  </si>
  <si>
    <t>The statistical tests above show p value greater 0.05 indicating there was no significant effect on the yields due to practice changes in the project area.</t>
  </si>
  <si>
    <t>Baseline and Project SOC stock and removals, tCO2e</t>
  </si>
  <si>
    <t>Baseline and Project emissions, and reductions, tCO2e</t>
  </si>
  <si>
    <t>Baseline SOC stock (tCO2e)</t>
  </si>
  <si>
    <t>Project SOC stock (tCO2e)</t>
  </si>
  <si>
    <t xml:space="preserve">Vintage Period </t>
  </si>
  <si>
    <t>Ex-ante emission reductions/removals tCO2e</t>
  </si>
  <si>
    <t>Achieved emission reductions/removals tCO2e</t>
  </si>
  <si>
    <t>06-May-2019 ---31-December-2019</t>
  </si>
  <si>
    <t>01-January-2020--31-December-2020</t>
  </si>
  <si>
    <t>01-January-2021–31-December-2021</t>
  </si>
  <si>
    <t>01-January-2022–31-May-2022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</si>
</sst>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_(* #,##0.0_);_(* \(#,##0.0\);_(* &quot;-&quot;??_);_(@_)"/>
    <numFmt numFmtId="166" formatCode="_ * #,##0_ ;_ * \-#,##0_ ;_ * &quot;-&quot;??_ ;_ @_ "/>
    <numFmt numFmtId="167" formatCode="0.000"/>
    <numFmt numFmtId="168" formatCode="#,##0.0"/>
  </numFmts>
  <fonts count="50" x14ac:knownFonts="1">
    <font>
      <sz val="11"/>
      <color theme="1"/>
      <name val="Aptos Narrow"/>
      <family val="2"/>
      <scheme val="minor"/>
    </font>
    <font>
      <sz val="10.5"/>
      <color theme="1"/>
      <name val="Franklin Gothic Book"/>
      <family val="2"/>
    </font>
    <font>
      <b/>
      <sz val="10.5"/>
      <color theme="1"/>
      <name val="Franklin Gothic Book"/>
      <family val="2"/>
    </font>
    <font>
      <sz val="10.5"/>
      <color rgb="FF000000"/>
      <name val="Franklin Gothic Book"/>
      <family val="2"/>
    </font>
    <font>
      <b/>
      <sz val="10.5"/>
      <color rgb="FFFFFFFF"/>
      <name val="Franklin Gothic Book"/>
      <family val="2"/>
    </font>
    <font>
      <sz val="10"/>
      <color rgb="FF000000"/>
      <name val="Arial"/>
      <family val="2"/>
    </font>
    <font>
      <b/>
      <u/>
      <sz val="9"/>
      <color rgb="FFFFFFFF"/>
      <name val="Franklin Gothic Book"/>
      <family val="2"/>
    </font>
    <font>
      <b/>
      <sz val="9"/>
      <color rgb="FFFFFFFF"/>
      <name val="Franklin Gothic Book"/>
      <family val="2"/>
    </font>
    <font>
      <sz val="9"/>
      <color rgb="FF000000"/>
      <name val="Franklin Gothic Book"/>
      <family val="2"/>
    </font>
    <font>
      <b/>
      <sz val="9"/>
      <color rgb="FFFFFFFF"/>
      <name val="Arial"/>
      <family val="2"/>
    </font>
    <font>
      <b/>
      <sz val="12"/>
      <color theme="1"/>
      <name val="Calibri"/>
      <family val="2"/>
    </font>
    <font>
      <b/>
      <vertAlign val="subscript"/>
      <sz val="10.5"/>
      <color rgb="FFFFFFFF"/>
      <name val="Franklin Gothic Book"/>
      <family val="2"/>
    </font>
    <font>
      <i/>
      <sz val="8"/>
      <color theme="1"/>
      <name val="Franklin Gothic Book"/>
      <family val="2"/>
    </font>
    <font>
      <b/>
      <vertAlign val="subscript"/>
      <sz val="9"/>
      <color rgb="FFFFFFFF"/>
      <name val="Franklin Gothic Book"/>
      <family val="2"/>
    </font>
    <font>
      <b/>
      <sz val="11"/>
      <color theme="1"/>
      <name val="Aptos Narrow"/>
      <family val="2"/>
      <scheme val="minor"/>
    </font>
    <font>
      <sz val="10"/>
      <color rgb="FF000000"/>
      <name val="Aptos Narrow"/>
      <family val="2"/>
      <scheme val="minor"/>
    </font>
    <font>
      <b/>
      <sz val="10"/>
      <color rgb="FF000000"/>
      <name val="Aptos Narrow"/>
      <family val="2"/>
      <scheme val="minor"/>
    </font>
    <font>
      <b/>
      <u/>
      <sz val="10"/>
      <color rgb="FF000000"/>
      <name val="Aptos Narrow"/>
      <family val="2"/>
      <scheme val="minor"/>
    </font>
    <font>
      <sz val="10"/>
      <color rgb="FF000000"/>
      <name val="Aptos Narrow"/>
      <family val="2"/>
      <scheme val="minor"/>
    </font>
    <font>
      <b/>
      <sz val="9"/>
      <color theme="1"/>
      <name val="Aptos Narrow"/>
      <family val="2"/>
      <scheme val="minor"/>
    </font>
    <font>
      <b/>
      <sz val="9"/>
      <color rgb="FFC00000"/>
      <name val="Aptos Narrow"/>
      <family val="2"/>
      <scheme val="minor"/>
    </font>
    <font>
      <b/>
      <sz val="10"/>
      <color theme="1"/>
      <name val="Aptos Narrow"/>
      <family val="2"/>
      <scheme val="minor"/>
    </font>
    <font>
      <sz val="11"/>
      <color rgb="FF000000"/>
      <name val="Franklin Gothic Book"/>
      <family val="2"/>
    </font>
    <font>
      <sz val="11"/>
      <color rgb="FF000000"/>
      <name val="Aptos Narrow"/>
      <family val="2"/>
    </font>
    <font>
      <sz val="12"/>
      <color rgb="FF000000"/>
      <name val="Calibri"/>
      <family val="2"/>
    </font>
    <font>
      <b/>
      <sz val="12"/>
      <color rgb="FF000000"/>
      <name val="Calibri"/>
      <family val="2"/>
    </font>
    <font>
      <sz val="12"/>
      <color rgb="FF000000"/>
      <name val="Franklin Gothic Book"/>
      <family val="2"/>
    </font>
    <font>
      <b/>
      <sz val="12"/>
      <color theme="0"/>
      <name val="Aptos Narrow"/>
      <family val="2"/>
      <scheme val="minor"/>
    </font>
    <font>
      <sz val="10"/>
      <color theme="0"/>
      <name val="Aptos Narrow"/>
      <family val="2"/>
      <scheme val="minor"/>
    </font>
    <font>
      <i/>
      <sz val="10"/>
      <color rgb="FF000000"/>
      <name val="Aptos Narrow"/>
      <family val="2"/>
      <scheme val="minor"/>
    </font>
    <font>
      <b/>
      <i/>
      <sz val="11"/>
      <color rgb="FFC00000"/>
      <name val="Aptos Narrow"/>
      <family val="2"/>
      <scheme val="minor"/>
    </font>
    <font>
      <b/>
      <sz val="10"/>
      <color rgb="FF000000"/>
      <name val="Tahoma"/>
      <family val="2"/>
    </font>
    <font>
      <sz val="10"/>
      <color rgb="FF000000"/>
      <name val="Tahoma"/>
      <family val="2"/>
    </font>
    <font>
      <b/>
      <sz val="11"/>
      <color rgb="FF000000"/>
      <name val="Calibri"/>
      <family val="2"/>
    </font>
    <font>
      <b/>
      <sz val="11"/>
      <color theme="1"/>
      <name val="Calibri"/>
      <family val="2"/>
    </font>
    <font>
      <b/>
      <sz val="11"/>
      <color rgb="FFFF0000"/>
      <name val="Calibri"/>
      <family val="2"/>
    </font>
    <font>
      <b/>
      <sz val="16"/>
      <color theme="1"/>
      <name val="Calibri"/>
      <family val="2"/>
    </font>
    <font>
      <sz val="11"/>
      <color rgb="FF000000"/>
      <name val="Calibri"/>
      <family val="2"/>
    </font>
    <font>
      <sz val="10"/>
      <color rgb="FFFF0000"/>
      <name val="Aptos Narrow"/>
      <family val="2"/>
      <scheme val="minor"/>
    </font>
    <font>
      <b/>
      <sz val="10"/>
      <color rgb="FF000000"/>
      <name val="Calibri"/>
      <family val="2"/>
    </font>
    <font>
      <b/>
      <u/>
      <sz val="11"/>
      <color rgb="FF008080"/>
      <name val="Calibri"/>
      <family val="2"/>
    </font>
    <font>
      <u/>
      <sz val="11"/>
      <color rgb="FF008080"/>
      <name val="Calibri"/>
      <family val="2"/>
    </font>
    <font>
      <b/>
      <u/>
      <sz val="10.5"/>
      <color rgb="FF008080"/>
      <name val="Calibri"/>
      <family val="2"/>
    </font>
    <font>
      <u/>
      <sz val="10.5"/>
      <color rgb="FF008080"/>
      <name val="Calibri"/>
      <family val="2"/>
    </font>
    <font>
      <b/>
      <sz val="9.5"/>
      <color rgb="FFFFFFFF"/>
      <name val="Franklin Gothic Book"/>
      <family val="2"/>
    </font>
    <font>
      <sz val="9.5"/>
      <color rgb="FF000000"/>
      <name val="Franklin Gothic Book"/>
      <family val="2"/>
    </font>
    <font>
      <sz val="10.5"/>
      <color rgb="FF000000"/>
      <name val="Franklin Gothic Book"/>
    </font>
    <font>
      <sz val="9.5"/>
      <color rgb="FF000000"/>
      <name val="Franklin Gothic Book"/>
    </font>
    <font>
      <b/>
      <sz val="9.5"/>
      <color rgb="FF000000"/>
      <name val="Franklin Gothic Book"/>
    </font>
    <font>
      <b/>
      <sz val="10.5"/>
      <color rgb="FF000000"/>
      <name val="Franklin Gothic Book"/>
    </font>
  </fonts>
  <fills count="9">
    <fill>
      <patternFill patternType="none"/>
    </fill>
    <fill>
      <patternFill patternType="gray125"/>
    </fill>
    <fill>
      <patternFill patternType="solid">
        <fgColor rgb="FF2B3957"/>
        <bgColor indexed="64"/>
      </patternFill>
    </fill>
    <fill>
      <patternFill patternType="solid">
        <fgColor rgb="FFF2F2F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009999"/>
        <bgColor indexed="64"/>
      </patternFill>
    </fill>
    <fill>
      <patternFill patternType="solid">
        <fgColor theme="0" tint="-4.9989318521683403E-2"/>
        <bgColor indexed="64"/>
      </patternFill>
    </fill>
  </fills>
  <borders count="29">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5">
    <xf numFmtId="0" fontId="0" fillId="0" borderId="0"/>
    <xf numFmtId="0" fontId="15" fillId="0" borderId="0"/>
    <xf numFmtId="164" fontId="15" fillId="0" borderId="0" applyFont="0" applyFill="0" applyBorder="0" applyAlignment="0" applyProtection="0"/>
    <xf numFmtId="0" fontId="18" fillId="0" borderId="0"/>
    <xf numFmtId="9" fontId="15" fillId="0" borderId="0" applyFont="0" applyFill="0" applyBorder="0" applyAlignment="0" applyProtection="0"/>
  </cellStyleXfs>
  <cellXfs count="168">
    <xf numFmtId="0" fontId="0" fillId="0" borderId="0" xfId="0"/>
    <xf numFmtId="0" fontId="9" fillId="2" borderId="0" xfId="0" applyFont="1" applyFill="1" applyAlignment="1">
      <alignment horizontal="center" vertical="center"/>
    </xf>
    <xf numFmtId="0" fontId="12" fillId="0" borderId="0" xfId="0" applyFont="1" applyAlignment="1">
      <alignment horizontal="center" vertical="center"/>
    </xf>
    <xf numFmtId="0" fontId="4" fillId="2" borderId="3" xfId="0" applyFont="1" applyFill="1" applyBorder="1" applyAlignment="1">
      <alignment horizontal="center" vertical="center" wrapText="1"/>
    </xf>
    <xf numFmtId="0" fontId="0" fillId="0" borderId="9" xfId="0" applyBorder="1"/>
    <xf numFmtId="0" fontId="0" fillId="0" borderId="10" xfId="0" applyBorder="1"/>
    <xf numFmtId="0" fontId="1" fillId="0" borderId="8" xfId="0" applyFont="1" applyBorder="1" applyAlignment="1">
      <alignment vertical="center"/>
    </xf>
    <xf numFmtId="0" fontId="15" fillId="0" borderId="0" xfId="1"/>
    <xf numFmtId="0" fontId="16" fillId="0" borderId="3" xfId="1" applyFont="1" applyBorder="1"/>
    <xf numFmtId="0" fontId="15" fillId="0" borderId="3" xfId="1" applyBorder="1"/>
    <xf numFmtId="165" fontId="15" fillId="0" borderId="3" xfId="1" applyNumberFormat="1" applyBorder="1"/>
    <xf numFmtId="0" fontId="15" fillId="0" borderId="3" xfId="1" applyBorder="1" applyAlignment="1">
      <alignment wrapText="1"/>
    </xf>
    <xf numFmtId="43" fontId="15" fillId="0" borderId="0" xfId="1" applyNumberFormat="1"/>
    <xf numFmtId="0" fontId="17" fillId="0" borderId="0" xfId="1" applyFont="1"/>
    <xf numFmtId="0" fontId="15" fillId="0" borderId="0" xfId="1" applyAlignment="1">
      <alignment wrapText="1"/>
    </xf>
    <xf numFmtId="0" fontId="16" fillId="0" borderId="3" xfId="1" applyFont="1" applyBorder="1" applyAlignment="1">
      <alignment wrapText="1"/>
    </xf>
    <xf numFmtId="165" fontId="0" fillId="0" borderId="3" xfId="2" applyNumberFormat="1" applyFont="1" applyBorder="1"/>
    <xf numFmtId="0" fontId="16" fillId="5" borderId="0" xfId="1" applyFont="1" applyFill="1"/>
    <xf numFmtId="0" fontId="17" fillId="5" borderId="0" xfId="1" applyFont="1" applyFill="1"/>
    <xf numFmtId="0" fontId="15" fillId="5" borderId="0" xfId="1" applyFill="1"/>
    <xf numFmtId="0" fontId="15" fillId="5" borderId="0" xfId="1" applyFill="1" applyAlignment="1">
      <alignment wrapText="1"/>
    </xf>
    <xf numFmtId="0" fontId="16" fillId="5" borderId="3" xfId="1" applyFont="1" applyFill="1" applyBorder="1" applyAlignment="1">
      <alignment wrapText="1"/>
    </xf>
    <xf numFmtId="0" fontId="15" fillId="5" borderId="3" xfId="1" applyFill="1" applyBorder="1"/>
    <xf numFmtId="0" fontId="16" fillId="5" borderId="0" xfId="1" applyFont="1" applyFill="1" applyAlignment="1">
      <alignment wrapText="1"/>
    </xf>
    <xf numFmtId="10" fontId="15" fillId="5" borderId="3" xfId="1" applyNumberFormat="1" applyFill="1" applyBorder="1"/>
    <xf numFmtId="9" fontId="15" fillId="5" borderId="3" xfId="1" applyNumberFormat="1" applyFill="1" applyBorder="1"/>
    <xf numFmtId="166" fontId="15" fillId="0" borderId="3" xfId="1" applyNumberFormat="1" applyBorder="1"/>
    <xf numFmtId="43" fontId="15" fillId="0" borderId="3" xfId="1" applyNumberFormat="1" applyBorder="1"/>
    <xf numFmtId="166" fontId="15" fillId="0" borderId="0" xfId="1" applyNumberFormat="1"/>
    <xf numFmtId="0" fontId="5" fillId="0" borderId="0" xfId="0" applyFont="1" applyAlignment="1">
      <alignment horizontal="center" vertical="center" wrapText="1"/>
    </xf>
    <xf numFmtId="0" fontId="18" fillId="0" borderId="0" xfId="3"/>
    <xf numFmtId="0" fontId="14" fillId="0" borderId="0" xfId="3" applyFont="1" applyAlignment="1">
      <alignment horizontal="center" vertical="center"/>
    </xf>
    <xf numFmtId="0" fontId="19" fillId="6" borderId="3" xfId="3" applyFont="1" applyFill="1" applyBorder="1" applyAlignment="1">
      <alignment horizontal="center" wrapText="1"/>
    </xf>
    <xf numFmtId="0" fontId="18" fillId="0" borderId="17" xfId="3" applyBorder="1"/>
    <xf numFmtId="0" fontId="21" fillId="0" borderId="3" xfId="3" applyFont="1" applyBorder="1" applyAlignment="1">
      <alignment horizontal="center"/>
    </xf>
    <xf numFmtId="0" fontId="18" fillId="0" borderId="18" xfId="3" applyBorder="1"/>
    <xf numFmtId="0" fontId="16" fillId="0" borderId="17" xfId="3" applyFont="1" applyBorder="1" applyAlignment="1">
      <alignment horizontal="center" vertical="center"/>
    </xf>
    <xf numFmtId="0" fontId="18" fillId="0" borderId="3" xfId="3" applyBorder="1" applyAlignment="1">
      <alignment horizontal="center"/>
    </xf>
    <xf numFmtId="2" fontId="18" fillId="0" borderId="3" xfId="3" applyNumberFormat="1" applyBorder="1" applyAlignment="1">
      <alignment horizontal="center"/>
    </xf>
    <xf numFmtId="2" fontId="18" fillId="0" borderId="18" xfId="3" applyNumberFormat="1" applyBorder="1" applyAlignment="1">
      <alignment horizontal="center"/>
    </xf>
    <xf numFmtId="2" fontId="18" fillId="0" borderId="0" xfId="3" applyNumberFormat="1" applyAlignment="1">
      <alignment horizontal="center"/>
    </xf>
    <xf numFmtId="0" fontId="22" fillId="5" borderId="3" xfId="3" applyFont="1" applyFill="1" applyBorder="1" applyAlignment="1">
      <alignment vertical="center"/>
    </xf>
    <xf numFmtId="0" fontId="16" fillId="0" borderId="0" xfId="3" applyFont="1" applyAlignment="1">
      <alignment horizontal="center"/>
    </xf>
    <xf numFmtId="0" fontId="16" fillId="0" borderId="17" xfId="3" applyFont="1" applyBorder="1" applyAlignment="1">
      <alignment horizontal="right"/>
    </xf>
    <xf numFmtId="167" fontId="16" fillId="4" borderId="18" xfId="3" applyNumberFormat="1" applyFont="1" applyFill="1" applyBorder="1" applyAlignment="1">
      <alignment horizontal="center"/>
    </xf>
    <xf numFmtId="2" fontId="16" fillId="4" borderId="18" xfId="3" applyNumberFormat="1" applyFont="1" applyFill="1" applyBorder="1" applyAlignment="1">
      <alignment horizontal="center"/>
    </xf>
    <xf numFmtId="0" fontId="24" fillId="0" borderId="2" xfId="3" applyFont="1" applyBorder="1" applyAlignment="1">
      <alignment horizontal="right" vertical="center" wrapText="1"/>
    </xf>
    <xf numFmtId="2" fontId="25" fillId="0" borderId="19" xfId="3" applyNumberFormat="1" applyFont="1" applyBorder="1" applyAlignment="1">
      <alignment horizontal="right" vertical="center" wrapText="1"/>
    </xf>
    <xf numFmtId="2" fontId="25" fillId="0" borderId="19" xfId="3" applyNumberFormat="1" applyFont="1" applyBorder="1" applyAlignment="1">
      <alignment horizontal="center" vertical="center" wrapText="1"/>
    </xf>
    <xf numFmtId="2" fontId="10" fillId="4" borderId="20" xfId="3" applyNumberFormat="1" applyFont="1" applyFill="1" applyBorder="1" applyAlignment="1">
      <alignment horizontal="center" vertical="center" wrapText="1"/>
    </xf>
    <xf numFmtId="0" fontId="26" fillId="0" borderId="0" xfId="3" applyFont="1" applyAlignment="1">
      <alignment vertical="center" wrapText="1"/>
    </xf>
    <xf numFmtId="0" fontId="8" fillId="0" borderId="0" xfId="3" applyFont="1" applyAlignment="1">
      <alignment vertical="center" wrapText="1"/>
    </xf>
    <xf numFmtId="0" fontId="27" fillId="7" borderId="21" xfId="3" applyFont="1" applyFill="1" applyBorder="1" applyAlignment="1">
      <alignment vertical="center"/>
    </xf>
    <xf numFmtId="0" fontId="27" fillId="7" borderId="22" xfId="3" applyFont="1" applyFill="1" applyBorder="1" applyAlignment="1">
      <alignment vertical="center"/>
    </xf>
    <xf numFmtId="0" fontId="28" fillId="7" borderId="7" xfId="3" applyFont="1" applyFill="1" applyBorder="1"/>
    <xf numFmtId="0" fontId="18" fillId="6" borderId="17" xfId="3" applyFill="1" applyBorder="1"/>
    <xf numFmtId="0" fontId="16" fillId="6" borderId="5" xfId="3" applyFont="1" applyFill="1" applyBorder="1" applyAlignment="1">
      <alignment horizontal="center"/>
    </xf>
    <xf numFmtId="0" fontId="16" fillId="6" borderId="6" xfId="3" applyFont="1" applyFill="1" applyBorder="1" applyAlignment="1">
      <alignment horizontal="center"/>
    </xf>
    <xf numFmtId="0" fontId="16" fillId="6" borderId="23" xfId="3" applyFont="1" applyFill="1" applyBorder="1" applyAlignment="1">
      <alignment horizontal="center"/>
    </xf>
    <xf numFmtId="0" fontId="15" fillId="6" borderId="17" xfId="3" applyFont="1" applyFill="1" applyBorder="1"/>
    <xf numFmtId="0" fontId="16" fillId="6" borderId="3" xfId="3" applyFont="1" applyFill="1" applyBorder="1" applyAlignment="1">
      <alignment horizontal="center" wrapText="1"/>
    </xf>
    <xf numFmtId="0" fontId="16" fillId="6" borderId="3" xfId="3" applyFont="1" applyFill="1" applyBorder="1" applyAlignment="1">
      <alignment horizontal="center"/>
    </xf>
    <xf numFmtId="0" fontId="16" fillId="6" borderId="18" xfId="3" applyFont="1" applyFill="1" applyBorder="1" applyAlignment="1">
      <alignment horizontal="center"/>
    </xf>
    <xf numFmtId="0" fontId="3" fillId="0" borderId="0" xfId="3" applyFont="1" applyAlignment="1">
      <alignment vertical="center" wrapText="1"/>
    </xf>
    <xf numFmtId="164" fontId="0" fillId="0" borderId="3" xfId="2" applyFont="1" applyBorder="1" applyAlignment="1">
      <alignment horizontal="center"/>
    </xf>
    <xf numFmtId="164" fontId="0" fillId="0" borderId="0" xfId="2" applyFont="1" applyBorder="1"/>
    <xf numFmtId="164" fontId="0" fillId="0" borderId="18" xfId="2" applyFont="1" applyBorder="1" applyAlignment="1">
      <alignment horizontal="center"/>
    </xf>
    <xf numFmtId="0" fontId="18" fillId="0" borderId="24" xfId="3" applyBorder="1"/>
    <xf numFmtId="0" fontId="18" fillId="0" borderId="25" xfId="3" applyBorder="1"/>
    <xf numFmtId="0" fontId="21" fillId="0" borderId="24" xfId="3" applyFont="1" applyBorder="1"/>
    <xf numFmtId="0" fontId="21" fillId="0" borderId="0" xfId="3" applyFont="1"/>
    <xf numFmtId="0" fontId="21" fillId="0" borderId="25" xfId="3" applyFont="1" applyBorder="1" applyAlignment="1">
      <alignment horizontal="center"/>
    </xf>
    <xf numFmtId="0" fontId="29" fillId="0" borderId="17" xfId="3" applyFont="1" applyBorder="1" applyAlignment="1">
      <alignment horizontal="center"/>
    </xf>
    <xf numFmtId="0" fontId="29" fillId="0" borderId="3" xfId="3" applyFont="1" applyBorder="1" applyAlignment="1">
      <alignment horizontal="center"/>
    </xf>
    <xf numFmtId="0" fontId="18" fillId="0" borderId="3" xfId="3" applyBorder="1"/>
    <xf numFmtId="0" fontId="29" fillId="0" borderId="18" xfId="3" applyFont="1" applyBorder="1" applyAlignment="1">
      <alignment horizontal="center"/>
    </xf>
    <xf numFmtId="0" fontId="18" fillId="8" borderId="17" xfId="3" applyFill="1" applyBorder="1"/>
    <xf numFmtId="0" fontId="18" fillId="8" borderId="3" xfId="3" applyFill="1" applyBorder="1"/>
    <xf numFmtId="0" fontId="18" fillId="8" borderId="18" xfId="3" applyFill="1" applyBorder="1"/>
    <xf numFmtId="0" fontId="21" fillId="0" borderId="0" xfId="3" applyFont="1" applyAlignment="1">
      <alignment horizontal="center"/>
    </xf>
    <xf numFmtId="0" fontId="18" fillId="4" borderId="3" xfId="3" applyFill="1" applyBorder="1"/>
    <xf numFmtId="0" fontId="30" fillId="4" borderId="2" xfId="3" applyFont="1" applyFill="1" applyBorder="1"/>
    <xf numFmtId="0" fontId="30" fillId="4" borderId="26" xfId="3" applyFont="1" applyFill="1" applyBorder="1"/>
    <xf numFmtId="0" fontId="30" fillId="4" borderId="1" xfId="3" applyFont="1" applyFill="1" applyBorder="1"/>
    <xf numFmtId="0" fontId="30" fillId="0" borderId="0" xfId="3" applyFont="1"/>
    <xf numFmtId="3" fontId="34" fillId="0" borderId="0" xfId="3" applyNumberFormat="1" applyFont="1" applyAlignment="1">
      <alignment horizontal="center"/>
    </xf>
    <xf numFmtId="1" fontId="34" fillId="0" borderId="0" xfId="3" applyNumberFormat="1" applyFont="1" applyAlignment="1">
      <alignment horizontal="center"/>
    </xf>
    <xf numFmtId="1" fontId="35" fillId="0" borderId="0" xfId="3" applyNumberFormat="1" applyFont="1" applyAlignment="1">
      <alignment horizontal="center"/>
    </xf>
    <xf numFmtId="0" fontId="33" fillId="6" borderId="4" xfId="3" applyFont="1" applyFill="1" applyBorder="1" applyAlignment="1">
      <alignment horizontal="center" vertical="center" wrapText="1"/>
    </xf>
    <xf numFmtId="0" fontId="34" fillId="6" borderId="27" xfId="3" applyFont="1" applyFill="1" applyBorder="1" applyAlignment="1">
      <alignment horizontal="center" vertical="center" wrapText="1"/>
    </xf>
    <xf numFmtId="0" fontId="34" fillId="6" borderId="28" xfId="3" applyFont="1" applyFill="1" applyBorder="1" applyAlignment="1">
      <alignment horizontal="center" vertical="center" wrapText="1"/>
    </xf>
    <xf numFmtId="0" fontId="34" fillId="6" borderId="3" xfId="3" applyFont="1" applyFill="1" applyBorder="1" applyAlignment="1">
      <alignment horizontal="center" vertical="center" wrapText="1"/>
    </xf>
    <xf numFmtId="0" fontId="34" fillId="6" borderId="4" xfId="3" applyFont="1" applyFill="1" applyBorder="1" applyAlignment="1">
      <alignment horizontal="center" vertical="center" wrapText="1"/>
    </xf>
    <xf numFmtId="0" fontId="15" fillId="0" borderId="0" xfId="3" applyFont="1"/>
    <xf numFmtId="0" fontId="33" fillId="0" borderId="3" xfId="3" applyFont="1" applyBorder="1" applyAlignment="1">
      <alignment horizontal="center"/>
    </xf>
    <xf numFmtId="164" fontId="37" fillId="0" borderId="3" xfId="2" applyFont="1" applyBorder="1" applyAlignment="1">
      <alignment horizontal="center"/>
    </xf>
    <xf numFmtId="164" fontId="37" fillId="4" borderId="3" xfId="2" applyFont="1" applyFill="1" applyBorder="1" applyAlignment="1">
      <alignment horizontal="center"/>
    </xf>
    <xf numFmtId="164" fontId="0" fillId="4" borderId="3" xfId="2" applyFont="1" applyFill="1" applyBorder="1"/>
    <xf numFmtId="1" fontId="18" fillId="0" borderId="0" xfId="3" applyNumberFormat="1" applyAlignment="1">
      <alignment horizontal="center"/>
    </xf>
    <xf numFmtId="1" fontId="18" fillId="0" borderId="0" xfId="3" applyNumberFormat="1"/>
    <xf numFmtId="16" fontId="33" fillId="0" borderId="3" xfId="3" applyNumberFormat="1" applyFont="1" applyBorder="1" applyAlignment="1">
      <alignment horizontal="center"/>
    </xf>
    <xf numFmtId="1" fontId="16" fillId="0" borderId="0" xfId="3" applyNumberFormat="1" applyFont="1" applyAlignment="1">
      <alignment horizontal="center"/>
    </xf>
    <xf numFmtId="164" fontId="33" fillId="0" borderId="3" xfId="2" applyFont="1" applyBorder="1" applyAlignment="1">
      <alignment horizontal="center"/>
    </xf>
    <xf numFmtId="164" fontId="33" fillId="4" borderId="3" xfId="2" applyFont="1" applyFill="1" applyBorder="1" applyAlignment="1">
      <alignment horizontal="center"/>
    </xf>
    <xf numFmtId="164" fontId="21" fillId="4" borderId="3" xfId="2" applyFont="1" applyFill="1" applyBorder="1"/>
    <xf numFmtId="1" fontId="16" fillId="0" borderId="0" xfId="3" applyNumberFormat="1" applyFont="1"/>
    <xf numFmtId="9" fontId="0" fillId="0" borderId="0" xfId="4" applyFont="1"/>
    <xf numFmtId="16" fontId="18" fillId="0" borderId="0" xfId="3" applyNumberFormat="1"/>
    <xf numFmtId="0" fontId="34" fillId="0" borderId="0" xfId="3" applyFont="1"/>
    <xf numFmtId="10" fontId="34" fillId="0" borderId="0" xfId="3" applyNumberFormat="1" applyFont="1" applyAlignment="1">
      <alignment horizontal="center"/>
    </xf>
    <xf numFmtId="10" fontId="35" fillId="0" borderId="0" xfId="3" applyNumberFormat="1" applyFont="1"/>
    <xf numFmtId="0" fontId="34" fillId="0" borderId="0" xfId="3" applyFont="1" applyAlignment="1">
      <alignment horizontal="center" vertical="center" wrapText="1"/>
    </xf>
    <xf numFmtId="0" fontId="33" fillId="0" borderId="0" xfId="3" applyFont="1" applyAlignment="1">
      <alignment horizontal="center"/>
    </xf>
    <xf numFmtId="16" fontId="33" fillId="0" borderId="0" xfId="3" applyNumberFormat="1" applyFont="1" applyAlignment="1">
      <alignment horizontal="center"/>
    </xf>
    <xf numFmtId="168" fontId="34" fillId="0" borderId="0" xfId="3" applyNumberFormat="1" applyFont="1" applyAlignment="1">
      <alignment horizontal="center"/>
    </xf>
    <xf numFmtId="2" fontId="39" fillId="0" borderId="0" xfId="3" applyNumberFormat="1" applyFont="1"/>
    <xf numFmtId="2" fontId="33" fillId="0" borderId="0" xfId="3" applyNumberFormat="1" applyFont="1"/>
    <xf numFmtId="0" fontId="40" fillId="0" borderId="0" xfId="3" applyFont="1" applyAlignment="1">
      <alignment horizontal="center" vertical="center" wrapText="1"/>
    </xf>
    <xf numFmtId="0" fontId="41" fillId="0" borderId="0" xfId="3" applyFont="1" applyAlignment="1">
      <alignment vertical="center" wrapText="1"/>
    </xf>
    <xf numFmtId="0" fontId="40" fillId="0" borderId="0" xfId="3" applyFont="1" applyAlignment="1">
      <alignment vertical="center" wrapText="1"/>
    </xf>
    <xf numFmtId="0" fontId="42" fillId="0" borderId="0" xfId="3" applyFont="1" applyAlignment="1">
      <alignment horizontal="center" vertical="center" wrapText="1"/>
    </xf>
    <xf numFmtId="0" fontId="43" fillId="0" borderId="0" xfId="3" applyFont="1" applyAlignment="1">
      <alignment horizontal="center" vertical="center" wrapText="1"/>
    </xf>
    <xf numFmtId="3" fontId="43" fillId="0" borderId="0" xfId="3" applyNumberFormat="1" applyFont="1" applyAlignment="1">
      <alignment horizontal="center" vertical="center" wrapText="1"/>
    </xf>
    <xf numFmtId="3" fontId="42" fillId="0" borderId="0" xfId="3" applyNumberFormat="1" applyFont="1" applyAlignment="1">
      <alignment horizontal="center" vertical="center" wrapText="1"/>
    </xf>
    <xf numFmtId="3" fontId="18" fillId="0" borderId="0" xfId="3" applyNumberFormat="1"/>
    <xf numFmtId="0" fontId="16" fillId="0" borderId="0" xfId="3" applyFont="1" applyAlignment="1">
      <alignment horizontal="center" wrapText="1"/>
    </xf>
    <xf numFmtId="0" fontId="18" fillId="0" borderId="0" xfId="3" applyAlignment="1">
      <alignment horizontal="left" vertical="top" wrapText="1"/>
    </xf>
    <xf numFmtId="43" fontId="18" fillId="0" borderId="0" xfId="3" applyNumberFormat="1"/>
    <xf numFmtId="0" fontId="0" fillId="0" borderId="0" xfId="4" applyNumberFormat="1" applyFont="1"/>
    <xf numFmtId="0" fontId="36" fillId="4" borderId="3" xfId="3" applyFont="1" applyFill="1" applyBorder="1" applyAlignment="1">
      <alignment horizontal="center"/>
    </xf>
    <xf numFmtId="0" fontId="38" fillId="0" borderId="0" xfId="3" applyFont="1" applyAlignment="1">
      <alignment horizontal="center" vertical="center" wrapText="1"/>
    </xf>
    <xf numFmtId="0" fontId="34" fillId="4" borderId="0" xfId="3" applyFont="1" applyFill="1" applyAlignment="1">
      <alignment horizontal="center" wrapText="1"/>
    </xf>
    <xf numFmtId="0" fontId="16" fillId="0" borderId="0" xfId="3" applyFont="1" applyAlignment="1">
      <alignment horizontal="center" wrapText="1"/>
    </xf>
    <xf numFmtId="0" fontId="22" fillId="5" borderId="5" xfId="3" applyFont="1" applyFill="1" applyBorder="1" applyAlignment="1">
      <alignment horizontal="left" vertical="center" wrapText="1"/>
    </xf>
    <xf numFmtId="0" fontId="22" fillId="5" borderId="6" xfId="3" applyFont="1" applyFill="1" applyBorder="1" applyAlignment="1">
      <alignment horizontal="left" vertical="center" wrapText="1"/>
    </xf>
    <xf numFmtId="0" fontId="19" fillId="6" borderId="11" xfId="3" applyFont="1" applyFill="1" applyBorder="1" applyAlignment="1">
      <alignment horizontal="center" vertical="center"/>
    </xf>
    <xf numFmtId="0" fontId="19" fillId="6" borderId="15" xfId="3" applyFont="1" applyFill="1" applyBorder="1" applyAlignment="1">
      <alignment horizontal="center" vertical="center"/>
    </xf>
    <xf numFmtId="0" fontId="19" fillId="6" borderId="12" xfId="3" applyFont="1" applyFill="1" applyBorder="1" applyAlignment="1">
      <alignment horizontal="center"/>
    </xf>
    <xf numFmtId="0" fontId="19" fillId="6" borderId="13" xfId="3" applyFont="1" applyFill="1" applyBorder="1" applyAlignment="1">
      <alignment horizontal="center"/>
    </xf>
    <xf numFmtId="0" fontId="19" fillId="6" borderId="14" xfId="3" applyFont="1" applyFill="1" applyBorder="1" applyAlignment="1">
      <alignment horizontal="center" vertical="center"/>
    </xf>
    <xf numFmtId="0" fontId="19" fillId="6" borderId="16" xfId="3" applyFont="1" applyFill="1" applyBorder="1" applyAlignment="1">
      <alignment horizontal="center" vertical="center"/>
    </xf>
    <xf numFmtId="0" fontId="22" fillId="5" borderId="3" xfId="3" applyFont="1" applyFill="1" applyBorder="1" applyAlignment="1">
      <alignment horizontal="left" vertical="center" wrapText="1"/>
    </xf>
    <xf numFmtId="0" fontId="15" fillId="0" borderId="0" xfId="3" applyFont="1" applyAlignment="1">
      <alignment horizontal="center" vertical="top"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3" fontId="44" fillId="2" borderId="3" xfId="0" applyNumberFormat="1" applyFont="1" applyFill="1" applyBorder="1" applyAlignment="1">
      <alignment horizontal="center" vertical="center"/>
    </xf>
    <xf numFmtId="3" fontId="45" fillId="3" borderId="3" xfId="0" applyNumberFormat="1" applyFont="1" applyFill="1" applyBorder="1" applyAlignment="1">
      <alignment horizontal="center" vertical="center"/>
    </xf>
    <xf numFmtId="10" fontId="45" fillId="3" borderId="3" xfId="0" applyNumberFormat="1" applyFont="1" applyFill="1" applyBorder="1" applyAlignment="1">
      <alignment horizontal="center" vertical="center"/>
    </xf>
    <xf numFmtId="0" fontId="33" fillId="0" borderId="3" xfId="3" applyFont="1" applyBorder="1" applyAlignment="1">
      <alignment vertical="center" wrapText="1"/>
    </xf>
    <xf numFmtId="0" fontId="46" fillId="3" borderId="3" xfId="0" applyFont="1" applyFill="1" applyBorder="1" applyAlignment="1">
      <alignment horizontal="center" vertical="center" wrapText="1"/>
    </xf>
    <xf numFmtId="43" fontId="46" fillId="3" borderId="3" xfId="0" applyNumberFormat="1" applyFont="1" applyFill="1" applyBorder="1" applyAlignment="1">
      <alignment horizontal="center" vertical="center" wrapText="1"/>
    </xf>
    <xf numFmtId="2" fontId="46" fillId="3" borderId="3" xfId="0" applyNumberFormat="1" applyFont="1" applyFill="1" applyBorder="1" applyAlignment="1">
      <alignment horizontal="right" vertical="center" wrapText="1"/>
    </xf>
    <xf numFmtId="0" fontId="7" fillId="2" borderId="3" xfId="0" applyFont="1" applyFill="1" applyBorder="1" applyAlignment="1">
      <alignment horizontal="center" vertical="center" wrapText="1"/>
    </xf>
    <xf numFmtId="0" fontId="45" fillId="3" borderId="3" xfId="0" applyFont="1" applyFill="1" applyBorder="1" applyAlignment="1">
      <alignment horizontal="center" vertical="center" wrapText="1"/>
    </xf>
    <xf numFmtId="0" fontId="47" fillId="3" borderId="3" xfId="0" applyFont="1" applyFill="1" applyBorder="1" applyAlignment="1">
      <alignment vertical="center"/>
    </xf>
    <xf numFmtId="4" fontId="47" fillId="3" borderId="3" xfId="0" applyNumberFormat="1" applyFont="1" applyFill="1" applyBorder="1" applyAlignment="1">
      <alignment vertical="center"/>
    </xf>
    <xf numFmtId="0" fontId="2" fillId="0" borderId="3" xfId="0" applyFont="1" applyBorder="1" applyAlignment="1">
      <alignment vertical="center"/>
    </xf>
    <xf numFmtId="0" fontId="2" fillId="0" borderId="3" xfId="0" applyFont="1" applyBorder="1" applyAlignment="1">
      <alignment vertical="center" wrapText="1"/>
    </xf>
    <xf numFmtId="0" fontId="48" fillId="3" borderId="3" xfId="0" applyFont="1" applyFill="1" applyBorder="1" applyAlignment="1">
      <alignment vertical="center"/>
    </xf>
    <xf numFmtId="4" fontId="48" fillId="3" borderId="3" xfId="0" applyNumberFormat="1" applyFont="1" applyFill="1" applyBorder="1" applyAlignment="1">
      <alignment vertical="center"/>
    </xf>
    <xf numFmtId="0" fontId="14" fillId="8" borderId="3" xfId="0" applyFont="1" applyFill="1" applyBorder="1" applyAlignment="1">
      <alignment horizontal="center" wrapText="1"/>
    </xf>
    <xf numFmtId="4" fontId="14" fillId="8" borderId="3" xfId="0" applyNumberFormat="1" applyFont="1" applyFill="1" applyBorder="1" applyAlignment="1">
      <alignment horizontal="right" wrapText="1"/>
    </xf>
    <xf numFmtId="2" fontId="49" fillId="8" borderId="3" xfId="0" applyNumberFormat="1" applyFont="1" applyFill="1" applyBorder="1" applyAlignment="1">
      <alignment horizontal="right" vertical="center" wrapText="1"/>
    </xf>
    <xf numFmtId="16" fontId="33" fillId="0" borderId="0" xfId="3" applyNumberFormat="1" applyFont="1" applyBorder="1" applyAlignment="1">
      <alignment horizontal="center"/>
    </xf>
    <xf numFmtId="3" fontId="34" fillId="0" borderId="0" xfId="3" applyNumberFormat="1" applyFont="1" applyBorder="1" applyAlignment="1">
      <alignment horizontal="center"/>
    </xf>
    <xf numFmtId="1" fontId="34" fillId="0" borderId="0" xfId="3" applyNumberFormat="1" applyFont="1" applyBorder="1" applyAlignment="1">
      <alignment horizontal="center"/>
    </xf>
    <xf numFmtId="1" fontId="35" fillId="0" borderId="0" xfId="3" applyNumberFormat="1" applyFont="1" applyBorder="1" applyAlignment="1">
      <alignment horizontal="center"/>
    </xf>
    <xf numFmtId="0" fontId="18" fillId="0" borderId="0" xfId="3" applyBorder="1"/>
  </cellXfs>
  <cellStyles count="5">
    <cellStyle name="Comma 2" xfId="2" xr:uid="{F5E7927B-0571-4DEB-B681-49C9EC42599B}"/>
    <cellStyle name="Normal" xfId="0" builtinId="0"/>
    <cellStyle name="Normal 2" xfId="1" xr:uid="{3596C79E-4DB9-4316-8EC1-3C6891A71A84}"/>
    <cellStyle name="Normal 3" xfId="3" xr:uid="{A06E87AA-E8FC-4D48-8EC3-B6A0AE6AFDDB}"/>
    <cellStyle name="Percent 2" xfId="4" xr:uid="{33978F6B-3129-46A0-A8FB-83CF4F1703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625475</xdr:colOff>
      <xdr:row>2</xdr:row>
      <xdr:rowOff>357187</xdr:rowOff>
    </xdr:from>
    <xdr:to>
      <xdr:col>6</xdr:col>
      <xdr:colOff>1162207</xdr:colOff>
      <xdr:row>8</xdr:row>
      <xdr:rowOff>57120</xdr:rowOff>
    </xdr:to>
    <xdr:pic>
      <xdr:nvPicPr>
        <xdr:cNvPr id="2" name="Picture 1">
          <a:extLst>
            <a:ext uri="{FF2B5EF4-FFF2-40B4-BE49-F238E27FC236}">
              <a16:creationId xmlns:a16="http://schemas.microsoft.com/office/drawing/2014/main" id="{AA972425-CB38-4CC1-B293-25220EF436CB}"/>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3000"/>
                  </a14:imgEffect>
                  <a14:imgEffect>
                    <a14:colorTemperature colorTemp="5300"/>
                  </a14:imgEffect>
                  <a14:imgEffect>
                    <a14:brightnessContrast bright="6000" contrast="6000"/>
                  </a14:imgEffect>
                </a14:imgLayer>
              </a14:imgProps>
            </a:ext>
          </a:extLst>
        </a:blip>
        <a:srcRect l="13387" r="22396" b="19456"/>
        <a:stretch/>
      </xdr:blipFill>
      <xdr:spPr>
        <a:xfrm>
          <a:off x="7220585" y="703897"/>
          <a:ext cx="2342672" cy="1113760"/>
        </a:xfrm>
        <a:prstGeom prst="rect">
          <a:avLst/>
        </a:prstGeom>
        <a:ln>
          <a:solidFill>
            <a:schemeClr val="accent1"/>
          </a:solidFill>
        </a:ln>
      </xdr:spPr>
    </xdr:pic>
    <xdr:clientData/>
  </xdr:twoCellAnchor>
</xdr:wsDr>
</file>

<file path=xl/persons/person.xml><?xml version="1.0" encoding="utf-8"?>
<personList xmlns="http://schemas.microsoft.com/office/spreadsheetml/2018/threadedcomments" xmlns:x="http://schemas.openxmlformats.org/spreadsheetml/2006/main">
  <person displayName="Gulshan  Saini" id="{F9B8D240-B303-4B52-B3CF-1445B5C53845}" userId="S::gulshan.saini@growindigo.co.in::9642dc78-fedb-42d0-8e2d-edf143b4956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5" dT="2025-11-10T11:01:02.34" personId="{F9B8D240-B303-4B52-B3CF-1445B5C53845}" id="{E66CF818-77A3-4867-B236-8A1B7709EAC5}">
    <text xml:space="preserve">'Model output summary_IME approved_20251108.xlsx' &gt; Baseline_Scenario &gt; AA31 
</text>
  </threadedComment>
  <threadedComment ref="D15" dT="2025-11-10T11:01:37.18" personId="{F9B8D240-B303-4B52-B3CF-1445B5C53845}" id="{705AD8A9-82E7-43A7-A573-F2230E37A024}">
    <text xml:space="preserve">'Model output summary_IME approved_20251108.xlsx' &gt; Baseline_Scenario &gt; AD31 
</text>
  </threadedComment>
  <threadedComment ref="C16" dT="2025-11-10T11:00:25.39" personId="{F9B8D240-B303-4B52-B3CF-1445B5C53845}" id="{9DDBA5CE-4EED-4DF1-8F00-5EF3EB6C7B1F}">
    <text xml:space="preserve">'Model output summary_IME approved_20251108.xlsx' &gt; Baseline_Scenario &gt; AB31 </text>
  </threadedComment>
  <threadedComment ref="D16" dT="2025-11-10T11:01:49.09" personId="{F9B8D240-B303-4B52-B3CF-1445B5C53845}" id="{CD5AD41F-806E-48FE-A904-28FEDD76824E}">
    <text xml:space="preserve">'Model output summary_IME approved_20251108.xlsx' &gt; Baseline_Scenario &gt; AE31 
</text>
  </threadedComment>
  <threadedComment ref="C17" dT="2025-11-10T11:00:40.09" personId="{F9B8D240-B303-4B52-B3CF-1445B5C53845}" id="{2C469715-A2D0-4E3E-8BD6-DF5369408886}">
    <text xml:space="preserve">'Model output summary_IME approved_20251108.xlsx' &gt; Baseline_Scenario &gt; AC31 
</text>
  </threadedComment>
  <threadedComment ref="D17" dT="2025-11-10T11:02:06.81" personId="{F9B8D240-B303-4B52-B3CF-1445B5C53845}" id="{F3C3F193-F674-44E5-A170-7E182E4FA92B}">
    <text xml:space="preserve">'Model output summary_IME approved_20251108.xlsx' &gt; Baseline_Scenario &gt; AF31 
</text>
  </threadedComment>
  <threadedComment ref="C21" dT="2025-11-10T11:01:02.34" personId="{F9B8D240-B303-4B52-B3CF-1445B5C53845}" id="{203CF5B7-759A-4BC4-8425-336FAC5D270A}">
    <text xml:space="preserve">'Model output summary_IME approved_20251108.xlsx' &gt; Baseline_Scenario &gt; AA31 
</text>
  </threadedComment>
  <threadedComment ref="C22" dT="2025-11-10T11:00:25.39" personId="{F9B8D240-B303-4B52-B3CF-1445B5C53845}" id="{BECC38E2-7323-4EC7-BF7A-B6441B74E875}">
    <text xml:space="preserve">'Model output summary_IME approved_20251108.xlsx' &gt; Baseline_Scenario &gt; AB31 </text>
  </threadedComment>
  <threadedComment ref="C23" dT="2025-11-10T11:00:40.09" personId="{F9B8D240-B303-4B52-B3CF-1445B5C53845}" id="{C6E2BAA7-B066-4B82-9D9C-50DC4072195A}">
    <text xml:space="preserve">'Model output summary_IME approved_20251108.xlsx' &gt; Baseline_Scenario &gt; AC31 
</text>
  </threadedComment>
  <threadedComment ref="D27" dT="2025-11-10T11:01:37.18" personId="{F9B8D240-B303-4B52-B3CF-1445B5C53845}" id="{201A7470-CFB6-40A2-8F3F-1FDAAD036E2F}">
    <text xml:space="preserve">'Model output summary_IME approved_20251108.xlsx' &gt; Baseline_Scenario &gt; AD31 
</text>
  </threadedComment>
  <threadedComment ref="D28" dT="2025-11-10T11:01:49.09" personId="{F9B8D240-B303-4B52-B3CF-1445B5C53845}" id="{FB18ADA9-25FA-4D5B-A115-C38128DF50A3}">
    <text xml:space="preserve">'Model output summary_IME approved_20251108.xlsx' &gt; Baseline_Scenario &gt; AE31 
</text>
  </threadedComment>
  <threadedComment ref="D29" dT="2025-11-10T11:02:06.81" personId="{F9B8D240-B303-4B52-B3CF-1445B5C53845}" id="{20955614-25F1-476B-8547-A1001C27ED0B}">
    <text xml:space="preserve">'Model output summary_IME approved_20251108.xlsx' &gt; Baseline_Scenario &gt; AF31 
</text>
  </threadedComment>
  <threadedComment ref="D33" dT="2025-11-10T11:03:01.73" personId="{F9B8D240-B303-4B52-B3CF-1445B5C53845}" id="{75FEDE5F-F1F9-4787-8892-4FAD36423D95}">
    <text xml:space="preserve">'Model output summary_IME approved_20251108.xlsx' &gt; Summary &gt; J3
</text>
  </threadedComment>
  <threadedComment ref="F33" dT="2025-11-10T11:12:20.60" personId="{F9B8D240-B303-4B52-B3CF-1445B5C53845}" id="{2DB6EA13-69F7-4680-93D2-835682CADD33}">
    <text xml:space="preserve">'PC1_2019.xlsx' &gt; Uncertainty Calculations &gt; C35
</text>
  </threadedComment>
  <threadedComment ref="D34" dT="2025-11-10T11:03:16.07" personId="{F9B8D240-B303-4B52-B3CF-1445B5C53845}" id="{06259623-F411-4C51-8CD1-2A9FC302B39F}">
    <text xml:space="preserve">'Model output summary_IME approved_20251108.xlsx' &gt; Summary &gt; K3
</text>
  </threadedComment>
  <threadedComment ref="F34" dT="2025-11-10T11:13:57.46" personId="{F9B8D240-B303-4B52-B3CF-1445B5C53845}" id="{90F2985A-30E9-438E-B71D-78A821A5FB9A}">
    <text xml:space="preserve">'PC1_2020.xlsx' &gt; Uncertainty Calculations &gt; C35
</text>
  </threadedComment>
  <threadedComment ref="D35" dT="2025-11-10T11:03:32.21" personId="{F9B8D240-B303-4B52-B3CF-1445B5C53845}" id="{558C6C3D-0937-4FBC-8C51-4DB708E6C254}">
    <text xml:space="preserve">'Model output summary_IME approved_20251108.xlsx' &gt; Summary &gt; L3
</text>
  </threadedComment>
  <threadedComment ref="F35" dT="2025-11-10T11:14:09.34" personId="{F9B8D240-B303-4B52-B3CF-1445B5C53845}" id="{6B4D3476-2AF6-43CE-9C46-4CA249788BF8}">
    <text xml:space="preserve">'PC1_2021.xlsx' &gt; Uncertainty Calculations &gt; C35
</text>
  </threadedComment>
  <threadedComment ref="E36" dT="2025-11-10T11:03:54.63" personId="{F9B8D240-B303-4B52-B3CF-1445B5C53845}" id="{C82E25F1-77FF-4695-9689-001F7740DDB7}">
    <text xml:space="preserve">'Model output summary_IME approved_20251108.xlsx' &gt; Summary &gt; J4
</text>
  </threadedComment>
  <threadedComment ref="F36" dT="2025-11-10T11:14:20.31" personId="{F9B8D240-B303-4B52-B3CF-1445B5C53845}" id="{4C2E2FB1-0E4D-4BEB-9799-0B54D5DECF2D}">
    <text xml:space="preserve">'PC2_2019.xlsx' &gt; Uncertainty Calculations &gt; C35
</text>
  </threadedComment>
  <threadedComment ref="E37" dT="2025-11-10T11:04:05.34" personId="{F9B8D240-B303-4B52-B3CF-1445B5C53845}" id="{8BF79DA0-AC70-4678-8A36-781CDDB7CA5A}">
    <text xml:space="preserve">'Model output summary_IME approved_20251108.xlsx' &gt; Summary &gt; K4
</text>
  </threadedComment>
  <threadedComment ref="F37" dT="2025-11-10T11:14:35.12" personId="{F9B8D240-B303-4B52-B3CF-1445B5C53845}" id="{ED6AF8C7-60C1-4E21-BCA0-A397AC01C13D}">
    <text xml:space="preserve">'PC2_2020.xlsx' &gt; Uncertainty Calculations &gt; C35
</text>
  </threadedComment>
  <threadedComment ref="E38" dT="2025-11-10T11:04:16.12" personId="{F9B8D240-B303-4B52-B3CF-1445B5C53845}" id="{62ACB8FD-BBEB-4E1A-81B9-FD6FA6B20853}">
    <text xml:space="preserve">'Model output summary_IME approved_20251108.xlsx' &gt; Summary &gt; L4
</text>
  </threadedComment>
  <threadedComment ref="F38" dT="2025-11-10T11:14:46.55" personId="{F9B8D240-B303-4B52-B3CF-1445B5C53845}" id="{CF48EB0F-FD6E-4FCB-ACB1-57FEB578573F}">
    <text xml:space="preserve">'PC2_2021.xlsx' &gt; Uncertainty Calculations &gt; C35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A49E1-6EB2-45FE-B16C-09F2C8D148E4}">
  <dimension ref="B1:I24"/>
  <sheetViews>
    <sheetView showGridLines="0" topLeftCell="A10" zoomScale="56" zoomScaleNormal="110" workbookViewId="0">
      <selection activeCell="J24" sqref="J24"/>
    </sheetView>
  </sheetViews>
  <sheetFormatPr defaultRowHeight="14.5" x14ac:dyDescent="0.35"/>
  <cols>
    <col min="2" max="2" width="41" customWidth="1"/>
    <col min="3" max="3" width="27.36328125" bestFit="1" customWidth="1"/>
    <col min="4" max="4" width="25.6328125" bestFit="1" customWidth="1"/>
    <col min="5" max="5" width="22.08984375" customWidth="1"/>
    <col min="6" max="6" width="28.81640625" bestFit="1" customWidth="1"/>
    <col min="7" max="7" width="15.6328125" customWidth="1"/>
    <col min="8" max="8" width="13.90625" customWidth="1"/>
    <col min="9" max="9" width="11.6328125" bestFit="1" customWidth="1"/>
  </cols>
  <sheetData>
    <row r="1" spans="2:9" ht="15" customHeight="1" x14ac:dyDescent="0.35">
      <c r="B1" s="156" t="s">
        <v>0</v>
      </c>
      <c r="C1" s="156"/>
      <c r="D1" s="156"/>
      <c r="E1" s="156"/>
      <c r="F1" s="157"/>
      <c r="G1" s="157"/>
      <c r="H1" s="157"/>
    </row>
    <row r="2" spans="2:9" ht="44" x14ac:dyDescent="0.35">
      <c r="B2" s="3" t="s">
        <v>1</v>
      </c>
      <c r="C2" s="3" t="s">
        <v>2</v>
      </c>
      <c r="D2" s="3" t="s">
        <v>3</v>
      </c>
      <c r="E2" s="3" t="s">
        <v>4</v>
      </c>
      <c r="F2" s="3" t="s">
        <v>5</v>
      </c>
      <c r="G2" s="3" t="s">
        <v>6</v>
      </c>
      <c r="H2" s="3" t="s">
        <v>7</v>
      </c>
    </row>
    <row r="3" spans="2:9" x14ac:dyDescent="0.35">
      <c r="B3" s="154" t="s">
        <v>126</v>
      </c>
      <c r="C3" s="155">
        <v>22923.07</v>
      </c>
      <c r="D3" s="155">
        <v>21393.06</v>
      </c>
      <c r="E3" s="155">
        <v>1119.81</v>
      </c>
      <c r="F3" s="155">
        <v>613802.89</v>
      </c>
      <c r="G3" s="155">
        <v>621990.34</v>
      </c>
      <c r="H3" s="155">
        <v>8040.89</v>
      </c>
    </row>
    <row r="4" spans="2:9" x14ac:dyDescent="0.35">
      <c r="B4" s="154" t="s">
        <v>127</v>
      </c>
      <c r="C4" s="155">
        <v>47707.9</v>
      </c>
      <c r="D4" s="155">
        <v>41702.01</v>
      </c>
      <c r="E4" s="155">
        <v>5595.7</v>
      </c>
      <c r="F4" s="155">
        <v>1233249.28</v>
      </c>
      <c r="G4" s="155">
        <v>1247449.3</v>
      </c>
      <c r="H4" s="155">
        <v>13284.46</v>
      </c>
    </row>
    <row r="5" spans="2:9" x14ac:dyDescent="0.35">
      <c r="B5" s="154" t="s">
        <v>128</v>
      </c>
      <c r="C5" s="155">
        <v>49686.04</v>
      </c>
      <c r="D5" s="155">
        <v>37440.370000000003</v>
      </c>
      <c r="E5" s="155">
        <v>12245.67</v>
      </c>
      <c r="F5" s="155">
        <v>1247212.57</v>
      </c>
      <c r="G5" s="155">
        <v>1258411.8600000001</v>
      </c>
      <c r="H5" s="155">
        <v>9621.68</v>
      </c>
    </row>
    <row r="6" spans="2:9" x14ac:dyDescent="0.35">
      <c r="B6" s="154" t="s">
        <v>129</v>
      </c>
      <c r="C6" s="155">
        <v>24901.200000000001</v>
      </c>
      <c r="D6" s="155">
        <v>17131.419999999998</v>
      </c>
      <c r="E6" s="155">
        <v>7769.78</v>
      </c>
      <c r="F6" s="155">
        <v>627766.18000000005</v>
      </c>
      <c r="G6" s="155">
        <v>632952.9</v>
      </c>
      <c r="H6" s="155">
        <v>4378.1099999999997</v>
      </c>
    </row>
    <row r="7" spans="2:9" x14ac:dyDescent="0.35">
      <c r="B7" s="158" t="s">
        <v>18</v>
      </c>
      <c r="C7" s="159">
        <v>145218.20000000001</v>
      </c>
      <c r="D7" s="159">
        <v>117666.85</v>
      </c>
      <c r="E7" s="159">
        <v>26730.959999999999</v>
      </c>
      <c r="F7" s="159">
        <v>3722030.93</v>
      </c>
      <c r="G7" s="159">
        <v>3760804.41</v>
      </c>
      <c r="H7" s="159">
        <v>35325.14</v>
      </c>
    </row>
    <row r="9" spans="2:9" x14ac:dyDescent="0.35">
      <c r="B9" s="1" t="s">
        <v>8</v>
      </c>
      <c r="C9" s="2"/>
      <c r="D9" s="2"/>
      <c r="E9" s="2"/>
      <c r="F9" s="2"/>
      <c r="G9" s="29"/>
      <c r="H9" s="29"/>
      <c r="I9" s="29"/>
    </row>
    <row r="10" spans="2:9" x14ac:dyDescent="0.35">
      <c r="B10" s="6" t="s">
        <v>9</v>
      </c>
      <c r="C10" s="4"/>
      <c r="D10" s="4"/>
      <c r="E10" s="4"/>
      <c r="F10" s="4"/>
      <c r="G10" s="4"/>
      <c r="H10" s="4"/>
      <c r="I10" s="5"/>
    </row>
    <row r="11" spans="2:9" ht="56.5" x14ac:dyDescent="0.35">
      <c r="B11" s="3" t="s">
        <v>10</v>
      </c>
      <c r="C11" s="3" t="s">
        <v>11</v>
      </c>
      <c r="D11" s="3" t="s">
        <v>12</v>
      </c>
      <c r="E11" s="3" t="s">
        <v>13</v>
      </c>
      <c r="F11" s="3" t="s">
        <v>14</v>
      </c>
      <c r="G11" s="3" t="s">
        <v>15</v>
      </c>
      <c r="H11" s="3" t="s">
        <v>16</v>
      </c>
      <c r="I11" s="3" t="s">
        <v>17</v>
      </c>
    </row>
    <row r="12" spans="2:9" ht="17.5" customHeight="1" x14ac:dyDescent="0.35">
      <c r="B12" s="149" t="s">
        <v>126</v>
      </c>
      <c r="C12" s="150">
        <v>1119.81</v>
      </c>
      <c r="D12" s="150">
        <v>8040.89</v>
      </c>
      <c r="E12" s="151">
        <v>0</v>
      </c>
      <c r="F12" s="150">
        <v>556.75</v>
      </c>
      <c r="G12" s="150">
        <v>9160.7000000000007</v>
      </c>
      <c r="H12" s="150">
        <v>1045.32</v>
      </c>
      <c r="I12" s="150">
        <v>8115.39</v>
      </c>
    </row>
    <row r="13" spans="2:9" ht="16.5" customHeight="1" x14ac:dyDescent="0.35">
      <c r="B13" s="149" t="s">
        <v>127</v>
      </c>
      <c r="C13" s="150">
        <v>5595.7</v>
      </c>
      <c r="D13" s="150">
        <v>13284.46</v>
      </c>
      <c r="E13" s="151">
        <v>0</v>
      </c>
      <c r="F13" s="150">
        <v>1325.76</v>
      </c>
      <c r="G13" s="150">
        <v>18880.16</v>
      </c>
      <c r="H13" s="150">
        <v>1726.98</v>
      </c>
      <c r="I13" s="150">
        <v>17153.18</v>
      </c>
    </row>
    <row r="14" spans="2:9" ht="15.5" customHeight="1" x14ac:dyDescent="0.35">
      <c r="B14" s="149" t="s">
        <v>128</v>
      </c>
      <c r="C14" s="150">
        <v>12245.67</v>
      </c>
      <c r="D14" s="150">
        <v>9621.68</v>
      </c>
      <c r="E14" s="151">
        <v>0</v>
      </c>
      <c r="F14" s="150">
        <v>1577.62</v>
      </c>
      <c r="G14" s="150">
        <v>21867.34</v>
      </c>
      <c r="H14" s="150">
        <v>1250.82</v>
      </c>
      <c r="I14" s="150">
        <v>20616.53</v>
      </c>
    </row>
    <row r="15" spans="2:9" x14ac:dyDescent="0.35">
      <c r="B15" s="149" t="s">
        <v>129</v>
      </c>
      <c r="C15" s="150">
        <v>7769.78</v>
      </c>
      <c r="D15" s="150">
        <v>4378.1099999999997</v>
      </c>
      <c r="E15" s="151">
        <v>0</v>
      </c>
      <c r="F15" s="150">
        <v>808.61</v>
      </c>
      <c r="G15" s="150">
        <v>12147.89</v>
      </c>
      <c r="H15" s="150">
        <v>569.15</v>
      </c>
      <c r="I15" s="150">
        <v>11578.73</v>
      </c>
    </row>
    <row r="16" spans="2:9" x14ac:dyDescent="0.35">
      <c r="B16" s="160" t="s">
        <v>18</v>
      </c>
      <c r="C16" s="161">
        <v>26730.959999999999</v>
      </c>
      <c r="D16" s="161">
        <v>35325.14</v>
      </c>
      <c r="E16" s="162">
        <v>0</v>
      </c>
      <c r="F16" s="161">
        <v>4268.74</v>
      </c>
      <c r="G16" s="161">
        <v>62056.09</v>
      </c>
      <c r="H16" s="161">
        <v>4592.2700000000004</v>
      </c>
      <c r="I16" s="161">
        <v>57463.83</v>
      </c>
    </row>
    <row r="18" spans="2:7" x14ac:dyDescent="0.35">
      <c r="B18" s="1" t="s">
        <v>8</v>
      </c>
    </row>
    <row r="20" spans="2:7" ht="25" x14ac:dyDescent="0.35">
      <c r="B20" s="143" t="s">
        <v>123</v>
      </c>
      <c r="C20" s="143" t="s">
        <v>124</v>
      </c>
      <c r="D20" s="144" t="s">
        <v>125</v>
      </c>
      <c r="E20" s="144" t="s">
        <v>19</v>
      </c>
      <c r="F20" s="152" t="s">
        <v>20</v>
      </c>
      <c r="G20" s="152"/>
    </row>
    <row r="21" spans="2:7" ht="52" customHeight="1" x14ac:dyDescent="0.35">
      <c r="B21" s="148" t="s">
        <v>68</v>
      </c>
      <c r="C21" s="145">
        <v>5512</v>
      </c>
      <c r="D21" s="146">
        <v>9161</v>
      </c>
      <c r="E21" s="147">
        <v>-0.66200000000000003</v>
      </c>
      <c r="F21" s="153" t="s">
        <v>21</v>
      </c>
      <c r="G21" s="153"/>
    </row>
    <row r="22" spans="2:7" ht="52" customHeight="1" x14ac:dyDescent="0.35">
      <c r="B22" s="148" t="s">
        <v>69</v>
      </c>
      <c r="C22" s="145">
        <v>95044</v>
      </c>
      <c r="D22" s="146">
        <v>18880</v>
      </c>
      <c r="E22" s="147">
        <v>0.8014</v>
      </c>
      <c r="F22" s="153" t="s">
        <v>22</v>
      </c>
      <c r="G22" s="153"/>
    </row>
    <row r="23" spans="2:7" ht="52" customHeight="1" x14ac:dyDescent="0.35">
      <c r="B23" s="148" t="s">
        <v>70</v>
      </c>
      <c r="C23" s="145">
        <v>570264</v>
      </c>
      <c r="D23" s="146">
        <v>21867</v>
      </c>
      <c r="E23" s="147">
        <v>0.9617</v>
      </c>
      <c r="F23" s="153" t="s">
        <v>22</v>
      </c>
      <c r="G23" s="153"/>
    </row>
    <row r="24" spans="2:7" ht="52" customHeight="1" x14ac:dyDescent="0.35">
      <c r="B24" s="148" t="s">
        <v>71</v>
      </c>
      <c r="C24" s="145">
        <v>480732</v>
      </c>
      <c r="D24" s="146">
        <v>12148</v>
      </c>
      <c r="E24" s="147">
        <v>0.97470000000000001</v>
      </c>
      <c r="F24" s="153" t="s">
        <v>22</v>
      </c>
      <c r="G24" s="153"/>
    </row>
  </sheetData>
  <mergeCells count="5">
    <mergeCell ref="F20:G20"/>
    <mergeCell ref="F21:G21"/>
    <mergeCell ref="F22:G22"/>
    <mergeCell ref="F23:G23"/>
    <mergeCell ref="F24:G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5583D-6A21-4825-B4D3-CA7184E01CDB}">
  <dimension ref="A2:G53"/>
  <sheetViews>
    <sheetView showGridLines="0" topLeftCell="A6" zoomScale="120" zoomScaleNormal="120" workbookViewId="0">
      <selection activeCell="E16" sqref="E16:E17"/>
    </sheetView>
  </sheetViews>
  <sheetFormatPr defaultColWidth="8.90625" defaultRowHeight="13" x14ac:dyDescent="0.3"/>
  <cols>
    <col min="1" max="1" width="4.08984375" style="7" customWidth="1"/>
    <col min="2" max="2" width="26.36328125" style="7" bestFit="1" customWidth="1"/>
    <col min="3" max="3" width="24.54296875" style="7" bestFit="1" customWidth="1"/>
    <col min="4" max="5" width="20.6328125" style="7" customWidth="1"/>
    <col min="6" max="6" width="22.90625" style="7" customWidth="1"/>
    <col min="7" max="12" width="20.6328125" style="7" customWidth="1"/>
    <col min="13" max="16384" width="8.90625" style="7"/>
  </cols>
  <sheetData>
    <row r="2" spans="1:5" x14ac:dyDescent="0.3">
      <c r="B2" s="8" t="s">
        <v>23</v>
      </c>
      <c r="C2" s="9" t="s">
        <v>24</v>
      </c>
      <c r="D2" s="9"/>
    </row>
    <row r="3" spans="1:5" ht="52" x14ac:dyDescent="0.3">
      <c r="B3" s="8" t="s">
        <v>25</v>
      </c>
      <c r="C3" s="10">
        <f>E10</f>
        <v>11636.073806243427</v>
      </c>
      <c r="D3" s="11" t="s">
        <v>26</v>
      </c>
    </row>
    <row r="4" spans="1:5" x14ac:dyDescent="0.3">
      <c r="C4" s="12"/>
    </row>
    <row r="6" spans="1:5" x14ac:dyDescent="0.3">
      <c r="B6" s="13" t="s">
        <v>27</v>
      </c>
    </row>
    <row r="7" spans="1:5" s="14" customFormat="1" ht="26" x14ac:dyDescent="0.3">
      <c r="B7" s="15" t="s">
        <v>10</v>
      </c>
      <c r="C7" s="15" t="s">
        <v>28</v>
      </c>
      <c r="D7" s="15" t="s">
        <v>29</v>
      </c>
      <c r="E7" s="15" t="s">
        <v>30</v>
      </c>
    </row>
    <row r="8" spans="1:5" ht="14.5" x14ac:dyDescent="0.35">
      <c r="B8" s="9" t="s">
        <v>31</v>
      </c>
      <c r="C8" s="16">
        <v>1047.9492096129266</v>
      </c>
      <c r="D8" s="16">
        <v>5404.2559315038861</v>
      </c>
      <c r="E8" s="16">
        <v>6452.2051411168122</v>
      </c>
    </row>
    <row r="9" spans="1:5" ht="14.5" x14ac:dyDescent="0.35">
      <c r="B9" s="9" t="s">
        <v>32</v>
      </c>
      <c r="C9" s="16">
        <v>3119.0871492887195</v>
      </c>
      <c r="D9" s="16">
        <v>5726.2591349085214</v>
      </c>
      <c r="E9" s="16">
        <v>8845.3462841972414</v>
      </c>
    </row>
    <row r="10" spans="1:5" ht="14.5" x14ac:dyDescent="0.35">
      <c r="B10" s="9" t="s">
        <v>33</v>
      </c>
      <c r="C10" s="16">
        <v>5569.7327383351067</v>
      </c>
      <c r="D10" s="16">
        <v>6066.3410679083199</v>
      </c>
      <c r="E10" s="16">
        <v>11636.073806243427</v>
      </c>
    </row>
    <row r="13" spans="1:5" s="19" customFormat="1" x14ac:dyDescent="0.3">
      <c r="A13" s="17" t="s">
        <v>34</v>
      </c>
      <c r="B13" s="18" t="s">
        <v>35</v>
      </c>
    </row>
    <row r="14" spans="1:5" s="20" customFormat="1" ht="26" x14ac:dyDescent="0.3">
      <c r="B14" s="21" t="s">
        <v>10</v>
      </c>
      <c r="C14" s="21" t="s">
        <v>36</v>
      </c>
      <c r="D14" s="21" t="s">
        <v>37</v>
      </c>
    </row>
    <row r="15" spans="1:5" s="19" customFormat="1" x14ac:dyDescent="0.3">
      <c r="B15" s="22" t="s">
        <v>38</v>
      </c>
      <c r="C15" s="22">
        <v>105.5</v>
      </c>
      <c r="D15" s="22">
        <v>3.94</v>
      </c>
    </row>
    <row r="16" spans="1:5" s="19" customFormat="1" x14ac:dyDescent="0.3">
      <c r="B16" s="22" t="s">
        <v>39</v>
      </c>
      <c r="C16" s="22">
        <v>106.47</v>
      </c>
      <c r="D16" s="22">
        <v>4.26</v>
      </c>
    </row>
    <row r="17" spans="2:6" s="19" customFormat="1" x14ac:dyDescent="0.3">
      <c r="B17" s="22" t="s">
        <v>40</v>
      </c>
      <c r="C17" s="22">
        <v>107.9</v>
      </c>
      <c r="D17" s="22">
        <v>4.28</v>
      </c>
    </row>
    <row r="18" spans="2:6" s="19" customFormat="1" x14ac:dyDescent="0.3"/>
    <row r="19" spans="2:6" s="19" customFormat="1" x14ac:dyDescent="0.3">
      <c r="B19" s="18" t="s">
        <v>41</v>
      </c>
    </row>
    <row r="20" spans="2:6" s="20" customFormat="1" ht="26" x14ac:dyDescent="0.3">
      <c r="B20" s="21" t="s">
        <v>10</v>
      </c>
      <c r="C20" s="21" t="s">
        <v>36</v>
      </c>
      <c r="D20" s="21" t="s">
        <v>37</v>
      </c>
    </row>
    <row r="21" spans="2:6" s="19" customFormat="1" x14ac:dyDescent="0.3">
      <c r="B21" s="22" t="s">
        <v>38</v>
      </c>
      <c r="C21" s="22">
        <v>105.5</v>
      </c>
      <c r="D21" s="22">
        <f>D15-D33</f>
        <v>1.02</v>
      </c>
    </row>
    <row r="22" spans="2:6" s="19" customFormat="1" x14ac:dyDescent="0.3">
      <c r="B22" s="22" t="s">
        <v>39</v>
      </c>
      <c r="C22" s="22">
        <v>106.47</v>
      </c>
      <c r="D22" s="22">
        <f t="shared" ref="D22:D23" si="0">D16-D34</f>
        <v>1.3899999999999997</v>
      </c>
    </row>
    <row r="23" spans="2:6" s="19" customFormat="1" x14ac:dyDescent="0.3">
      <c r="B23" s="22" t="s">
        <v>40</v>
      </c>
      <c r="C23" s="22">
        <v>107.9</v>
      </c>
      <c r="D23" s="22">
        <f t="shared" si="0"/>
        <v>1.4900000000000002</v>
      </c>
    </row>
    <row r="24" spans="2:6" s="19" customFormat="1" x14ac:dyDescent="0.3"/>
    <row r="25" spans="2:6" s="19" customFormat="1" x14ac:dyDescent="0.3">
      <c r="B25" s="18" t="s">
        <v>42</v>
      </c>
    </row>
    <row r="26" spans="2:6" s="20" customFormat="1" ht="26" x14ac:dyDescent="0.3">
      <c r="B26" s="21" t="s">
        <v>10</v>
      </c>
      <c r="C26" s="21" t="s">
        <v>36</v>
      </c>
      <c r="D26" s="21" t="s">
        <v>37</v>
      </c>
    </row>
    <row r="27" spans="2:6" s="19" customFormat="1" x14ac:dyDescent="0.3">
      <c r="B27" s="22" t="s">
        <v>38</v>
      </c>
      <c r="C27" s="22">
        <f>C15+E36</f>
        <v>108.53</v>
      </c>
      <c r="D27" s="22">
        <v>3.94</v>
      </c>
    </row>
    <row r="28" spans="2:6" s="19" customFormat="1" x14ac:dyDescent="0.3">
      <c r="B28" s="22" t="s">
        <v>39</v>
      </c>
      <c r="C28" s="22">
        <f>C16+E37</f>
        <v>108.57</v>
      </c>
      <c r="D28" s="22">
        <v>4.26</v>
      </c>
    </row>
    <row r="29" spans="2:6" s="19" customFormat="1" x14ac:dyDescent="0.3">
      <c r="B29" s="22" t="s">
        <v>40</v>
      </c>
      <c r="C29" s="22">
        <f>C17+E38</f>
        <v>109.61</v>
      </c>
      <c r="D29" s="22">
        <v>4.28</v>
      </c>
    </row>
    <row r="30" spans="2:6" s="19" customFormat="1" x14ac:dyDescent="0.3"/>
    <row r="31" spans="2:6" s="19" customFormat="1" x14ac:dyDescent="0.3">
      <c r="B31" s="18" t="s">
        <v>43</v>
      </c>
    </row>
    <row r="32" spans="2:6" s="23" customFormat="1" ht="39" x14ac:dyDescent="0.3">
      <c r="B32" s="21" t="s">
        <v>10</v>
      </c>
      <c r="C32" s="21" t="s">
        <v>44</v>
      </c>
      <c r="D32" s="21" t="s">
        <v>45</v>
      </c>
      <c r="E32" s="21" t="s">
        <v>46</v>
      </c>
      <c r="F32" s="21" t="s">
        <v>47</v>
      </c>
    </row>
    <row r="33" spans="2:7" s="19" customFormat="1" x14ac:dyDescent="0.3">
      <c r="B33" s="22" t="s">
        <v>38</v>
      </c>
      <c r="C33" s="22" t="s">
        <v>48</v>
      </c>
      <c r="D33" s="22">
        <v>2.92</v>
      </c>
      <c r="E33" s="22">
        <v>0</v>
      </c>
      <c r="F33" s="24">
        <v>0.2681</v>
      </c>
    </row>
    <row r="34" spans="2:7" s="19" customFormat="1" x14ac:dyDescent="0.3">
      <c r="B34" s="22" t="s">
        <v>39</v>
      </c>
      <c r="C34" s="22" t="s">
        <v>48</v>
      </c>
      <c r="D34" s="22">
        <v>2.87</v>
      </c>
      <c r="E34" s="22">
        <v>0</v>
      </c>
      <c r="F34" s="25">
        <v>0</v>
      </c>
      <c r="G34" s="19" t="s">
        <v>49</v>
      </c>
    </row>
    <row r="35" spans="2:7" s="19" customFormat="1" x14ac:dyDescent="0.3">
      <c r="B35" s="22" t="s">
        <v>40</v>
      </c>
      <c r="C35" s="22" t="s">
        <v>48</v>
      </c>
      <c r="D35" s="22">
        <v>2.79</v>
      </c>
      <c r="E35" s="22">
        <v>0</v>
      </c>
      <c r="F35" s="25">
        <v>0</v>
      </c>
    </row>
    <row r="36" spans="2:7" s="19" customFormat="1" x14ac:dyDescent="0.3">
      <c r="B36" s="22" t="s">
        <v>38</v>
      </c>
      <c r="C36" s="22" t="s">
        <v>50</v>
      </c>
      <c r="D36" s="22">
        <v>0</v>
      </c>
      <c r="E36" s="22">
        <v>3.03</v>
      </c>
      <c r="F36" s="24">
        <v>1.7899999999999999E-2</v>
      </c>
    </row>
    <row r="37" spans="2:7" s="19" customFormat="1" x14ac:dyDescent="0.3">
      <c r="B37" s="22" t="s">
        <v>39</v>
      </c>
      <c r="C37" s="22" t="s">
        <v>50</v>
      </c>
      <c r="D37" s="22">
        <v>0</v>
      </c>
      <c r="E37" s="22">
        <v>2.1</v>
      </c>
      <c r="F37" s="24">
        <v>0.12790000000000001</v>
      </c>
    </row>
    <row r="38" spans="2:7" s="19" customFormat="1" x14ac:dyDescent="0.3">
      <c r="B38" s="22" t="s">
        <v>40</v>
      </c>
      <c r="C38" s="22" t="s">
        <v>50</v>
      </c>
      <c r="D38" s="22">
        <v>0</v>
      </c>
      <c r="E38" s="22">
        <v>1.71</v>
      </c>
      <c r="F38" s="24">
        <v>0.15590000000000001</v>
      </c>
    </row>
    <row r="41" spans="2:7" x14ac:dyDescent="0.3">
      <c r="B41" s="13" t="s">
        <v>119</v>
      </c>
    </row>
    <row r="42" spans="2:7" x14ac:dyDescent="0.3">
      <c r="B42" s="15" t="s">
        <v>10</v>
      </c>
      <c r="C42" s="8" t="s">
        <v>51</v>
      </c>
      <c r="D42" s="8" t="s">
        <v>52</v>
      </c>
      <c r="E42" s="8" t="s">
        <v>53</v>
      </c>
      <c r="F42" s="8" t="s">
        <v>54</v>
      </c>
      <c r="G42" s="8" t="s">
        <v>55</v>
      </c>
    </row>
    <row r="43" spans="2:7" x14ac:dyDescent="0.3">
      <c r="B43" s="9" t="s">
        <v>38</v>
      </c>
      <c r="C43" s="26">
        <f>$C$3*C15</f>
        <v>1227605.7865586814</v>
      </c>
      <c r="D43" s="27">
        <f>(C8*C21)+(D8*C27)+($C$3-E8)*C15</f>
        <v>1243980.6820311383</v>
      </c>
      <c r="E43" s="27">
        <f>D43-C43</f>
        <v>16374.895472456934</v>
      </c>
      <c r="F43" s="27">
        <f>E43*F36</f>
        <v>293.1106289569791</v>
      </c>
      <c r="G43" s="27">
        <f>E43-F43</f>
        <v>16081.784843499954</v>
      </c>
    </row>
    <row r="44" spans="2:7" x14ac:dyDescent="0.3">
      <c r="B44" s="9" t="s">
        <v>39</v>
      </c>
      <c r="C44" s="26">
        <f>$C$3*C16</f>
        <v>1238892.7781507375</v>
      </c>
      <c r="D44" s="27">
        <f>(C9*C22)+(D9*C28)+($C$3-E9)*C16</f>
        <v>1250917.9223340454</v>
      </c>
      <c r="E44" s="27">
        <f t="shared" ref="E44:E45" si="1">D44-C44</f>
        <v>12025.144183307886</v>
      </c>
      <c r="F44" s="27">
        <f t="shared" ref="F44:F45" si="2">E44*F37</f>
        <v>1538.0159410450788</v>
      </c>
      <c r="G44" s="27">
        <f t="shared" ref="G44:G45" si="3">E44-F44</f>
        <v>10487.128242262806</v>
      </c>
    </row>
    <row r="45" spans="2:7" x14ac:dyDescent="0.3">
      <c r="B45" s="9" t="s">
        <v>40</v>
      </c>
      <c r="C45" s="26">
        <f>$C$3*C17</f>
        <v>1255532.3636936657</v>
      </c>
      <c r="D45" s="27">
        <f>(C10*C23)+(D10*C29)+($C$3-E10)*C17</f>
        <v>1265905.8069197889</v>
      </c>
      <c r="E45" s="27">
        <f t="shared" si="1"/>
        <v>10373.443226123229</v>
      </c>
      <c r="F45" s="27">
        <f t="shared" si="2"/>
        <v>1617.2197989526114</v>
      </c>
      <c r="G45" s="27">
        <f t="shared" si="3"/>
        <v>8756.2234271706166</v>
      </c>
    </row>
    <row r="48" spans="2:7" x14ac:dyDescent="0.3">
      <c r="B48" s="13" t="s">
        <v>120</v>
      </c>
    </row>
    <row r="49" spans="2:7" x14ac:dyDescent="0.3">
      <c r="B49" s="15" t="s">
        <v>10</v>
      </c>
      <c r="C49" s="15" t="s">
        <v>56</v>
      </c>
      <c r="D49" s="15" t="s">
        <v>57</v>
      </c>
      <c r="E49" s="15" t="s">
        <v>58</v>
      </c>
      <c r="F49" s="8" t="s">
        <v>54</v>
      </c>
      <c r="G49" s="8" t="s">
        <v>59</v>
      </c>
    </row>
    <row r="50" spans="2:7" x14ac:dyDescent="0.3">
      <c r="B50" s="9" t="s">
        <v>38</v>
      </c>
      <c r="C50" s="26">
        <f>$C$3*D15</f>
        <v>45846.1307965991</v>
      </c>
      <c r="D50" s="27">
        <f>(C8*D21)+(D8*D27)+($C$3-E8)*D15</f>
        <v>42786.119104529353</v>
      </c>
      <c r="E50" s="27">
        <f>C50-D50</f>
        <v>3060.0116920697474</v>
      </c>
      <c r="F50" s="27">
        <f>E50*F33</f>
        <v>820.3891346438993</v>
      </c>
      <c r="G50" s="27">
        <f>E50-F50</f>
        <v>2239.6225574258478</v>
      </c>
    </row>
    <row r="51" spans="2:7" x14ac:dyDescent="0.3">
      <c r="B51" s="9" t="s">
        <v>39</v>
      </c>
      <c r="C51" s="26">
        <f>$C$3*D16</f>
        <v>49569.674414596993</v>
      </c>
      <c r="D51" s="27">
        <f>(C9*D22)+(D9*D28)+($C$3-E9)*D16</f>
        <v>40617.894296138365</v>
      </c>
      <c r="E51" s="27">
        <f t="shared" ref="E51:E52" si="4">C51-D51</f>
        <v>8951.7801184586278</v>
      </c>
      <c r="F51" s="27">
        <f t="shared" ref="F51:F52" si="5">E51*F34</f>
        <v>0</v>
      </c>
      <c r="G51" s="27">
        <f t="shared" ref="G51:G52" si="6">E51-F51</f>
        <v>8951.7801184586278</v>
      </c>
    </row>
    <row r="52" spans="2:7" x14ac:dyDescent="0.3">
      <c r="B52" s="9" t="s">
        <v>40</v>
      </c>
      <c r="C52" s="26">
        <f>$C$3*D17</f>
        <v>49802.395890721869</v>
      </c>
      <c r="D52" s="27">
        <f>(C10*D23)+(D10*D29)+($C$3-E10)*D17</f>
        <v>34262.84155076692</v>
      </c>
      <c r="E52" s="27">
        <f t="shared" si="4"/>
        <v>15539.55433995495</v>
      </c>
      <c r="F52" s="27">
        <f t="shared" si="5"/>
        <v>0</v>
      </c>
      <c r="G52" s="27">
        <f t="shared" si="6"/>
        <v>15539.55433995495</v>
      </c>
    </row>
    <row r="53" spans="2:7" x14ac:dyDescent="0.3">
      <c r="C53" s="28"/>
      <c r="D53" s="12"/>
      <c r="E53" s="12"/>
      <c r="F53" s="12"/>
      <c r="G53" s="12"/>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96580-A021-4EC9-9649-282DAE22F091}">
  <dimension ref="B1:Y63"/>
  <sheetViews>
    <sheetView showGridLines="0" tabSelected="1" zoomScale="70" zoomScaleNormal="70" workbookViewId="0">
      <selection activeCell="G14" sqref="G14"/>
    </sheetView>
  </sheetViews>
  <sheetFormatPr defaultColWidth="8.90625" defaultRowHeight="13" x14ac:dyDescent="0.3"/>
  <cols>
    <col min="1" max="1" width="6.08984375" style="30" customWidth="1"/>
    <col min="2" max="2" width="29.36328125" style="30" customWidth="1"/>
    <col min="3" max="3" width="23.90625" style="30" customWidth="1"/>
    <col min="4" max="4" width="20" style="30" customWidth="1"/>
    <col min="5" max="5" width="18" style="30" customWidth="1"/>
    <col min="6" max="6" width="26.7265625" style="30" customWidth="1"/>
    <col min="7" max="7" width="17" style="30" customWidth="1"/>
    <col min="8" max="8" width="18.08984375" style="30" customWidth="1"/>
    <col min="9" max="10" width="14.08984375" style="30" customWidth="1"/>
    <col min="11" max="11" width="19" style="30" customWidth="1"/>
    <col min="12" max="12" width="17" style="30" customWidth="1"/>
    <col min="13" max="13" width="16.90625" style="30" customWidth="1"/>
    <col min="14" max="14" width="17.36328125" style="30" customWidth="1"/>
    <col min="15" max="15" width="14.6328125" style="30" customWidth="1"/>
    <col min="16" max="16" width="15" style="30" customWidth="1"/>
    <col min="17" max="17" width="8.90625" style="30"/>
    <col min="18" max="18" width="15.36328125" style="30" customWidth="1"/>
    <col min="19" max="19" width="8.90625" style="30"/>
    <col min="20" max="20" width="8.6328125" style="30" hidden="1" customWidth="1"/>
    <col min="21" max="23" width="8.90625" style="30"/>
    <col min="24" max="24" width="12.6328125" style="30" customWidth="1"/>
    <col min="25" max="16384" width="8.90625" style="30"/>
  </cols>
  <sheetData>
    <row r="1" spans="2:25" s="167" customFormat="1" ht="21.5" customHeight="1" x14ac:dyDescent="0.35">
      <c r="B1" s="163"/>
      <c r="C1" s="164"/>
      <c r="D1" s="164"/>
      <c r="E1" s="164"/>
      <c r="F1" s="164"/>
      <c r="G1" s="164"/>
      <c r="H1" s="164"/>
      <c r="I1" s="164"/>
      <c r="J1" s="164"/>
      <c r="K1" s="164"/>
      <c r="L1" s="164"/>
      <c r="M1" s="164"/>
      <c r="N1" s="165"/>
      <c r="O1" s="165"/>
      <c r="P1" s="164"/>
      <c r="Q1" s="166"/>
    </row>
    <row r="2" spans="2:25" ht="21" x14ac:dyDescent="0.5">
      <c r="B2" s="129" t="s">
        <v>60</v>
      </c>
      <c r="C2" s="129"/>
      <c r="D2" s="129"/>
      <c r="E2" s="129"/>
      <c r="F2" s="129"/>
      <c r="G2" s="129"/>
      <c r="H2" s="129"/>
      <c r="I2" s="129"/>
      <c r="J2" s="129"/>
      <c r="K2" s="129"/>
      <c r="L2" s="129"/>
      <c r="M2" s="85"/>
      <c r="N2" s="86"/>
      <c r="O2" s="86"/>
      <c r="P2" s="85"/>
      <c r="Q2" s="87"/>
    </row>
    <row r="3" spans="2:25" ht="62" customHeight="1" x14ac:dyDescent="0.3">
      <c r="B3" s="88" t="s">
        <v>61</v>
      </c>
      <c r="C3" s="89" t="s">
        <v>62</v>
      </c>
      <c r="D3" s="89" t="s">
        <v>63</v>
      </c>
      <c r="E3" s="89" t="s">
        <v>121</v>
      </c>
      <c r="F3" s="89" t="s">
        <v>122</v>
      </c>
      <c r="G3" s="89" t="s">
        <v>14</v>
      </c>
      <c r="H3" s="89" t="s">
        <v>64</v>
      </c>
      <c r="I3" s="90" t="s">
        <v>65</v>
      </c>
      <c r="J3" s="91" t="s">
        <v>66</v>
      </c>
      <c r="K3" s="92" t="s">
        <v>16</v>
      </c>
      <c r="L3" s="88" t="s">
        <v>67</v>
      </c>
      <c r="O3" s="93"/>
      <c r="U3" s="93"/>
    </row>
    <row r="4" spans="2:25" ht="14.5" x14ac:dyDescent="0.35">
      <c r="B4" s="94" t="s">
        <v>68</v>
      </c>
      <c r="C4" s="95">
        <f>'ERR calculations'!C50/2</f>
        <v>22923.06539829955</v>
      </c>
      <c r="D4" s="95">
        <f>'ERR calculations'!D50/2</f>
        <v>21393.059552264676</v>
      </c>
      <c r="E4" s="95">
        <f>'ERR calculations'!C43/2</f>
        <v>613802.8932793407</v>
      </c>
      <c r="F4" s="95">
        <f>'ERR calculations'!D43/2</f>
        <v>621990.34101556917</v>
      </c>
      <c r="G4" s="95">
        <f>('ERR calculations'!F43/2)+('ERR calculations'!F50/2)</f>
        <v>556.7498818004392</v>
      </c>
      <c r="H4" s="95">
        <f>'ERR calculations'!G50/2</f>
        <v>1119.8112787129239</v>
      </c>
      <c r="I4" s="95">
        <f>'ERR calculations'!G43/2</f>
        <v>8040.8924217499771</v>
      </c>
      <c r="J4" s="95">
        <f>H4+I4</f>
        <v>9160.7037004629019</v>
      </c>
      <c r="K4" s="96">
        <f>I4*0.13</f>
        <v>1045.3160148274972</v>
      </c>
      <c r="L4" s="97">
        <f>H4+(I4-K4)</f>
        <v>8115.3876856354036</v>
      </c>
      <c r="O4" s="85"/>
      <c r="P4" s="98"/>
      <c r="Q4" s="98"/>
      <c r="R4" s="98"/>
      <c r="U4" s="86"/>
      <c r="V4" s="99"/>
      <c r="X4" s="99"/>
      <c r="Y4" s="99"/>
    </row>
    <row r="5" spans="2:25" ht="14.5" x14ac:dyDescent="0.35">
      <c r="B5" s="100" t="s">
        <v>69</v>
      </c>
      <c r="C5" s="95">
        <f>('ERR calculations'!C50/2)+('ERR calculations'!C51/2)</f>
        <v>47707.90260559805</v>
      </c>
      <c r="D5" s="95">
        <f>('ERR calculations'!D50/2)+('ERR calculations'!D51/2)</f>
        <v>41702.006700333863</v>
      </c>
      <c r="E5" s="95">
        <f>('ERR calculations'!C43/2)+('ERR calculations'!C44/2)</f>
        <v>1233249.2823547095</v>
      </c>
      <c r="F5" s="95">
        <f>('ERR calculations'!D43/2)+('ERR calculations'!D44/2)</f>
        <v>1247449.302182592</v>
      </c>
      <c r="G5" s="95">
        <f>(('ERR calculations'!F43/2)+('ERR calculations'!F44/2))+(('ERR calculations'!F50/2)+('ERR calculations'!F51/2))</f>
        <v>1325.7578523229786</v>
      </c>
      <c r="H5" s="95">
        <f>('ERR calculations'!G50/2)+('ERR calculations'!G51/2)</f>
        <v>5595.7013379422378</v>
      </c>
      <c r="I5" s="95">
        <f>('ERR calculations'!G43/2)+('ERR calculations'!G44/2)</f>
        <v>13284.45654288138</v>
      </c>
      <c r="J5" s="95">
        <f t="shared" ref="J5:J7" si="0">H5+I5</f>
        <v>18880.157880823619</v>
      </c>
      <c r="K5" s="96">
        <f>I5*0.13</f>
        <v>1726.9793505745795</v>
      </c>
      <c r="L5" s="97">
        <f>H5+(I5-K5)</f>
        <v>17153.178530249039</v>
      </c>
      <c r="O5" s="85"/>
      <c r="P5" s="98"/>
      <c r="Q5" s="98"/>
      <c r="R5" s="98"/>
      <c r="U5" s="86"/>
      <c r="X5" s="99"/>
      <c r="Y5" s="99"/>
    </row>
    <row r="6" spans="2:25" ht="14.5" x14ac:dyDescent="0.35">
      <c r="B6" s="100" t="s">
        <v>70</v>
      </c>
      <c r="C6" s="95">
        <f>('ERR calculations'!C51/2)+('ERR calculations'!C52/2)</f>
        <v>49686.035152659431</v>
      </c>
      <c r="D6" s="95">
        <f>('ERR calculations'!D51/2)+('ERR calculations'!D52/2)</f>
        <v>37440.367923452643</v>
      </c>
      <c r="E6" s="95">
        <f>('ERR calculations'!C44/2)+('ERR calculations'!C45/2)</f>
        <v>1247212.5709222015</v>
      </c>
      <c r="F6" s="95">
        <f>('ERR calculations'!D44/2)+('ERR calculations'!D45/2)</f>
        <v>1258411.8646269171</v>
      </c>
      <c r="G6" s="95">
        <f>(('ERR calculations'!F44/2)+('ERR calculations'!F45/2))+(('ERR calculations'!F51/2)+('ERR calculations'!F52/2))</f>
        <v>1577.617869998845</v>
      </c>
      <c r="H6" s="95">
        <f>('ERR calculations'!G51/2)+('ERR calculations'!G52/2)</f>
        <v>12245.667229206789</v>
      </c>
      <c r="I6" s="95">
        <f>('ERR calculations'!G44/2)+('ERR calculations'!G45/2)</f>
        <v>9621.6758347167124</v>
      </c>
      <c r="J6" s="95">
        <f t="shared" si="0"/>
        <v>21867.343063923501</v>
      </c>
      <c r="K6" s="96">
        <f>I6*0.13</f>
        <v>1250.8178585131727</v>
      </c>
      <c r="L6" s="97">
        <f>H6+(I6-K6)</f>
        <v>20616.525205410329</v>
      </c>
      <c r="O6" s="85"/>
      <c r="P6" s="98"/>
      <c r="Q6" s="98"/>
      <c r="R6" s="98"/>
      <c r="U6" s="86"/>
      <c r="X6" s="99"/>
      <c r="Y6" s="99"/>
    </row>
    <row r="7" spans="2:25" ht="14.5" x14ac:dyDescent="0.35">
      <c r="B7" s="100" t="s">
        <v>71</v>
      </c>
      <c r="C7" s="95">
        <f>('ERR calculations'!C52/2)</f>
        <v>24901.197945360935</v>
      </c>
      <c r="D7" s="95">
        <f>('ERR calculations'!D52/2)</f>
        <v>17131.42077538346</v>
      </c>
      <c r="E7" s="95">
        <f>'ERR calculations'!C45/2</f>
        <v>627766.18184683286</v>
      </c>
      <c r="F7" s="95">
        <f>'ERR calculations'!D45/2</f>
        <v>632952.90345989447</v>
      </c>
      <c r="G7" s="95">
        <f>('ERR calculations'!F45/2)+('ERR calculations'!F52/2)</f>
        <v>808.60989947630571</v>
      </c>
      <c r="H7" s="95">
        <f>('ERR calculations'!G52/2)</f>
        <v>7769.7771699774748</v>
      </c>
      <c r="I7" s="95">
        <f>('ERR calculations'!G45/2)</f>
        <v>4378.1117135853083</v>
      </c>
      <c r="J7" s="95">
        <f t="shared" si="0"/>
        <v>12147.888883562784</v>
      </c>
      <c r="K7" s="96">
        <f>I7*0.13</f>
        <v>569.15452276609005</v>
      </c>
      <c r="L7" s="97">
        <f>H7+(I7-K7)</f>
        <v>11578.734360796694</v>
      </c>
      <c r="O7" s="101"/>
      <c r="Q7" s="98"/>
      <c r="R7" s="98"/>
      <c r="X7" s="99"/>
      <c r="Y7" s="99"/>
    </row>
    <row r="8" spans="2:25" ht="14.5" x14ac:dyDescent="0.35">
      <c r="B8" s="94" t="s">
        <v>18</v>
      </c>
      <c r="C8" s="102">
        <f t="shared" ref="C8:L8" si="1">SUM(C4:C7)</f>
        <v>145218.20110191798</v>
      </c>
      <c r="D8" s="102">
        <f t="shared" si="1"/>
        <v>117666.85495143464</v>
      </c>
      <c r="E8" s="102">
        <f t="shared" si="1"/>
        <v>3722030.9284030846</v>
      </c>
      <c r="F8" s="102">
        <f t="shared" ref="F8:G8" si="2">SUM(F4:F7)</f>
        <v>3760804.4112849729</v>
      </c>
      <c r="G8" s="102">
        <f t="shared" si="2"/>
        <v>4268.7355035985684</v>
      </c>
      <c r="H8" s="102">
        <f t="shared" si="1"/>
        <v>26730.957015839427</v>
      </c>
      <c r="I8" s="102">
        <f t="shared" si="1"/>
        <v>35325.136512933379</v>
      </c>
      <c r="J8" s="102">
        <f t="shared" si="1"/>
        <v>62056.093528772806</v>
      </c>
      <c r="K8" s="103">
        <f t="shared" si="1"/>
        <v>4592.2677466813393</v>
      </c>
      <c r="L8" s="104">
        <f t="shared" si="1"/>
        <v>57463.825782091459</v>
      </c>
      <c r="P8" s="98"/>
      <c r="Q8" s="98"/>
      <c r="R8" s="101"/>
      <c r="X8" s="105"/>
      <c r="Y8" s="99"/>
    </row>
    <row r="9" spans="2:25" ht="11.25" customHeight="1" x14ac:dyDescent="0.3">
      <c r="P9" s="130"/>
      <c r="Q9" s="130"/>
      <c r="R9" s="130"/>
      <c r="S9" s="130"/>
      <c r="T9" s="130"/>
      <c r="U9" s="130"/>
      <c r="V9" s="130"/>
      <c r="W9" s="130"/>
      <c r="X9" s="130"/>
    </row>
    <row r="10" spans="2:25" ht="63.75" customHeight="1" x14ac:dyDescent="0.35">
      <c r="H10" s="128"/>
      <c r="I10" s="106"/>
      <c r="K10" s="131" t="s">
        <v>72</v>
      </c>
      <c r="L10" s="131"/>
      <c r="M10" s="131"/>
    </row>
    <row r="11" spans="2:25" ht="13" customHeight="1" x14ac:dyDescent="0.3">
      <c r="B11" s="132" t="s">
        <v>73</v>
      </c>
      <c r="C11" s="132"/>
      <c r="D11" s="132"/>
      <c r="E11" s="132"/>
      <c r="F11" s="132"/>
      <c r="G11" s="125"/>
      <c r="I11" s="107"/>
    </row>
    <row r="12" spans="2:25" ht="66" customHeight="1" x14ac:dyDescent="0.3">
      <c r="B12" s="142" t="s">
        <v>74</v>
      </c>
      <c r="C12" s="142"/>
      <c r="D12" s="142"/>
      <c r="E12" s="142"/>
      <c r="F12" s="142"/>
      <c r="G12" s="126"/>
      <c r="I12" s="127"/>
    </row>
    <row r="20" spans="2:17" ht="14.5" x14ac:dyDescent="0.35">
      <c r="B20" s="108"/>
      <c r="C20" s="109"/>
      <c r="D20" s="110"/>
      <c r="E20" s="110"/>
      <c r="F20" s="110"/>
      <c r="G20" s="110"/>
      <c r="H20" s="110"/>
      <c r="I20" s="110"/>
      <c r="J20" s="110"/>
      <c r="K20" s="110"/>
      <c r="L20" s="110"/>
      <c r="M20" s="108"/>
      <c r="N20" s="108"/>
      <c r="O20" s="108"/>
      <c r="P20" s="108"/>
    </row>
    <row r="21" spans="2:17" ht="14.5" x14ac:dyDescent="0.3">
      <c r="B21" s="111"/>
      <c r="C21" s="111"/>
      <c r="D21" s="111"/>
      <c r="E21" s="111"/>
      <c r="F21" s="111"/>
      <c r="G21" s="111"/>
      <c r="H21" s="111"/>
      <c r="I21" s="111"/>
      <c r="J21" s="111"/>
      <c r="K21" s="111"/>
      <c r="L21" s="111"/>
      <c r="M21" s="111"/>
      <c r="N21" s="111"/>
      <c r="O21" s="111"/>
      <c r="P21" s="111"/>
      <c r="Q21" s="111"/>
    </row>
    <row r="22" spans="2:17" ht="14.5" x14ac:dyDescent="0.35">
      <c r="B22" s="112"/>
      <c r="C22" s="85"/>
      <c r="D22" s="85"/>
      <c r="E22" s="85"/>
      <c r="F22" s="85"/>
      <c r="G22" s="85"/>
      <c r="H22" s="85"/>
      <c r="I22" s="85"/>
      <c r="J22" s="85"/>
      <c r="K22" s="85"/>
      <c r="L22" s="85"/>
      <c r="M22" s="85"/>
      <c r="N22" s="86"/>
      <c r="O22" s="86"/>
      <c r="P22" s="85"/>
      <c r="Q22" s="86"/>
    </row>
    <row r="23" spans="2:17" ht="14.5" x14ac:dyDescent="0.35">
      <c r="B23" s="113"/>
      <c r="C23" s="85"/>
      <c r="D23" s="85"/>
      <c r="E23" s="85"/>
      <c r="F23" s="85"/>
      <c r="G23" s="85"/>
      <c r="H23" s="85"/>
      <c r="I23" s="85"/>
      <c r="J23" s="85"/>
      <c r="K23" s="85"/>
      <c r="L23" s="85"/>
      <c r="M23" s="85"/>
      <c r="N23" s="86"/>
      <c r="O23" s="86"/>
      <c r="P23" s="85"/>
      <c r="Q23" s="86"/>
    </row>
    <row r="24" spans="2:17" ht="14.5" x14ac:dyDescent="0.35">
      <c r="B24" s="113"/>
      <c r="C24" s="85"/>
      <c r="D24" s="85"/>
      <c r="E24" s="85"/>
      <c r="F24" s="85"/>
      <c r="G24" s="85"/>
      <c r="H24" s="85"/>
      <c r="I24" s="85"/>
      <c r="J24" s="85"/>
      <c r="K24" s="85"/>
      <c r="L24" s="85"/>
      <c r="M24" s="85"/>
      <c r="N24" s="86"/>
      <c r="O24" s="86"/>
      <c r="P24" s="85"/>
      <c r="Q24" s="86"/>
    </row>
    <row r="25" spans="2:17" ht="14.5" x14ac:dyDescent="0.35">
      <c r="B25" s="113"/>
      <c r="C25" s="85"/>
      <c r="D25" s="85"/>
      <c r="E25" s="85"/>
      <c r="F25" s="85"/>
      <c r="G25" s="85"/>
      <c r="H25" s="85"/>
      <c r="I25" s="85"/>
      <c r="J25" s="85"/>
      <c r="K25" s="85"/>
      <c r="L25" s="85"/>
      <c r="M25" s="85"/>
      <c r="N25" s="86"/>
      <c r="O25" s="86"/>
      <c r="P25" s="85"/>
      <c r="Q25" s="87"/>
    </row>
    <row r="26" spans="2:17" ht="14.5" x14ac:dyDescent="0.35">
      <c r="B26" s="112"/>
    </row>
    <row r="27" spans="2:17" x14ac:dyDescent="0.3">
      <c r="I27" s="93"/>
      <c r="J27" s="93"/>
    </row>
    <row r="34" spans="2:19" x14ac:dyDescent="0.3">
      <c r="P34" s="99"/>
    </row>
    <row r="38" spans="2:19" ht="14.5" x14ac:dyDescent="0.35">
      <c r="B38" s="108"/>
      <c r="C38" s="109"/>
      <c r="D38" s="110"/>
      <c r="E38" s="110"/>
      <c r="F38" s="110"/>
      <c r="G38" s="110"/>
      <c r="H38" s="110"/>
      <c r="I38" s="110"/>
      <c r="J38" s="110"/>
      <c r="K38" s="110"/>
      <c r="L38" s="110"/>
      <c r="M38" s="108"/>
      <c r="N38" s="108"/>
      <c r="O38" s="108"/>
      <c r="P38" s="108"/>
    </row>
    <row r="39" spans="2:19" ht="14.5" x14ac:dyDescent="0.3">
      <c r="B39" s="111"/>
      <c r="C39" s="111"/>
      <c r="D39" s="111"/>
      <c r="E39" s="111"/>
      <c r="F39" s="111"/>
      <c r="G39" s="111"/>
      <c r="H39" s="111"/>
      <c r="I39" s="111"/>
      <c r="J39" s="111"/>
      <c r="K39" s="111"/>
      <c r="L39" s="111"/>
      <c r="M39" s="111"/>
      <c r="N39" s="111"/>
      <c r="O39" s="111"/>
      <c r="P39" s="111"/>
      <c r="Q39" s="111"/>
      <c r="R39" s="111"/>
      <c r="S39" s="111"/>
    </row>
    <row r="40" spans="2:19" ht="14.5" x14ac:dyDescent="0.35">
      <c r="B40" s="112"/>
      <c r="C40" s="85"/>
      <c r="D40" s="85"/>
      <c r="E40" s="85"/>
      <c r="F40" s="85"/>
      <c r="G40" s="85"/>
      <c r="H40" s="85"/>
      <c r="I40" s="85"/>
      <c r="J40" s="85"/>
      <c r="K40" s="85"/>
      <c r="L40" s="85"/>
      <c r="M40" s="85"/>
      <c r="N40" s="86"/>
      <c r="O40" s="86"/>
      <c r="P40" s="85"/>
      <c r="Q40" s="86"/>
      <c r="R40" s="114"/>
      <c r="S40" s="115"/>
    </row>
    <row r="41" spans="2:19" ht="14.5" x14ac:dyDescent="0.35">
      <c r="B41" s="113"/>
      <c r="C41" s="85"/>
      <c r="D41" s="85"/>
      <c r="E41" s="85"/>
      <c r="F41" s="85"/>
      <c r="G41" s="85"/>
      <c r="H41" s="85"/>
      <c r="I41" s="85"/>
      <c r="J41" s="85"/>
      <c r="K41" s="85"/>
      <c r="L41" s="85"/>
      <c r="M41" s="85"/>
      <c r="N41" s="86"/>
      <c r="O41" s="86"/>
      <c r="P41" s="85"/>
      <c r="Q41" s="86"/>
      <c r="R41" s="114"/>
      <c r="S41" s="115"/>
    </row>
    <row r="42" spans="2:19" ht="14.5" x14ac:dyDescent="0.35">
      <c r="B42" s="113"/>
      <c r="C42" s="85"/>
      <c r="D42" s="85"/>
      <c r="E42" s="85"/>
      <c r="F42" s="85"/>
      <c r="G42" s="85"/>
      <c r="H42" s="85"/>
      <c r="I42" s="85"/>
      <c r="J42" s="85"/>
      <c r="K42" s="85"/>
      <c r="L42" s="85"/>
      <c r="M42" s="85"/>
      <c r="N42" s="86"/>
      <c r="O42" s="86"/>
      <c r="P42" s="85"/>
      <c r="Q42" s="86"/>
      <c r="R42" s="114"/>
      <c r="S42" s="115"/>
    </row>
    <row r="43" spans="2:19" ht="14.5" x14ac:dyDescent="0.35">
      <c r="B43" s="113"/>
      <c r="C43" s="85"/>
      <c r="D43" s="85"/>
      <c r="E43" s="85"/>
      <c r="F43" s="85"/>
      <c r="G43" s="85"/>
      <c r="H43" s="85"/>
      <c r="I43" s="85"/>
      <c r="J43" s="85"/>
      <c r="K43" s="85"/>
      <c r="L43" s="85"/>
      <c r="M43" s="85"/>
      <c r="N43" s="86"/>
      <c r="O43" s="86"/>
      <c r="P43" s="85"/>
      <c r="Q43" s="87"/>
      <c r="S43" s="116"/>
    </row>
    <row r="44" spans="2:19" ht="14.5" x14ac:dyDescent="0.35">
      <c r="B44" s="112"/>
    </row>
    <row r="45" spans="2:19" x14ac:dyDescent="0.3">
      <c r="I45" s="93"/>
      <c r="J45" s="93"/>
    </row>
    <row r="52" spans="2:16" x14ac:dyDescent="0.3">
      <c r="P52" s="99"/>
    </row>
    <row r="54" spans="2:16" ht="14.5" x14ac:dyDescent="0.3">
      <c r="B54" s="117"/>
      <c r="C54" s="118"/>
      <c r="D54" s="119"/>
      <c r="E54" s="119"/>
      <c r="F54" s="119"/>
      <c r="G54" s="119"/>
      <c r="H54" s="118"/>
      <c r="I54" s="111"/>
      <c r="J54" s="111"/>
      <c r="K54" s="111"/>
      <c r="L54" s="111"/>
    </row>
    <row r="55" spans="2:16" ht="14" x14ac:dyDescent="0.3">
      <c r="B55" s="120"/>
      <c r="C55" s="121"/>
      <c r="D55" s="120"/>
      <c r="E55" s="120"/>
      <c r="F55" s="120"/>
      <c r="G55" s="120"/>
      <c r="H55" s="121"/>
    </row>
    <row r="56" spans="2:16" ht="14.5" x14ac:dyDescent="0.3">
      <c r="B56" s="117"/>
      <c r="C56" s="122"/>
      <c r="D56" s="120"/>
      <c r="E56" s="120"/>
      <c r="F56" s="120"/>
      <c r="G56" s="120"/>
      <c r="H56" s="122"/>
    </row>
    <row r="57" spans="2:16" ht="14.5" x14ac:dyDescent="0.3">
      <c r="B57" s="117"/>
      <c r="C57" s="122"/>
      <c r="D57" s="120"/>
      <c r="E57" s="120"/>
      <c r="F57" s="120"/>
      <c r="G57" s="120"/>
      <c r="H57" s="122"/>
    </row>
    <row r="58" spans="2:16" ht="14.5" x14ac:dyDescent="0.3">
      <c r="B58" s="117"/>
      <c r="C58" s="122"/>
      <c r="D58" s="120"/>
      <c r="E58" s="120"/>
      <c r="F58" s="120"/>
      <c r="G58" s="120"/>
      <c r="H58" s="122"/>
    </row>
    <row r="59" spans="2:16" ht="14.5" x14ac:dyDescent="0.3">
      <c r="B59" s="117"/>
      <c r="C59" s="123"/>
      <c r="D59" s="120"/>
      <c r="E59" s="120"/>
      <c r="F59" s="120"/>
      <c r="G59" s="120"/>
      <c r="H59" s="123"/>
    </row>
    <row r="61" spans="2:16" x14ac:dyDescent="0.3">
      <c r="I61" s="124"/>
      <c r="J61" s="124"/>
    </row>
    <row r="62" spans="2:16" x14ac:dyDescent="0.3">
      <c r="L62" s="99"/>
    </row>
    <row r="63" spans="2:16" x14ac:dyDescent="0.3">
      <c r="I63" s="30">
        <f>H59-C59*(1-31%)</f>
        <v>0</v>
      </c>
      <c r="K63" s="99"/>
    </row>
  </sheetData>
  <mergeCells count="5">
    <mergeCell ref="B2:L2"/>
    <mergeCell ref="P9:X9"/>
    <mergeCell ref="K10:M10"/>
    <mergeCell ref="B12:F12"/>
    <mergeCell ref="B11:F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D0EE-9708-4169-92EE-3752533AA0D5}">
  <dimension ref="B1:K40"/>
  <sheetViews>
    <sheetView showGridLines="0" zoomScaleNormal="100" workbookViewId="0">
      <selection activeCell="K31" sqref="K31"/>
    </sheetView>
  </sheetViews>
  <sheetFormatPr defaultColWidth="8.90625" defaultRowHeight="13" x14ac:dyDescent="0.3"/>
  <cols>
    <col min="1" max="1" width="4.08984375" style="30" customWidth="1"/>
    <col min="2" max="2" width="30.36328125" style="30" customWidth="1"/>
    <col min="3" max="3" width="27.36328125" style="30" customWidth="1"/>
    <col min="4" max="4" width="19" style="30" customWidth="1"/>
    <col min="5" max="5" width="15.36328125" style="30" customWidth="1"/>
    <col min="6" max="6" width="26.36328125" style="30" customWidth="1"/>
    <col min="7" max="7" width="21.36328125" style="30" customWidth="1"/>
    <col min="8" max="8" width="9.36328125" style="30" customWidth="1"/>
    <col min="9" max="9" width="30.36328125" style="30" customWidth="1"/>
    <col min="10" max="10" width="17.36328125" style="30" customWidth="1"/>
    <col min="11" max="16384" width="8.90625" style="30"/>
  </cols>
  <sheetData>
    <row r="1" spans="2:11" ht="13.5" thickBot="1" x14ac:dyDescent="0.35"/>
    <row r="2" spans="2:11" ht="14.5" x14ac:dyDescent="0.3">
      <c r="B2" s="135" t="s">
        <v>75</v>
      </c>
      <c r="C2" s="137" t="s">
        <v>76</v>
      </c>
      <c r="D2" s="138"/>
      <c r="E2" s="139" t="s">
        <v>77</v>
      </c>
      <c r="F2" s="31"/>
    </row>
    <row r="3" spans="2:11" ht="36" x14ac:dyDescent="0.3">
      <c r="B3" s="136"/>
      <c r="C3" s="32" t="s">
        <v>78</v>
      </c>
      <c r="D3" s="32" t="s">
        <v>79</v>
      </c>
      <c r="E3" s="140"/>
      <c r="F3" s="31"/>
    </row>
    <row r="4" spans="2:11" ht="15.75" customHeight="1" x14ac:dyDescent="0.3">
      <c r="B4" s="33"/>
      <c r="C4" s="34" t="s">
        <v>80</v>
      </c>
      <c r="D4" s="34" t="s">
        <v>81</v>
      </c>
      <c r="E4" s="35"/>
    </row>
    <row r="5" spans="2:11" ht="15" x14ac:dyDescent="0.3">
      <c r="B5" s="36" t="s">
        <v>82</v>
      </c>
      <c r="C5" s="37">
        <v>3.8</v>
      </c>
      <c r="D5" s="38">
        <v>4.2</v>
      </c>
      <c r="E5" s="39">
        <f>(D5-C5)/C5*100%</f>
        <v>0.10526315789473695</v>
      </c>
      <c r="F5" s="40"/>
      <c r="H5" s="41" t="s">
        <v>83</v>
      </c>
      <c r="I5" s="141" t="s">
        <v>84</v>
      </c>
      <c r="J5" s="141"/>
      <c r="K5" s="42"/>
    </row>
    <row r="6" spans="2:11" ht="15" x14ac:dyDescent="0.3">
      <c r="B6" s="36" t="s">
        <v>85</v>
      </c>
      <c r="C6" s="37"/>
      <c r="D6" s="37">
        <v>4.26</v>
      </c>
      <c r="E6" s="39">
        <f>(D6-D5)/D5*100%</f>
        <v>1.4285714285714192E-2</v>
      </c>
      <c r="F6" s="40"/>
      <c r="H6" s="41" t="s">
        <v>86</v>
      </c>
      <c r="I6" s="133" t="s">
        <v>87</v>
      </c>
      <c r="J6" s="134"/>
    </row>
    <row r="7" spans="2:11" ht="15" x14ac:dyDescent="0.3">
      <c r="B7" s="36" t="s">
        <v>88</v>
      </c>
      <c r="C7" s="37">
        <v>3.05</v>
      </c>
      <c r="D7" s="37">
        <v>4.26</v>
      </c>
      <c r="E7" s="39">
        <f>(D7-C7)/C7*100%</f>
        <v>0.39672131147540984</v>
      </c>
      <c r="F7" s="40"/>
      <c r="H7" s="41" t="s">
        <v>89</v>
      </c>
      <c r="I7" s="133" t="s">
        <v>90</v>
      </c>
      <c r="J7" s="134"/>
    </row>
    <row r="8" spans="2:11" x14ac:dyDescent="0.3">
      <c r="B8" s="36" t="s">
        <v>91</v>
      </c>
      <c r="C8" s="37"/>
      <c r="D8" s="37">
        <v>4.22</v>
      </c>
      <c r="E8" s="39">
        <f>(D8-D7)/D7*100%</f>
        <v>-9.3896713615023563E-3</v>
      </c>
      <c r="F8" s="40"/>
    </row>
    <row r="9" spans="2:11" x14ac:dyDescent="0.3">
      <c r="B9" s="43" t="s">
        <v>92</v>
      </c>
      <c r="C9" s="38"/>
      <c r="D9" s="44">
        <f>AVERAGE(D5:D8)</f>
        <v>4.2350000000000003</v>
      </c>
      <c r="E9" s="45">
        <f>AVERAGE(E5:E8)</f>
        <v>0.12672012807358965</v>
      </c>
      <c r="F9" s="40"/>
    </row>
    <row r="10" spans="2:11" ht="31.5" thickBot="1" x14ac:dyDescent="0.35">
      <c r="B10" s="46"/>
      <c r="C10" s="47"/>
      <c r="D10" s="48"/>
      <c r="E10" s="48">
        <f>IF(E9&lt;0.5,0,"Greater than 5%")</f>
        <v>0</v>
      </c>
      <c r="F10" s="49" t="s">
        <v>93</v>
      </c>
    </row>
    <row r="12" spans="2:11" ht="16.5" thickBot="1" x14ac:dyDescent="0.35">
      <c r="I12" s="50"/>
      <c r="J12" s="51"/>
    </row>
    <row r="13" spans="2:11" ht="16" x14ac:dyDescent="0.3">
      <c r="B13" s="52" t="s">
        <v>94</v>
      </c>
      <c r="C13" s="53"/>
      <c r="D13" s="53"/>
      <c r="E13" s="53"/>
      <c r="F13" s="53"/>
      <c r="G13" s="54"/>
      <c r="I13" s="50"/>
      <c r="J13" s="51"/>
    </row>
    <row r="14" spans="2:11" x14ac:dyDescent="0.3">
      <c r="B14" s="55"/>
      <c r="C14" s="56" t="s">
        <v>95</v>
      </c>
      <c r="D14" s="57"/>
      <c r="F14" s="56" t="s">
        <v>96</v>
      </c>
      <c r="G14" s="58"/>
      <c r="J14" s="51"/>
    </row>
    <row r="15" spans="2:11" ht="14" x14ac:dyDescent="0.3">
      <c r="B15" s="59" t="s">
        <v>97</v>
      </c>
      <c r="C15" s="60" t="s">
        <v>98</v>
      </c>
      <c r="D15" s="61" t="s">
        <v>99</v>
      </c>
      <c r="F15" s="61" t="s">
        <v>100</v>
      </c>
      <c r="G15" s="62" t="s">
        <v>101</v>
      </c>
      <c r="J15" s="63"/>
    </row>
    <row r="16" spans="2:11" ht="14.5" x14ac:dyDescent="0.35">
      <c r="B16" s="33">
        <v>1</v>
      </c>
      <c r="C16" s="64">
        <v>3.2</v>
      </c>
      <c r="D16" s="64">
        <v>3.57</v>
      </c>
      <c r="E16" s="65"/>
      <c r="F16" s="64">
        <v>3.12</v>
      </c>
      <c r="G16" s="66">
        <v>4.5</v>
      </c>
    </row>
    <row r="17" spans="2:9" ht="15.75" customHeight="1" x14ac:dyDescent="0.35">
      <c r="B17" s="33">
        <v>2</v>
      </c>
      <c r="C17" s="64">
        <v>3.9</v>
      </c>
      <c r="D17" s="64">
        <v>3.85</v>
      </c>
      <c r="E17" s="65"/>
      <c r="F17" s="64">
        <v>3.5</v>
      </c>
      <c r="G17" s="66">
        <v>4.3</v>
      </c>
    </row>
    <row r="18" spans="2:9" ht="14.5" x14ac:dyDescent="0.35">
      <c r="B18" s="33">
        <v>3</v>
      </c>
      <c r="C18" s="64">
        <v>4</v>
      </c>
      <c r="D18" s="64">
        <v>3.95</v>
      </c>
      <c r="E18" s="65"/>
      <c r="F18" s="64">
        <v>3.92</v>
      </c>
      <c r="G18" s="66">
        <v>4.45</v>
      </c>
    </row>
    <row r="19" spans="2:9" ht="14.5" x14ac:dyDescent="0.35">
      <c r="B19" s="33">
        <v>4</v>
      </c>
      <c r="C19" s="64">
        <v>4.05</v>
      </c>
      <c r="D19" s="64">
        <v>4.05</v>
      </c>
      <c r="E19" s="65"/>
      <c r="F19" s="64">
        <v>3.95</v>
      </c>
      <c r="G19" s="66">
        <v>4.32</v>
      </c>
    </row>
    <row r="20" spans="2:9" ht="12" customHeight="1" x14ac:dyDescent="0.35">
      <c r="B20" s="33">
        <v>5</v>
      </c>
      <c r="C20" s="64">
        <v>4.12</v>
      </c>
      <c r="D20" s="64">
        <v>4.3</v>
      </c>
      <c r="E20" s="65"/>
      <c r="F20" s="64">
        <v>4</v>
      </c>
      <c r="G20" s="66">
        <v>4.25</v>
      </c>
    </row>
    <row r="21" spans="2:9" ht="14.5" x14ac:dyDescent="0.35">
      <c r="B21" s="33">
        <v>6</v>
      </c>
      <c r="C21" s="64">
        <v>4.25</v>
      </c>
      <c r="D21" s="64">
        <v>4.4000000000000004</v>
      </c>
      <c r="E21" s="65"/>
      <c r="F21" s="64">
        <v>4.05</v>
      </c>
      <c r="G21" s="66">
        <v>4.42</v>
      </c>
    </row>
    <row r="22" spans="2:9" ht="14.5" x14ac:dyDescent="0.35">
      <c r="B22" s="33">
        <v>7</v>
      </c>
      <c r="C22" s="64">
        <v>4.32</v>
      </c>
      <c r="D22" s="64">
        <v>4.45</v>
      </c>
      <c r="E22" s="65"/>
      <c r="F22" s="64">
        <v>4.45</v>
      </c>
      <c r="G22" s="66">
        <v>3.85</v>
      </c>
    </row>
    <row r="23" spans="2:9" ht="14.5" x14ac:dyDescent="0.35">
      <c r="B23" s="33">
        <v>8</v>
      </c>
      <c r="C23" s="64">
        <v>4.42</v>
      </c>
      <c r="D23" s="64">
        <v>4.5</v>
      </c>
      <c r="E23" s="65"/>
      <c r="F23" s="64">
        <v>4.6500000000000004</v>
      </c>
      <c r="G23" s="66">
        <v>4.5</v>
      </c>
    </row>
    <row r="24" spans="2:9" ht="14.5" x14ac:dyDescent="0.35">
      <c r="B24" s="33">
        <v>9</v>
      </c>
      <c r="C24" s="64">
        <v>5.15</v>
      </c>
      <c r="D24" s="64">
        <v>4.5</v>
      </c>
      <c r="E24" s="65"/>
      <c r="F24" s="64">
        <v>5.15</v>
      </c>
      <c r="G24" s="66">
        <v>4.05</v>
      </c>
    </row>
    <row r="25" spans="2:9" ht="14.5" x14ac:dyDescent="0.35">
      <c r="B25" s="33">
        <v>10</v>
      </c>
      <c r="C25" s="64">
        <v>5.27</v>
      </c>
      <c r="D25" s="64">
        <v>4.6500000000000004</v>
      </c>
      <c r="E25" s="65"/>
      <c r="F25" s="64">
        <v>5.27</v>
      </c>
      <c r="G25" s="66">
        <v>4.12</v>
      </c>
    </row>
    <row r="26" spans="2:9" x14ac:dyDescent="0.3">
      <c r="B26" s="67"/>
      <c r="G26" s="68"/>
    </row>
    <row r="27" spans="2:9" x14ac:dyDescent="0.3">
      <c r="B27" s="69" t="s">
        <v>102</v>
      </c>
      <c r="C27" s="70"/>
      <c r="D27" s="70"/>
      <c r="G27" s="71"/>
    </row>
    <row r="28" spans="2:9" x14ac:dyDescent="0.3">
      <c r="B28" s="72"/>
      <c r="C28" s="73" t="s">
        <v>103</v>
      </c>
      <c r="D28" s="73" t="s">
        <v>104</v>
      </c>
      <c r="E28" s="74"/>
      <c r="F28" s="73" t="s">
        <v>105</v>
      </c>
      <c r="G28" s="75" t="s">
        <v>106</v>
      </c>
    </row>
    <row r="29" spans="2:9" x14ac:dyDescent="0.3">
      <c r="B29" s="76" t="s">
        <v>107</v>
      </c>
      <c r="C29" s="77">
        <v>4.2679999999999989</v>
      </c>
      <c r="D29" s="77">
        <v>4.2220000000000004</v>
      </c>
      <c r="E29" s="74"/>
      <c r="F29" s="77">
        <v>4.2060000000000004</v>
      </c>
      <c r="G29" s="78">
        <v>4.2759999999999998</v>
      </c>
      <c r="H29" s="79"/>
      <c r="I29" s="79"/>
    </row>
    <row r="30" spans="2:9" x14ac:dyDescent="0.3">
      <c r="B30" s="76" t="s">
        <v>108</v>
      </c>
      <c r="C30" s="77">
        <v>0.35837333333334542</v>
      </c>
      <c r="D30" s="77">
        <v>0.12161777777777785</v>
      </c>
      <c r="E30" s="74"/>
      <c r="F30" s="77">
        <v>0.46353777777777494</v>
      </c>
      <c r="G30" s="78">
        <v>4.5715555555555565E-2</v>
      </c>
    </row>
    <row r="31" spans="2:9" x14ac:dyDescent="0.3">
      <c r="B31" s="76" t="s">
        <v>109</v>
      </c>
      <c r="C31" s="77">
        <v>10</v>
      </c>
      <c r="D31" s="77">
        <v>10</v>
      </c>
      <c r="E31" s="74"/>
      <c r="F31" s="77">
        <v>10</v>
      </c>
      <c r="G31" s="78">
        <v>10</v>
      </c>
    </row>
    <row r="32" spans="2:9" x14ac:dyDescent="0.3">
      <c r="B32" s="76" t="s">
        <v>110</v>
      </c>
      <c r="C32" s="77">
        <v>0.23999555555556162</v>
      </c>
      <c r="D32" s="77"/>
      <c r="E32" s="74"/>
      <c r="F32" s="77">
        <v>0.25462666666666522</v>
      </c>
      <c r="G32" s="78"/>
    </row>
    <row r="33" spans="2:8" x14ac:dyDescent="0.3">
      <c r="B33" s="76" t="s">
        <v>111</v>
      </c>
      <c r="C33" s="77">
        <v>0</v>
      </c>
      <c r="D33" s="77"/>
      <c r="E33" s="74"/>
      <c r="F33" s="77">
        <v>0</v>
      </c>
      <c r="G33" s="78"/>
    </row>
    <row r="34" spans="2:8" x14ac:dyDescent="0.3">
      <c r="B34" s="76" t="s">
        <v>112</v>
      </c>
      <c r="C34" s="77">
        <v>18</v>
      </c>
      <c r="D34" s="77"/>
      <c r="E34" s="74"/>
      <c r="F34" s="77">
        <v>18</v>
      </c>
      <c r="G34" s="78"/>
    </row>
    <row r="35" spans="2:8" x14ac:dyDescent="0.3">
      <c r="B35" s="76" t="s">
        <v>113</v>
      </c>
      <c r="C35" s="77">
        <v>0.2099622578142844</v>
      </c>
      <c r="D35" s="77"/>
      <c r="E35" s="74"/>
      <c r="F35" s="77">
        <v>-0.3101923620287278</v>
      </c>
      <c r="G35" s="78"/>
    </row>
    <row r="36" spans="2:8" x14ac:dyDescent="0.3">
      <c r="B36" s="76" t="s">
        <v>114</v>
      </c>
      <c r="C36" s="77">
        <v>0.41802768188152206</v>
      </c>
      <c r="D36" s="77"/>
      <c r="E36" s="74"/>
      <c r="F36" s="77">
        <v>0.37998872988434518</v>
      </c>
      <c r="G36" s="78"/>
    </row>
    <row r="37" spans="2:8" x14ac:dyDescent="0.3">
      <c r="B37" s="76" t="s">
        <v>115</v>
      </c>
      <c r="C37" s="77">
        <v>1.7340636066175394</v>
      </c>
      <c r="D37" s="77"/>
      <c r="E37" s="74"/>
      <c r="F37" s="77">
        <v>1.7340636066175394</v>
      </c>
      <c r="G37" s="78"/>
    </row>
    <row r="38" spans="2:8" x14ac:dyDescent="0.3">
      <c r="B38" s="76" t="s">
        <v>116</v>
      </c>
      <c r="C38" s="80">
        <v>0.83605536376304412</v>
      </c>
      <c r="D38" s="77"/>
      <c r="E38" s="74"/>
      <c r="F38" s="80">
        <v>0.75997745976869036</v>
      </c>
      <c r="G38" s="78"/>
    </row>
    <row r="39" spans="2:8" x14ac:dyDescent="0.3">
      <c r="B39" s="76" t="s">
        <v>117</v>
      </c>
      <c r="C39" s="77">
        <v>2.1009220402410378</v>
      </c>
      <c r="D39" s="77"/>
      <c r="E39" s="74"/>
      <c r="F39" s="77">
        <v>2.1009220402410378</v>
      </c>
      <c r="G39" s="78"/>
    </row>
    <row r="40" spans="2:8" ht="15" thickBot="1" x14ac:dyDescent="0.4">
      <c r="B40" s="81" t="s">
        <v>118</v>
      </c>
      <c r="C40" s="82"/>
      <c r="D40" s="82"/>
      <c r="E40" s="82"/>
      <c r="F40" s="82"/>
      <c r="G40" s="83"/>
      <c r="H40" s="84"/>
    </row>
  </sheetData>
  <mergeCells count="6">
    <mergeCell ref="I7:J7"/>
    <mergeCell ref="B2:B3"/>
    <mergeCell ref="C2:D2"/>
    <mergeCell ref="E2:E3"/>
    <mergeCell ref="I5:J5"/>
    <mergeCell ref="I6:J6"/>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ae7614-c82e-4e05-a9cb-01d513a06e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8F85AE7BDE3B488CF3503D66043EC1" ma:contentTypeVersion="9" ma:contentTypeDescription="Create a new document." ma:contentTypeScope="" ma:versionID="2a5fae18cf99cf76c620daa0e0d2c9ea">
  <xsd:schema xmlns:xsd="http://www.w3.org/2001/XMLSchema" xmlns:xs="http://www.w3.org/2001/XMLSchema" xmlns:p="http://schemas.microsoft.com/office/2006/metadata/properties" xmlns:ns2="79ae7614-c82e-4e05-a9cb-01d513a06e1c" targetNamespace="http://schemas.microsoft.com/office/2006/metadata/properties" ma:root="true" ma:fieldsID="db225d880fff802fa8014c881ac08ba2" ns2:_="">
    <xsd:import namespace="79ae7614-c82e-4e05-a9cb-01d513a06e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e7614-c82e-4e05-a9cb-01d513a06e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4fa11f-f2a4-4068-b5e2-79ae0f58408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4EFD8E-E595-4FFB-92F9-288FABFF14DD}">
  <ds:schemaRefs>
    <ds:schemaRef ds:uri="http://purl.org/dc/dcmitype/"/>
    <ds:schemaRef ds:uri="http://schemas.microsoft.com/office/2006/metadata/propertie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79ae7614-c82e-4e05-a9cb-01d513a06e1c"/>
  </ds:schemaRefs>
</ds:datastoreItem>
</file>

<file path=customXml/itemProps2.xml><?xml version="1.0" encoding="utf-8"?>
<ds:datastoreItem xmlns:ds="http://schemas.openxmlformats.org/officeDocument/2006/customXml" ds:itemID="{FADDDA1C-7B20-47BA-851D-C3373D2B254F}">
  <ds:schemaRefs>
    <ds:schemaRef ds:uri="http://schemas.microsoft.com/sharepoint/v3/contenttype/forms"/>
  </ds:schemaRefs>
</ds:datastoreItem>
</file>

<file path=customXml/itemProps3.xml><?xml version="1.0" encoding="utf-8"?>
<ds:datastoreItem xmlns:ds="http://schemas.openxmlformats.org/officeDocument/2006/customXml" ds:itemID="{0BE96710-D97E-4C05-B637-AAA64C1346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e7614-c82e-4e05-a9cb-01d513a06e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Final tables for JPDMR</vt:lpstr>
      <vt:lpstr>ERR calculations</vt:lpstr>
      <vt:lpstr>Vintage ERR calculations</vt:lpstr>
      <vt:lpstr>Leakage analysis_Stats</vt:lpstr>
      <vt:lpstr>'Vintage ERR calculations'!_Hlk163354160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Sapana Pednekar</dc:creator>
  <cp:keywords/>
  <dc:description/>
  <cp:lastModifiedBy>Sapana Pednekar</cp:lastModifiedBy>
  <cp:revision/>
  <dcterms:created xsi:type="dcterms:W3CDTF">2025-11-10T05:46:52Z</dcterms:created>
  <dcterms:modified xsi:type="dcterms:W3CDTF">2026-01-15T10:14:14Z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0x0101008E8F85AE7BDE3B488CF3503D66043EC1</vt:lpwstr>
  </property>
  <property fmtid="{D5CDD505-2E9C-101B-9397-08002B2CF9AE}" pid="3" name="MediaServiceImageTags">
    <vt:lpwstr/>
  </property>
</Properties>
</file>