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Poorvi\Projects\GS\GS 5007 - Renewable Energy Wind Power Project in Rajasthan\Registry\4. Review 2_\"/>
    </mc:Choice>
  </mc:AlternateContent>
  <bookViews>
    <workbookView xWindow="32760" yWindow="32760" windowWidth="20490" windowHeight="7635" tabRatio="904" activeTab="3"/>
  </bookViews>
  <sheets>
    <sheet name="Project Intro" sheetId="6" r:id="rId1"/>
    <sheet name="Emission Factor" sheetId="3" r:id="rId2"/>
    <sheet name="Calculation" sheetId="5" r:id="rId3"/>
    <sheet name="Emission Reduction calculation" sheetId="4" r:id="rId4"/>
    <sheet name="Till 27th Feb 22" sheetId="9" r:id="rId5"/>
    <sheet name="Tinwari Feb-22" sheetId="7" r:id="rId6"/>
    <sheet name="Jaisalmer Feb-22" sheetId="8" r:id="rId7"/>
    <sheet name="SDG" sheetId="11" r:id="rId8"/>
  </sheets>
  <calcPr calcId="152511"/>
</workbook>
</file>

<file path=xl/calcChain.xml><?xml version="1.0" encoding="utf-8"?>
<calcChain xmlns="http://schemas.openxmlformats.org/spreadsheetml/2006/main">
  <c r="I36" i="4" l="1"/>
  <c r="I35" i="4"/>
  <c r="I34" i="4"/>
  <c r="I33" i="4"/>
  <c r="I141" i="5" l="1"/>
  <c r="I140" i="5"/>
  <c r="F35" i="4"/>
  <c r="D27" i="4"/>
  <c r="D26" i="4"/>
  <c r="D25" i="4"/>
  <c r="D24" i="4"/>
  <c r="D23" i="4"/>
  <c r="D22" i="4"/>
  <c r="D21" i="4"/>
  <c r="D20" i="4"/>
  <c r="C27" i="4"/>
  <c r="C26" i="4"/>
  <c r="C25" i="4"/>
  <c r="C24" i="4"/>
  <c r="C23" i="4"/>
  <c r="C22" i="4"/>
  <c r="C21" i="4"/>
  <c r="C20" i="4"/>
  <c r="M136" i="5"/>
  <c r="H136" i="5"/>
  <c r="I136" i="5"/>
  <c r="M138" i="5"/>
  <c r="J138" i="5"/>
  <c r="M139" i="5"/>
  <c r="J139" i="5"/>
  <c r="K139" i="5"/>
  <c r="M141" i="5"/>
  <c r="H141" i="5"/>
  <c r="M140" i="5"/>
  <c r="H140" i="5"/>
  <c r="I110" i="8"/>
  <c r="H110" i="8"/>
  <c r="J110" i="8"/>
  <c r="F105" i="8"/>
  <c r="E105" i="8"/>
  <c r="G104" i="8"/>
  <c r="D104" i="8"/>
  <c r="G103" i="8"/>
  <c r="D103" i="8"/>
  <c r="G102" i="8"/>
  <c r="D102" i="8"/>
  <c r="G101" i="8"/>
  <c r="D101" i="8"/>
  <c r="G100" i="8"/>
  <c r="D100" i="8"/>
  <c r="G99" i="8"/>
  <c r="D99" i="8"/>
  <c r="G98" i="8"/>
  <c r="D98" i="8"/>
  <c r="G97" i="8"/>
  <c r="D97" i="8"/>
  <c r="G96" i="8"/>
  <c r="D96" i="8"/>
  <c r="G95" i="8"/>
  <c r="D95" i="8"/>
  <c r="G94" i="8"/>
  <c r="D94" i="8"/>
  <c r="G93" i="8"/>
  <c r="D93" i="8"/>
  <c r="G92" i="8"/>
  <c r="D92" i="8"/>
  <c r="G91" i="8"/>
  <c r="D91" i="8"/>
  <c r="G90" i="8"/>
  <c r="D90" i="8"/>
  <c r="G89" i="8"/>
  <c r="D89" i="8"/>
  <c r="G88" i="8"/>
  <c r="D88" i="8"/>
  <c r="G87" i="8"/>
  <c r="D87" i="8"/>
  <c r="G86" i="8"/>
  <c r="D86" i="8"/>
  <c r="G85" i="8"/>
  <c r="D85" i="8"/>
  <c r="G84" i="8"/>
  <c r="G83" i="8"/>
  <c r="D83" i="8"/>
  <c r="G82" i="8"/>
  <c r="C82" i="8"/>
  <c r="D82" i="8"/>
  <c r="D105" i="8"/>
  <c r="G81" i="8"/>
  <c r="C81" i="8"/>
  <c r="C105" i="8"/>
  <c r="G80" i="8"/>
  <c r="D80" i="8"/>
  <c r="G79" i="8"/>
  <c r="D79" i="8"/>
  <c r="G78" i="8"/>
  <c r="G77" i="8"/>
  <c r="G76" i="8"/>
  <c r="G75" i="8"/>
  <c r="G74" i="8"/>
  <c r="G73" i="8"/>
  <c r="G72" i="8"/>
  <c r="G71" i="8"/>
  <c r="G70" i="8"/>
  <c r="G69" i="8"/>
  <c r="G68" i="8"/>
  <c r="G67" i="8"/>
  <c r="G66" i="8"/>
  <c r="G65" i="8"/>
  <c r="G64" i="8"/>
  <c r="G63" i="8"/>
  <c r="G62" i="8"/>
  <c r="G61" i="8"/>
  <c r="G60" i="8"/>
  <c r="G59" i="8"/>
  <c r="G58" i="8"/>
  <c r="G57" i="8"/>
  <c r="G56" i="8"/>
  <c r="G55" i="8"/>
  <c r="G54" i="8"/>
  <c r="G53" i="8"/>
  <c r="G52" i="8"/>
  <c r="G51" i="8"/>
  <c r="G50" i="8"/>
  <c r="G49" i="8"/>
  <c r="G48" i="8"/>
  <c r="G47" i="8"/>
  <c r="G46" i="8"/>
  <c r="G45" i="8"/>
  <c r="G44" i="8"/>
  <c r="G43" i="8"/>
  <c r="G42" i="8"/>
  <c r="G41" i="8"/>
  <c r="G40" i="8"/>
  <c r="G39" i="8"/>
  <c r="G38" i="8"/>
  <c r="G37" i="8"/>
  <c r="G36" i="8"/>
  <c r="G35" i="8"/>
  <c r="G34" i="8"/>
  <c r="G33" i="8"/>
  <c r="G32" i="8"/>
  <c r="G31" i="8"/>
  <c r="G30" i="8"/>
  <c r="G29" i="8"/>
  <c r="G28" i="8"/>
  <c r="G27" i="8"/>
  <c r="G26" i="8"/>
  <c r="G25" i="8"/>
  <c r="G24" i="8"/>
  <c r="G23" i="8"/>
  <c r="G22" i="8"/>
  <c r="G21" i="8"/>
  <c r="G20" i="8"/>
  <c r="G19" i="8"/>
  <c r="G18" i="8"/>
  <c r="G17" i="8"/>
  <c r="G16" i="8"/>
  <c r="G15" i="8"/>
  <c r="G14" i="8"/>
  <c r="G13" i="8"/>
  <c r="G12" i="8"/>
  <c r="G11" i="8"/>
  <c r="G10" i="8"/>
  <c r="G9" i="8"/>
  <c r="M8" i="8"/>
  <c r="G8" i="8"/>
  <c r="G7" i="8"/>
  <c r="G6" i="8"/>
  <c r="G5" i="8"/>
  <c r="I36" i="7"/>
  <c r="H36" i="7"/>
  <c r="M29" i="7"/>
  <c r="F26" i="7"/>
  <c r="E26" i="7"/>
  <c r="C26" i="7"/>
  <c r="G25" i="7"/>
  <c r="D25" i="7"/>
  <c r="G24" i="7"/>
  <c r="G23" i="7"/>
  <c r="G22" i="7"/>
  <c r="D22" i="7"/>
  <c r="D26" i="7"/>
  <c r="G21" i="7"/>
  <c r="G20" i="7"/>
  <c r="G19" i="7"/>
  <c r="G18" i="7"/>
  <c r="G17" i="7"/>
  <c r="G16" i="7"/>
  <c r="G15" i="7"/>
  <c r="G14" i="7"/>
  <c r="G13" i="7"/>
  <c r="G12" i="7"/>
  <c r="G11" i="7"/>
  <c r="G10" i="7"/>
  <c r="G9" i="7"/>
  <c r="G8" i="7"/>
  <c r="G7" i="7"/>
  <c r="G6" i="7"/>
  <c r="G5" i="7"/>
  <c r="I38" i="5"/>
  <c r="L38" i="5"/>
  <c r="K73" i="5"/>
  <c r="K72" i="5"/>
  <c r="D17" i="4"/>
  <c r="K70" i="5"/>
  <c r="K69" i="5"/>
  <c r="K68" i="5"/>
  <c r="K67" i="5"/>
  <c r="K66" i="5"/>
  <c r="K64" i="5"/>
  <c r="L64" i="5"/>
  <c r="K63" i="5"/>
  <c r="K62" i="5"/>
  <c r="L62" i="5"/>
  <c r="K61" i="5"/>
  <c r="K60" i="5"/>
  <c r="I73" i="5"/>
  <c r="I72" i="5"/>
  <c r="I70" i="5"/>
  <c r="L70" i="5"/>
  <c r="I69" i="5"/>
  <c r="L69" i="5"/>
  <c r="I68" i="5"/>
  <c r="L68" i="5"/>
  <c r="I67" i="5"/>
  <c r="I66" i="5"/>
  <c r="I64" i="5"/>
  <c r="K58" i="5"/>
  <c r="I58" i="5"/>
  <c r="L58" i="5"/>
  <c r="I60" i="5"/>
  <c r="I61" i="5"/>
  <c r="I62" i="5"/>
  <c r="I63" i="5"/>
  <c r="L63" i="5"/>
  <c r="K57" i="5"/>
  <c r="K56" i="5"/>
  <c r="K51" i="5"/>
  <c r="K50" i="5"/>
  <c r="D13" i="4"/>
  <c r="K45" i="5"/>
  <c r="K44" i="5"/>
  <c r="D12" i="4"/>
  <c r="K39" i="5"/>
  <c r="K38" i="5"/>
  <c r="I57" i="5"/>
  <c r="C14" i="4"/>
  <c r="I56" i="5"/>
  <c r="I51" i="5"/>
  <c r="L51" i="5"/>
  <c r="I50" i="5"/>
  <c r="I45" i="5"/>
  <c r="I44" i="5"/>
  <c r="C12" i="4"/>
  <c r="I39" i="5"/>
  <c r="K33" i="5"/>
  <c r="D10" i="4"/>
  <c r="I33" i="5"/>
  <c r="C10" i="4"/>
  <c r="K32" i="5"/>
  <c r="I32" i="5"/>
  <c r="L32" i="5"/>
  <c r="H29" i="4"/>
  <c r="F28" i="4"/>
  <c r="F27" i="4"/>
  <c r="F20" i="4"/>
  <c r="L117" i="5"/>
  <c r="E24" i="4"/>
  <c r="G24" i="4"/>
  <c r="I24" i="4"/>
  <c r="L116" i="5"/>
  <c r="L115" i="5"/>
  <c r="L114" i="5"/>
  <c r="L123" i="5"/>
  <c r="L122" i="5"/>
  <c r="L121" i="5"/>
  <c r="L120" i="5"/>
  <c r="L129" i="5"/>
  <c r="L128" i="5"/>
  <c r="L127" i="5"/>
  <c r="L126" i="5"/>
  <c r="L135" i="5"/>
  <c r="L134" i="5"/>
  <c r="L133" i="5"/>
  <c r="L132" i="5"/>
  <c r="L130" i="5"/>
  <c r="E27" i="4"/>
  <c r="G27" i="4"/>
  <c r="I27" i="4"/>
  <c r="L124" i="5"/>
  <c r="L118" i="5"/>
  <c r="L112" i="5"/>
  <c r="L111" i="5"/>
  <c r="L110" i="5"/>
  <c r="L109" i="5"/>
  <c r="L108" i="5"/>
  <c r="L106" i="5"/>
  <c r="L105" i="5"/>
  <c r="L104" i="5"/>
  <c r="L103" i="5"/>
  <c r="L102" i="5"/>
  <c r="L100" i="5"/>
  <c r="E22" i="4"/>
  <c r="G22" i="4"/>
  <c r="I22" i="4"/>
  <c r="L99" i="5"/>
  <c r="L98" i="5"/>
  <c r="L97" i="5"/>
  <c r="E21" i="4"/>
  <c r="G21" i="4"/>
  <c r="I21" i="4"/>
  <c r="L96" i="5"/>
  <c r="L94" i="5"/>
  <c r="L93" i="5"/>
  <c r="L92" i="5"/>
  <c r="L91" i="5"/>
  <c r="L90" i="5"/>
  <c r="L88" i="5"/>
  <c r="L87" i="5"/>
  <c r="L4" i="5"/>
  <c r="G135" i="5"/>
  <c r="G134" i="5"/>
  <c r="G133" i="5"/>
  <c r="G132" i="5"/>
  <c r="G129" i="5"/>
  <c r="G128" i="5"/>
  <c r="G127" i="5"/>
  <c r="G126" i="5"/>
  <c r="G123" i="5"/>
  <c r="G122" i="5"/>
  <c r="G121" i="5"/>
  <c r="G120" i="5"/>
  <c r="G117" i="5"/>
  <c r="G116" i="5"/>
  <c r="G115" i="5"/>
  <c r="G114" i="5"/>
  <c r="G111" i="5"/>
  <c r="G110" i="5"/>
  <c r="G109" i="5"/>
  <c r="G108" i="5"/>
  <c r="G105" i="5"/>
  <c r="G104" i="5"/>
  <c r="G103" i="5"/>
  <c r="G102" i="5"/>
  <c r="G99" i="5"/>
  <c r="G98" i="5"/>
  <c r="G97" i="5"/>
  <c r="G96" i="5"/>
  <c r="G93" i="5"/>
  <c r="G92" i="5"/>
  <c r="G91" i="5"/>
  <c r="G90" i="5"/>
  <c r="D18" i="4"/>
  <c r="L74" i="5"/>
  <c r="D14" i="4"/>
  <c r="L45" i="5"/>
  <c r="D8" i="4"/>
  <c r="C9" i="4"/>
  <c r="C8" i="4"/>
  <c r="C7" i="4"/>
  <c r="L8" i="5"/>
  <c r="L81" i="5"/>
  <c r="L80" i="5"/>
  <c r="L79" i="5"/>
  <c r="L73" i="5"/>
  <c r="L67" i="5"/>
  <c r="L55" i="5"/>
  <c r="L49" i="5"/>
  <c r="L46" i="5"/>
  <c r="L43" i="5"/>
  <c r="L37" i="5"/>
  <c r="L31" i="5"/>
  <c r="L30" i="5"/>
  <c r="D9" i="4"/>
  <c r="D19" i="4"/>
  <c r="C19" i="4"/>
  <c r="C6" i="4"/>
  <c r="L86" i="5"/>
  <c r="L85" i="5"/>
  <c r="L84" i="5"/>
  <c r="L82" i="5"/>
  <c r="L75" i="5"/>
  <c r="L57" i="5"/>
  <c r="L56" i="5"/>
  <c r="L52" i="5"/>
  <c r="E14" i="4"/>
  <c r="G14" i="4"/>
  <c r="I14" i="4"/>
  <c r="L40" i="5"/>
  <c r="L34" i="5"/>
  <c r="L27" i="5"/>
  <c r="L25" i="5"/>
  <c r="L24" i="5"/>
  <c r="L22" i="5"/>
  <c r="E9" i="4"/>
  <c r="G9" i="4"/>
  <c r="I9" i="4"/>
  <c r="L21" i="5"/>
  <c r="L20" i="5"/>
  <c r="L19" i="5"/>
  <c r="L18" i="5"/>
  <c r="L16" i="5"/>
  <c r="L15" i="5"/>
  <c r="L13" i="5"/>
  <c r="L12" i="5"/>
  <c r="L10" i="5"/>
  <c r="L7" i="5"/>
  <c r="L6" i="5"/>
  <c r="P3" i="5"/>
  <c r="O3" i="5"/>
  <c r="B7" i="4"/>
  <c r="B8" i="4"/>
  <c r="B9" i="4"/>
  <c r="B10" i="4"/>
  <c r="B11" i="4"/>
  <c r="B12" i="4"/>
  <c r="B13" i="4"/>
  <c r="B14" i="4"/>
  <c r="B15" i="4"/>
  <c r="B16" i="4"/>
  <c r="B17" i="4"/>
  <c r="B18" i="4"/>
  <c r="B19" i="4"/>
  <c r="B20" i="4"/>
  <c r="B21" i="4"/>
  <c r="B22" i="4"/>
  <c r="B23" i="4"/>
  <c r="B24" i="4"/>
  <c r="B25" i="4"/>
  <c r="B26" i="4"/>
  <c r="B27" i="4"/>
  <c r="B28" i="4"/>
  <c r="G141" i="5"/>
  <c r="G140" i="5"/>
  <c r="G87" i="5"/>
  <c r="G86" i="5"/>
  <c r="G81" i="5"/>
  <c r="G80" i="5"/>
  <c r="G75" i="5"/>
  <c r="G74" i="5"/>
  <c r="G69" i="5"/>
  <c r="G68" i="5"/>
  <c r="G63" i="5"/>
  <c r="G62" i="5"/>
  <c r="G57" i="5"/>
  <c r="G56" i="5"/>
  <c r="G51" i="5"/>
  <c r="G50" i="5"/>
  <c r="G45" i="5"/>
  <c r="G44" i="5"/>
  <c r="G39" i="5"/>
  <c r="G38" i="5"/>
  <c r="G33" i="5"/>
  <c r="G32" i="5"/>
  <c r="G27" i="5"/>
  <c r="G26" i="5"/>
  <c r="G21" i="5"/>
  <c r="G20" i="5"/>
  <c r="G15" i="5"/>
  <c r="G14" i="5"/>
  <c r="G9" i="5"/>
  <c r="G8" i="5"/>
  <c r="F6" i="6"/>
  <c r="C7" i="6"/>
  <c r="D35" i="4"/>
  <c r="D36" i="4"/>
  <c r="D34" i="4"/>
  <c r="G139" i="5"/>
  <c r="G138" i="5"/>
  <c r="G85" i="5"/>
  <c r="G84" i="5"/>
  <c r="G79" i="5"/>
  <c r="G78" i="5"/>
  <c r="G73" i="5"/>
  <c r="G72" i="5"/>
  <c r="G67" i="5"/>
  <c r="G66" i="5"/>
  <c r="G61" i="5"/>
  <c r="G60" i="5"/>
  <c r="G55" i="5"/>
  <c r="G54" i="5"/>
  <c r="G42" i="5"/>
  <c r="G49" i="5"/>
  <c r="G48" i="5"/>
  <c r="G43" i="5"/>
  <c r="G37" i="5"/>
  <c r="G36" i="5"/>
  <c r="G31" i="5"/>
  <c r="G30" i="5"/>
  <c r="G25" i="5"/>
  <c r="G24" i="5"/>
  <c r="G19" i="5"/>
  <c r="G18" i="5"/>
  <c r="G13" i="5"/>
  <c r="G12" i="5"/>
  <c r="G7" i="5"/>
  <c r="G6" i="5"/>
  <c r="D19" i="3"/>
  <c r="F22" i="4"/>
  <c r="C9" i="3"/>
  <c r="L54" i="5"/>
  <c r="L48" i="5"/>
  <c r="L42" i="5"/>
  <c r="D6" i="4"/>
  <c r="L28" i="5"/>
  <c r="L26" i="5"/>
  <c r="F10" i="4"/>
  <c r="F12" i="4"/>
  <c r="F8" i="4"/>
  <c r="L14" i="5"/>
  <c r="L36" i="5"/>
  <c r="D7" i="4"/>
  <c r="C18" i="4"/>
  <c r="L9" i="5"/>
  <c r="C13" i="4"/>
  <c r="L78" i="5"/>
  <c r="L76" i="5"/>
  <c r="D81" i="8"/>
  <c r="J36" i="7"/>
  <c r="H139" i="5"/>
  <c r="I139" i="5"/>
  <c r="L139" i="5"/>
  <c r="L60" i="5"/>
  <c r="G105" i="8"/>
  <c r="M5" i="8"/>
  <c r="G26" i="7"/>
  <c r="M26" i="7"/>
  <c r="F14" i="4"/>
  <c r="F16" i="4"/>
  <c r="F23" i="4"/>
  <c r="F7" i="4"/>
  <c r="F13" i="4"/>
  <c r="F6" i="4"/>
  <c r="F24" i="4"/>
  <c r="F25" i="4"/>
  <c r="F15" i="4"/>
  <c r="F11" i="4"/>
  <c r="F26" i="4"/>
  <c r="H138" i="5"/>
  <c r="I138" i="5"/>
  <c r="F17" i="4"/>
  <c r="F9" i="4"/>
  <c r="F21" i="4"/>
  <c r="F18" i="4"/>
  <c r="F19" i="4"/>
  <c r="J136" i="5"/>
  <c r="K136" i="5"/>
  <c r="M10" i="8"/>
  <c r="M11" i="8"/>
  <c r="M31" i="7"/>
  <c r="M32" i="7"/>
  <c r="H8" i="7"/>
  <c r="H6" i="7"/>
  <c r="H7" i="7"/>
  <c r="J7" i="7"/>
  <c r="H24" i="7"/>
  <c r="H19" i="7"/>
  <c r="J19" i="7"/>
  <c r="H15" i="7"/>
  <c r="H9" i="7"/>
  <c r="H22" i="7"/>
  <c r="J22" i="7"/>
  <c r="H17" i="7"/>
  <c r="J17" i="7"/>
  <c r="H14" i="7"/>
  <c r="H18" i="7"/>
  <c r="J18" i="7"/>
  <c r="H16" i="7"/>
  <c r="H5" i="7"/>
  <c r="H11" i="7"/>
  <c r="H23" i="7"/>
  <c r="H10" i="7"/>
  <c r="H20" i="7"/>
  <c r="J20" i="7"/>
  <c r="H25" i="7"/>
  <c r="H12" i="7"/>
  <c r="J12" i="7"/>
  <c r="H21" i="7"/>
  <c r="H13" i="7"/>
  <c r="J13" i="7"/>
  <c r="I9" i="7"/>
  <c r="I15" i="7"/>
  <c r="I10" i="7"/>
  <c r="I24" i="7"/>
  <c r="I11" i="7"/>
  <c r="I8" i="7"/>
  <c r="I14" i="7"/>
  <c r="I19" i="7"/>
  <c r="I16" i="7"/>
  <c r="I17" i="7"/>
  <c r="I7" i="7"/>
  <c r="I6" i="7"/>
  <c r="I18" i="7"/>
  <c r="I23" i="7"/>
  <c r="I5" i="7"/>
  <c r="I22" i="7"/>
  <c r="I25" i="7"/>
  <c r="I20" i="7"/>
  <c r="I12" i="7"/>
  <c r="I21" i="7"/>
  <c r="I13" i="7"/>
  <c r="I84" i="8"/>
  <c r="I59" i="8"/>
  <c r="I31" i="8"/>
  <c r="I15" i="8"/>
  <c r="I26" i="8"/>
  <c r="I5" i="8"/>
  <c r="I16" i="8"/>
  <c r="I79" i="8"/>
  <c r="I44" i="8"/>
  <c r="I87" i="8"/>
  <c r="I55" i="8"/>
  <c r="I27" i="8"/>
  <c r="I49" i="8"/>
  <c r="I104" i="8"/>
  <c r="I98" i="8"/>
  <c r="I99" i="8"/>
  <c r="I56" i="8"/>
  <c r="I28" i="8"/>
  <c r="I50" i="8"/>
  <c r="I71" i="8"/>
  <c r="I17" i="8"/>
  <c r="I73" i="8"/>
  <c r="I33" i="8"/>
  <c r="I74" i="8"/>
  <c r="I8" i="8"/>
  <c r="I18" i="8"/>
  <c r="I90" i="8"/>
  <c r="I36" i="8"/>
  <c r="I10" i="8"/>
  <c r="I41" i="8"/>
  <c r="I91" i="8"/>
  <c r="I42" i="8"/>
  <c r="I9" i="8"/>
  <c r="I86" i="8"/>
  <c r="I67" i="8"/>
  <c r="I80" i="8"/>
  <c r="I100" i="8"/>
  <c r="I65" i="8"/>
  <c r="I96" i="8"/>
  <c r="I63" i="8"/>
  <c r="I23" i="8"/>
  <c r="I60" i="8"/>
  <c r="I58" i="8"/>
  <c r="I102" i="8"/>
  <c r="I24" i="8"/>
  <c r="I20" i="8"/>
  <c r="I92" i="8"/>
  <c r="I35" i="8"/>
  <c r="I83" i="8"/>
  <c r="I57" i="8"/>
  <c r="I19" i="8"/>
  <c r="I66" i="8"/>
  <c r="I68" i="8"/>
  <c r="I76" i="8"/>
  <c r="I48" i="8"/>
  <c r="I64" i="8"/>
  <c r="I85" i="8"/>
  <c r="I32" i="8"/>
  <c r="I94" i="8"/>
  <c r="I30" i="8"/>
  <c r="I21" i="8"/>
  <c r="I95" i="8"/>
  <c r="I46" i="8"/>
  <c r="I34" i="8"/>
  <c r="I82" i="8"/>
  <c r="I43" i="8"/>
  <c r="I38" i="8"/>
  <c r="I75" i="8"/>
  <c r="I103" i="8"/>
  <c r="I39" i="8"/>
  <c r="I47" i="8"/>
  <c r="I40" i="8"/>
  <c r="I51" i="8"/>
  <c r="I88" i="8"/>
  <c r="I72" i="8"/>
  <c r="I11" i="8"/>
  <c r="I12" i="8"/>
  <c r="I25" i="8"/>
  <c r="I52" i="8"/>
  <c r="I13" i="8"/>
  <c r="I78" i="8"/>
  <c r="I101" i="8"/>
  <c r="I14" i="8"/>
  <c r="I22" i="8"/>
  <c r="I37" i="8"/>
  <c r="I7" i="8"/>
  <c r="I62" i="8"/>
  <c r="I61" i="8"/>
  <c r="I89" i="8"/>
  <c r="I29" i="8"/>
  <c r="I81" i="8"/>
  <c r="I53" i="8"/>
  <c r="I97" i="8"/>
  <c r="I45" i="8"/>
  <c r="I69" i="8"/>
  <c r="I93" i="8"/>
  <c r="I77" i="8"/>
  <c r="I70" i="8"/>
  <c r="I54" i="8"/>
  <c r="I6" i="8"/>
  <c r="H51" i="8"/>
  <c r="H47" i="8"/>
  <c r="H65" i="8"/>
  <c r="J65" i="8"/>
  <c r="H43" i="8"/>
  <c r="J43" i="8"/>
  <c r="H68" i="8"/>
  <c r="J68" i="8"/>
  <c r="H102" i="8"/>
  <c r="H72" i="8"/>
  <c r="J72" i="8"/>
  <c r="H104" i="8"/>
  <c r="J104" i="8"/>
  <c r="H71" i="8"/>
  <c r="H49" i="8"/>
  <c r="J49" i="8"/>
  <c r="H66" i="8"/>
  <c r="J66" i="8"/>
  <c r="H18" i="8"/>
  <c r="J18" i="8"/>
  <c r="H94" i="8"/>
  <c r="J94" i="8"/>
  <c r="H60" i="8"/>
  <c r="J60" i="8"/>
  <c r="H10" i="8"/>
  <c r="J10" i="8"/>
  <c r="H64" i="8"/>
  <c r="J64" i="8"/>
  <c r="H84" i="8"/>
  <c r="H73" i="8"/>
  <c r="J73" i="8"/>
  <c r="H41" i="8"/>
  <c r="J41" i="8"/>
  <c r="H39" i="8"/>
  <c r="J39" i="8"/>
  <c r="H91" i="8"/>
  <c r="J91" i="8"/>
  <c r="H58" i="8"/>
  <c r="J58" i="8"/>
  <c r="H16" i="8"/>
  <c r="H79" i="8"/>
  <c r="J79" i="8"/>
  <c r="H95" i="8"/>
  <c r="J95" i="8"/>
  <c r="H12" i="8"/>
  <c r="J12" i="8"/>
  <c r="H96" i="8"/>
  <c r="J96" i="8"/>
  <c r="H17" i="8"/>
  <c r="J17" i="8"/>
  <c r="H36" i="8"/>
  <c r="J36" i="8"/>
  <c r="H40" i="8"/>
  <c r="H28" i="8"/>
  <c r="J28" i="8"/>
  <c r="H80" i="8"/>
  <c r="J80" i="8"/>
  <c r="H98" i="8"/>
  <c r="H26" i="8"/>
  <c r="J26" i="8"/>
  <c r="H103" i="8"/>
  <c r="J103" i="8"/>
  <c r="H32" i="8"/>
  <c r="J32" i="8"/>
  <c r="H25" i="8"/>
  <c r="J25" i="8"/>
  <c r="H63" i="8"/>
  <c r="H23" i="8"/>
  <c r="H34" i="8"/>
  <c r="J34" i="8"/>
  <c r="H83" i="8"/>
  <c r="H20" i="8"/>
  <c r="J20" i="8"/>
  <c r="H24" i="8"/>
  <c r="J24" i="8"/>
  <c r="H56" i="8"/>
  <c r="H74" i="8"/>
  <c r="J74" i="8"/>
  <c r="H59" i="8"/>
  <c r="J59" i="8"/>
  <c r="H50" i="8"/>
  <c r="J50" i="8"/>
  <c r="H11" i="8"/>
  <c r="J11" i="8"/>
  <c r="H52" i="8"/>
  <c r="H44" i="8"/>
  <c r="H87" i="8"/>
  <c r="J87" i="8"/>
  <c r="H48" i="8"/>
  <c r="H57" i="8"/>
  <c r="J57" i="8"/>
  <c r="H42" i="8"/>
  <c r="J42" i="8"/>
  <c r="H5" i="8"/>
  <c r="H8" i="8"/>
  <c r="H88" i="8"/>
  <c r="J88" i="8"/>
  <c r="H67" i="8"/>
  <c r="J67" i="8"/>
  <c r="H78" i="8"/>
  <c r="H33" i="8"/>
  <c r="H82" i="8"/>
  <c r="J82" i="8"/>
  <c r="H54" i="8"/>
  <c r="J54" i="8"/>
  <c r="H100" i="8"/>
  <c r="J100" i="8"/>
  <c r="H35" i="8"/>
  <c r="J35" i="8"/>
  <c r="H27" i="8"/>
  <c r="H90" i="8"/>
  <c r="J90" i="8"/>
  <c r="H86" i="8"/>
  <c r="J86" i="8"/>
  <c r="H92" i="8"/>
  <c r="H19" i="8"/>
  <c r="J19" i="8"/>
  <c r="H81" i="8"/>
  <c r="J81" i="8"/>
  <c r="H89" i="8"/>
  <c r="H9" i="8"/>
  <c r="H75" i="8"/>
  <c r="H31" i="8"/>
  <c r="J31" i="8"/>
  <c r="H76" i="8"/>
  <c r="J76" i="8"/>
  <c r="H15" i="8"/>
  <c r="J15" i="8"/>
  <c r="H99" i="8"/>
  <c r="J99" i="8"/>
  <c r="H55" i="8"/>
  <c r="J55" i="8"/>
  <c r="H14" i="8"/>
  <c r="J14" i="8"/>
  <c r="H45" i="8"/>
  <c r="J45" i="8"/>
  <c r="H30" i="8"/>
  <c r="H46" i="8"/>
  <c r="H21" i="8"/>
  <c r="J21" i="8"/>
  <c r="H101" i="8"/>
  <c r="J101" i="8"/>
  <c r="H77" i="8"/>
  <c r="J77" i="8"/>
  <c r="H29" i="8"/>
  <c r="J29" i="8"/>
  <c r="H70" i="8"/>
  <c r="J70" i="8"/>
  <c r="H37" i="8"/>
  <c r="J37" i="8"/>
  <c r="H22" i="8"/>
  <c r="H61" i="8"/>
  <c r="J61" i="8"/>
  <c r="H85" i="8"/>
  <c r="H69" i="8"/>
  <c r="H93" i="8"/>
  <c r="J93" i="8"/>
  <c r="H97" i="8"/>
  <c r="J97" i="8"/>
  <c r="H53" i="8"/>
  <c r="H38" i="8"/>
  <c r="J38" i="8"/>
  <c r="H6" i="8"/>
  <c r="H62" i="8"/>
  <c r="H7" i="8"/>
  <c r="J7" i="8"/>
  <c r="H13" i="8"/>
  <c r="J13" i="8"/>
  <c r="J85" i="8"/>
  <c r="J62" i="8"/>
  <c r="J46" i="8"/>
  <c r="J44" i="8"/>
  <c r="J47" i="8"/>
  <c r="I105" i="8"/>
  <c r="I113" i="8"/>
  <c r="J25" i="7"/>
  <c r="J14" i="7"/>
  <c r="J6" i="7"/>
  <c r="J6" i="8"/>
  <c r="J22" i="8"/>
  <c r="J30" i="8"/>
  <c r="J75" i="8"/>
  <c r="J27" i="8"/>
  <c r="J52" i="8"/>
  <c r="J83" i="8"/>
  <c r="J98" i="8"/>
  <c r="J84" i="8"/>
  <c r="J71" i="8"/>
  <c r="J51" i="8"/>
  <c r="J8" i="7"/>
  <c r="J78" i="8"/>
  <c r="J8" i="8"/>
  <c r="J10" i="7"/>
  <c r="J53" i="8"/>
  <c r="J89" i="8"/>
  <c r="H105" i="8"/>
  <c r="H113" i="8"/>
  <c r="J5" i="8"/>
  <c r="J23" i="8"/>
  <c r="J16" i="8"/>
  <c r="J23" i="7"/>
  <c r="J9" i="7"/>
  <c r="J9" i="8"/>
  <c r="J63" i="8"/>
  <c r="J40" i="8"/>
  <c r="J102" i="8"/>
  <c r="J11" i="7"/>
  <c r="J15" i="7"/>
  <c r="H26" i="7"/>
  <c r="H38" i="7"/>
  <c r="J5" i="7"/>
  <c r="J69" i="8"/>
  <c r="J92" i="8"/>
  <c r="J33" i="8"/>
  <c r="J48" i="8"/>
  <c r="J56" i="8"/>
  <c r="I26" i="7"/>
  <c r="I38" i="7"/>
  <c r="J21" i="7"/>
  <c r="J16" i="7"/>
  <c r="J24" i="7"/>
  <c r="J105" i="8"/>
  <c r="J113" i="8"/>
  <c r="J26" i="7"/>
  <c r="J38" i="7"/>
  <c r="C28" i="4"/>
  <c r="D16" i="4"/>
  <c r="E18" i="4"/>
  <c r="G18" i="4"/>
  <c r="I18" i="4"/>
  <c r="E20" i="4"/>
  <c r="G20" i="4"/>
  <c r="I20" i="4"/>
  <c r="H142" i="5"/>
  <c r="L39" i="5"/>
  <c r="C11" i="4"/>
  <c r="C29" i="4"/>
  <c r="L50" i="5"/>
  <c r="E13" i="4"/>
  <c r="G13" i="4"/>
  <c r="I13" i="4"/>
  <c r="C17" i="4"/>
  <c r="E25" i="4"/>
  <c r="G25" i="4"/>
  <c r="I25" i="4"/>
  <c r="E26" i="4"/>
  <c r="G26" i="4"/>
  <c r="I26" i="4"/>
  <c r="D15" i="4"/>
  <c r="C15" i="4"/>
  <c r="E7" i="4"/>
  <c r="G7" i="4"/>
  <c r="I7" i="4"/>
  <c r="E8" i="4"/>
  <c r="G8" i="4"/>
  <c r="I8" i="4"/>
  <c r="E6" i="4"/>
  <c r="G6" i="4"/>
  <c r="I6" i="4"/>
  <c r="E19" i="4"/>
  <c r="G19" i="4"/>
  <c r="I19" i="4"/>
  <c r="E23" i="4"/>
  <c r="G23" i="4"/>
  <c r="I23" i="4"/>
  <c r="L33" i="5"/>
  <c r="E10" i="4"/>
  <c r="G10" i="4"/>
  <c r="I10" i="4"/>
  <c r="C16" i="4"/>
  <c r="L61" i="5"/>
  <c r="E15" i="4"/>
  <c r="G15" i="4"/>
  <c r="I15" i="4"/>
  <c r="J140" i="5"/>
  <c r="K140" i="5"/>
  <c r="L140" i="5"/>
  <c r="E12" i="4"/>
  <c r="G12" i="4"/>
  <c r="I12" i="4"/>
  <c r="I142" i="5"/>
  <c r="I143" i="5"/>
  <c r="E11" i="4"/>
  <c r="G11" i="4"/>
  <c r="I11" i="4"/>
  <c r="K138" i="5"/>
  <c r="L138" i="5"/>
  <c r="J141" i="5"/>
  <c r="K141" i="5"/>
  <c r="L141" i="5"/>
  <c r="L136" i="5"/>
  <c r="L72" i="5"/>
  <c r="E17" i="4"/>
  <c r="G17" i="4"/>
  <c r="I17" i="4"/>
  <c r="D11" i="4"/>
  <c r="L66" i="5"/>
  <c r="E16" i="4"/>
  <c r="G16" i="4"/>
  <c r="I16" i="4"/>
  <c r="M142" i="5"/>
  <c r="M143" i="5"/>
  <c r="L44" i="5"/>
  <c r="K142" i="5"/>
  <c r="K143" i="5"/>
  <c r="L142" i="5"/>
  <c r="L143" i="5"/>
  <c r="D28" i="4"/>
  <c r="D29" i="4"/>
  <c r="E28" i="4"/>
  <c r="G28" i="4"/>
  <c r="I28" i="4"/>
  <c r="I29" i="4"/>
  <c r="D37" i="4"/>
  <c r="D38" i="4"/>
  <c r="D39" i="4"/>
  <c r="J142" i="5"/>
  <c r="C11" i="6"/>
  <c r="E29" i="4"/>
  <c r="G29" i="4"/>
</calcChain>
</file>

<file path=xl/sharedStrings.xml><?xml version="1.0" encoding="utf-8"?>
<sst xmlns="http://schemas.openxmlformats.org/spreadsheetml/2006/main" count="733" uniqueCount="360">
  <si>
    <t>Dist.</t>
  </si>
  <si>
    <t>Village</t>
  </si>
  <si>
    <t>No. of WEGs</t>
  </si>
  <si>
    <t>Jaisalmer</t>
  </si>
  <si>
    <t>Ugawa</t>
  </si>
  <si>
    <t>Korwa</t>
  </si>
  <si>
    <t>Kita</t>
  </si>
  <si>
    <t>Jodhpur</t>
  </si>
  <si>
    <t>Jelu</t>
  </si>
  <si>
    <t>Salodi</t>
  </si>
  <si>
    <t>Capacity</t>
  </si>
  <si>
    <t>S.No</t>
  </si>
  <si>
    <t>Operating Margin</t>
  </si>
  <si>
    <t>Combined Margin</t>
  </si>
  <si>
    <t>Weights</t>
  </si>
  <si>
    <t>Build Margin</t>
  </si>
  <si>
    <t>Emission reduction calculation for project activity</t>
  </si>
  <si>
    <t>[EFy]</t>
  </si>
  <si>
    <t>[PEy]</t>
  </si>
  <si>
    <t>[ERy] = [BEy]- [PEy]</t>
  </si>
  <si>
    <t xml:space="preserve">Total </t>
  </si>
  <si>
    <t>Simple Operating Margin – 2006-07</t>
  </si>
  <si>
    <t>Simple Operating Margin – 2007-08</t>
  </si>
  <si>
    <t>Simple Operating Margin – 2008-09</t>
  </si>
  <si>
    <t>Average Operating Margin of last three years</t>
  </si>
  <si>
    <t>Simple Operating Margin</t>
  </si>
  <si>
    <t>Build Margin- 2008-09</t>
  </si>
  <si>
    <t>Combined Margin Calculations</t>
  </si>
  <si>
    <t xml:space="preserve">http://www.cea.nic.in/reports/planning/cdm_co2/cdm_co2.htm </t>
  </si>
  <si>
    <t xml:space="preserve">**Web link of CEA data base Ver 5.0 </t>
  </si>
  <si>
    <t>Emission factor Calculations as per registered PDD ( sourced from CEA database Ver 5.0)**</t>
  </si>
  <si>
    <t xml:space="preserve">[EGImport,y] </t>
  </si>
  <si>
    <t xml:space="preserve">[EGExport,y] </t>
  </si>
  <si>
    <t xml:space="preserve">[EGfacitlity,y] </t>
  </si>
  <si>
    <t>[BEy] = [EGfacitlity,y] * [EFy]</t>
  </si>
  <si>
    <r>
      <rPr>
        <b/>
        <sz val="10"/>
        <rFont val="Arial"/>
        <family val="2"/>
      </rPr>
      <t>EG</t>
    </r>
    <r>
      <rPr>
        <b/>
        <sz val="8"/>
        <rFont val="Arial"/>
        <family val="2"/>
      </rPr>
      <t>facitlity,y</t>
    </r>
  </si>
  <si>
    <r>
      <rPr>
        <b/>
        <sz val="10"/>
        <rFont val="Arial"/>
        <family val="2"/>
      </rPr>
      <t>EG</t>
    </r>
    <r>
      <rPr>
        <b/>
        <sz val="8"/>
        <rFont val="Arial"/>
        <family val="2"/>
      </rPr>
      <t>Export,y</t>
    </r>
  </si>
  <si>
    <r>
      <rPr>
        <b/>
        <sz val="10"/>
        <rFont val="Arial"/>
        <family val="2"/>
      </rPr>
      <t>EG</t>
    </r>
    <r>
      <rPr>
        <b/>
        <sz val="8"/>
        <rFont val="Arial"/>
        <family val="2"/>
      </rPr>
      <t>Import,y</t>
    </r>
  </si>
  <si>
    <t>(kWh)</t>
  </si>
  <si>
    <t>(MW)</t>
  </si>
  <si>
    <t>(tCO2e)</t>
  </si>
  <si>
    <t>(tCO2e/MWh)</t>
  </si>
  <si>
    <t xml:space="preserve">Baseline Emission Factor </t>
  </si>
  <si>
    <t>Baseline Emissions</t>
  </si>
  <si>
    <t>Project Emissions</t>
  </si>
  <si>
    <t xml:space="preserve">Emission Reductions </t>
  </si>
  <si>
    <t xml:space="preserve"> Electricity export to the grid by the Project activity</t>
  </si>
  <si>
    <t xml:space="preserve"> Net electricity generation supplied to the grid by the Project activity</t>
  </si>
  <si>
    <t>Month</t>
  </si>
  <si>
    <t>Monitoring Period</t>
  </si>
  <si>
    <r>
      <rPr>
        <b/>
        <sz val="10"/>
        <rFont val="Arial"/>
        <family val="2"/>
      </rPr>
      <t>EG</t>
    </r>
    <r>
      <rPr>
        <b/>
        <sz val="8"/>
        <rFont val="Arial"/>
        <family val="2"/>
      </rPr>
      <t>Controller,j</t>
    </r>
  </si>
  <si>
    <t xml:space="preserve"> Electricity Import from grid by the Project activity</t>
  </si>
  <si>
    <t>Emission Reduction as per PDD</t>
  </si>
  <si>
    <t>Number of days in a year</t>
  </si>
  <si>
    <t>Emission Reduction per day</t>
  </si>
  <si>
    <t>(MWh)</t>
  </si>
  <si>
    <t>Difference</t>
  </si>
  <si>
    <t>In Percentage</t>
  </si>
  <si>
    <t>Actual CERs achived in MP:</t>
  </si>
  <si>
    <t>Estimated CERs in MP</t>
  </si>
  <si>
    <t>No. of days in monitoring period</t>
  </si>
  <si>
    <r>
      <t>tCO</t>
    </r>
    <r>
      <rPr>
        <b/>
        <vertAlign val="subscript"/>
        <sz val="11"/>
        <rFont val="Arial"/>
        <family val="2"/>
      </rPr>
      <t xml:space="preserve">2 </t>
    </r>
    <r>
      <rPr>
        <b/>
        <sz val="11"/>
        <rFont val="Arial"/>
        <family val="2"/>
      </rPr>
      <t>e/MWh</t>
    </r>
  </si>
  <si>
    <t>MP</t>
  </si>
  <si>
    <t>Project Title:</t>
  </si>
  <si>
    <t>UNFCCC reference no</t>
  </si>
  <si>
    <t>: 5090</t>
  </si>
  <si>
    <t>: Renewable Energy Wind Power Project in Rajasthan</t>
  </si>
  <si>
    <t>Number of days in this MP</t>
  </si>
  <si>
    <t>Start Date</t>
  </si>
  <si>
    <t>End Date</t>
  </si>
  <si>
    <t>Days</t>
  </si>
  <si>
    <t>: ACM0002, version 12.3.0</t>
  </si>
  <si>
    <t>Applicable Methodology</t>
  </si>
  <si>
    <t>Duration of this Monitoring Period</t>
  </si>
  <si>
    <r>
      <t>Actual ER achieved in this MP (tCO</t>
    </r>
    <r>
      <rPr>
        <b/>
        <vertAlign val="subscript"/>
        <sz val="10"/>
        <color indexed="8"/>
        <rFont val="Arial"/>
        <family val="2"/>
      </rPr>
      <t>2e )</t>
    </r>
  </si>
  <si>
    <t>Max permissible Error Factor</t>
  </si>
  <si>
    <t>For Export</t>
  </si>
  <si>
    <t>For Import</t>
  </si>
  <si>
    <t>-0.2%</t>
  </si>
  <si>
    <t>+0.2%</t>
  </si>
  <si>
    <r>
      <rPr>
        <b/>
        <sz val="10"/>
        <rFont val="Arial"/>
        <family val="2"/>
      </rPr>
      <t>EG</t>
    </r>
    <r>
      <rPr>
        <b/>
        <sz val="8"/>
        <rFont val="Arial"/>
        <family val="2"/>
      </rPr>
      <t>Export,y (After Applying Error factor) *</t>
    </r>
  </si>
  <si>
    <r>
      <rPr>
        <b/>
        <sz val="10"/>
        <rFont val="Arial"/>
        <family val="2"/>
      </rPr>
      <t>EG</t>
    </r>
    <r>
      <rPr>
        <b/>
        <sz val="8"/>
        <rFont val="Arial"/>
        <family val="2"/>
      </rPr>
      <t>Import,y (After Applying Error factor) *</t>
    </r>
  </si>
  <si>
    <t>: 01/04/2020 to 27/02/2022 (Both days Included)</t>
  </si>
  <si>
    <t>PANEL READINGS</t>
  </si>
  <si>
    <t>Export</t>
  </si>
  <si>
    <t>Import</t>
  </si>
  <si>
    <t>Net Export</t>
  </si>
  <si>
    <t>S.  Nos.</t>
  </si>
  <si>
    <t>Investors Name</t>
  </si>
  <si>
    <t xml:space="preserve">No. of M/c </t>
  </si>
  <si>
    <t>Total capacity (MW)</t>
  </si>
  <si>
    <t>KWH</t>
  </si>
  <si>
    <t xml:space="preserve">DIFFERENCE </t>
  </si>
  <si>
    <t>31.01.2022</t>
  </si>
  <si>
    <t>28.02.2022</t>
  </si>
  <si>
    <t>SANGHVI FOODS PRIVATE LIMITED</t>
  </si>
  <si>
    <t xml:space="preserve">INFRASTRUCTURE DEVELOPMENT FINANCE COMPANY LIMITED (COMMISSIONED ON 1st APRIL-2008)  </t>
  </si>
  <si>
    <t xml:space="preserve">INFRASTRUCTURE DEVELOPMENT FINANCE COMPANY LIMITED (COMMISSIONED ON 13th APRIL-2008)  </t>
  </si>
  <si>
    <t xml:space="preserve">INFRASTRUCTURE DEVELOPMENT FINANCE COMPANY LIMITED (COMMISSIONED ON 25th MAY-2008)  </t>
  </si>
  <si>
    <t>Orchid Renewable Powertech Private Limited</t>
  </si>
  <si>
    <t>MAGMA FINCORP LIMITED</t>
  </si>
  <si>
    <t>KISHCO LIMITED</t>
  </si>
  <si>
    <t xml:space="preserve">RAMGAD MINERALS &amp; MINING PVT. LTD. </t>
  </si>
  <si>
    <t>PARANJAPE AUTOCAST PVT. LTD.  - I</t>
  </si>
  <si>
    <t xml:space="preserve">TEXONIC INSTRUMENTS </t>
  </si>
  <si>
    <t xml:space="preserve">RAMGAD MINERALS &amp; MINING LTD. </t>
  </si>
  <si>
    <t>PARANJAPE AUTOCAST PVT. LTD.  - II</t>
  </si>
  <si>
    <t>PROTECTRON ELECTROMECH PVT. LTD. - I</t>
  </si>
  <si>
    <t xml:space="preserve">PROTECTRON ELECTROMECH PVT. LTD. - II                                               </t>
  </si>
  <si>
    <t xml:space="preserve">BLACK ROSE INDUSTRIES LTD.                                                                      </t>
  </si>
  <si>
    <t xml:space="preserve">MANGAT ENERVENT PVT. LTD.                                                                </t>
  </si>
  <si>
    <t xml:space="preserve">CEPCO INDUSTRIES PVT. LTD.                                                                       </t>
  </si>
  <si>
    <t>Vish Wind Infrastructure LLP</t>
  </si>
  <si>
    <r>
      <t xml:space="preserve">Wind World (India) Ltd </t>
    </r>
    <r>
      <rPr>
        <sz val="8"/>
        <rFont val="Arial"/>
        <family val="2"/>
      </rPr>
      <t>(Formaly Enercon India Ltd)</t>
    </r>
  </si>
  <si>
    <t xml:space="preserve">panel export </t>
  </si>
  <si>
    <t>jmr export</t>
  </si>
  <si>
    <t>jmr import</t>
  </si>
  <si>
    <t>net export</t>
  </si>
  <si>
    <t>Export factor</t>
  </si>
  <si>
    <t>Import factor</t>
  </si>
  <si>
    <t>DIFFERENCE</t>
  </si>
  <si>
    <t>With New WEC</t>
  </si>
  <si>
    <t>MAHANAGAR DEVELOPERS</t>
  </si>
  <si>
    <r>
      <t xml:space="preserve">Wind World Wind Farms (Hindustan) Pvt. Ltd.   </t>
    </r>
    <r>
      <rPr>
        <sz val="10"/>
        <rFont val="Arial"/>
        <family val="2"/>
      </rPr>
      <t xml:space="preserve"> </t>
    </r>
    <r>
      <rPr>
        <sz val="9"/>
        <rFont val="Arial"/>
        <family val="2"/>
      </rPr>
      <t xml:space="preserve">           </t>
    </r>
    <r>
      <rPr>
        <sz val="8"/>
        <rFont val="Arial"/>
        <family val="2"/>
      </rPr>
      <t xml:space="preserve">  (Formerly ENERCON WIND FARMS (HINDUSTAN) PVT. LTD) </t>
    </r>
  </si>
  <si>
    <t>Agarwal Coal Corporation</t>
  </si>
  <si>
    <t>Signet Overseas ltd.</t>
  </si>
  <si>
    <t xml:space="preserve">Cepco Industries Pvt. Ltd. </t>
  </si>
  <si>
    <t>PARAM CAPITAL RESEARCH PVT. LTD.</t>
  </si>
  <si>
    <t>WIRES AND FABRIKS</t>
  </si>
  <si>
    <t>GEMSCAB INDUSTRIES LTD.</t>
  </si>
  <si>
    <t>TEXONIC INSTRUMENTS</t>
  </si>
  <si>
    <t>MANJEET COTTON PVT. LTD.</t>
  </si>
  <si>
    <t>BHARAT TIMBER &amp; CONSTRUCTION COMPANY</t>
  </si>
  <si>
    <t>OM HORIZON INFRASTRUCTURE</t>
  </si>
  <si>
    <t>JSONS FOUNDRY PVT. LTD.</t>
  </si>
  <si>
    <t>WESTERN PRECICAST PVT. LTD.</t>
  </si>
  <si>
    <t>SUTTATTI ENTERPRISES LTD.</t>
  </si>
  <si>
    <t>SHALIMAR HOTEL PVT. LTD</t>
  </si>
  <si>
    <t>AGRO SOLVENT PRODUCTS PVT. LTD.</t>
  </si>
  <si>
    <t>CONSOLIDATED ENERGY CONSULTANTS LTD.</t>
  </si>
  <si>
    <t>DARSHANA INDUSTRIES PVT. LTD.</t>
  </si>
  <si>
    <t>KSHETRAPAL ENTERPRISES</t>
  </si>
  <si>
    <t>AGARWAL PACKAGING PVT. LTD.</t>
  </si>
  <si>
    <t>SAHYADRI INDUSTRIES LTD.</t>
  </si>
  <si>
    <t>SANJANA POWER                                                         (DIVISION OF SANJANA CRYOGENIC STORAGES LTD.)</t>
  </si>
  <si>
    <t>PURUSHOTTAM LOHIA</t>
  </si>
  <si>
    <t>PRACHAR ENERGY                                                                                                       (A UNIT OF PRACHAR COMMUNICATIONS LTD.)</t>
  </si>
  <si>
    <t>RAHUL DRAVID</t>
  </si>
  <si>
    <t>SABARMATI CONSTRUCTION CO.</t>
  </si>
  <si>
    <t xml:space="preserve">SAWARAJ PVC PIPES </t>
  </si>
  <si>
    <t xml:space="preserve">Kohinoor Planet Constructions Pvt. Ltd. </t>
  </si>
  <si>
    <t>Vivek Pharmachem (India) Limited</t>
  </si>
  <si>
    <t xml:space="preserve">Suttatti Enterprises Ltd. </t>
  </si>
  <si>
    <t>Balaji Industrial Products Ltd.</t>
  </si>
  <si>
    <t xml:space="preserve">Green Lifestyles Developers Pvt. Ltd. </t>
  </si>
  <si>
    <t xml:space="preserve">Eminence Equipments Pvt. Ltd. </t>
  </si>
  <si>
    <t>Specialise Instruments Marketing Company</t>
  </si>
  <si>
    <t>Harinagar Sugar Mills Limited</t>
  </si>
  <si>
    <t xml:space="preserve">Suboneyo Chemicals &amp; Pharmaceuticals Pvt. Ltd. </t>
  </si>
  <si>
    <t>Dr. Santosh Prabhu</t>
  </si>
  <si>
    <t>Mr. Vinod G. Vora</t>
  </si>
  <si>
    <t>Shree Chlorates                                                                                (Prop : Zenith Electrochem Pvt. Ltd.)</t>
  </si>
  <si>
    <t>Mr. Kanti N. Gada</t>
  </si>
  <si>
    <t xml:space="preserve">Gee Cee Ventures Ltd. </t>
  </si>
  <si>
    <t>Emkay Taps &amp; Cutting Tools Ltd. (Formerly Emkay Taps &amp; Cutting Tools Pvt. Ltd.)</t>
  </si>
  <si>
    <t>Pravin Masalewale</t>
  </si>
  <si>
    <t>Agarwal Enterprises</t>
  </si>
  <si>
    <t>Kandoi Eco Energy</t>
  </si>
  <si>
    <t xml:space="preserve">Nakoda Machinery Pvt. Ltd. </t>
  </si>
  <si>
    <t xml:space="preserve">Bothara Agro Equipments Pvt. Ltd. </t>
  </si>
  <si>
    <t>Noesis Ventures Pvt. Ltd.  (Formerly Zenith Press Pvt. Ltd. )</t>
  </si>
  <si>
    <t xml:space="preserve">F. C. Properties &amp; Developers Pvt. Ltd. </t>
  </si>
  <si>
    <t>Sankalp International</t>
  </si>
  <si>
    <t>Panama Business Centre</t>
  </si>
  <si>
    <t>Rahul Dravid</t>
  </si>
  <si>
    <t>Kishco Ltd.</t>
  </si>
  <si>
    <r>
      <t xml:space="preserve">Shree Hanuman Wind-Infra Pvt.Ltd.                    </t>
    </r>
    <r>
      <rPr>
        <sz val="8"/>
        <rFont val="Verdana"/>
        <family val="2"/>
      </rPr>
      <t>(Formerly Vishal Nirmiti Pvt. Ltd.)</t>
    </r>
  </si>
  <si>
    <t>Cepco Industries Pvt. Ltd.</t>
  </si>
  <si>
    <t>Ferromar Shipping Private Limited</t>
  </si>
  <si>
    <t>Wind Urja India Private Limited (Formerly IL&amp;FS Energy Development Company Limited)</t>
  </si>
  <si>
    <t>Gangadhar Narsinghdas Agrawal</t>
  </si>
  <si>
    <t>DIAMONDS 'R' US</t>
  </si>
  <si>
    <t xml:space="preserve">NEESHAL MERCHANDISING PVT. LTD. </t>
  </si>
  <si>
    <t>STELLAR DIAMOND</t>
  </si>
  <si>
    <t>SOLAR EXPORTS</t>
  </si>
  <si>
    <t>G. AMPHRAY LABORATORIES</t>
  </si>
  <si>
    <t>Kanak Renewables Limited                                                                (Formerly India Power Corporation Limited)</t>
  </si>
  <si>
    <t xml:space="preserve">CLP Wind Farms (India) Private Limited </t>
  </si>
  <si>
    <t>Renew Wind Energy (Jadeswar) Pvt.Ltd.</t>
  </si>
  <si>
    <t>EN Wind Power Private limited</t>
  </si>
  <si>
    <t xml:space="preserve">Lalpur Wind Energy Pvt. Ltd. </t>
  </si>
  <si>
    <t xml:space="preserve">Hitech Renewable Energy Pvt. Ltd. </t>
  </si>
  <si>
    <t xml:space="preserve">Prabhu Dan Detha &amp; Co. </t>
  </si>
  <si>
    <t>Shri Mohangarh Construction Company</t>
  </si>
  <si>
    <t>Ecohomes Townships LLP</t>
  </si>
  <si>
    <t>Amarbhaw Power Pvt. Ltd.</t>
  </si>
  <si>
    <t>Granada Investments &amp; Finance Pvt. Ltd.</t>
  </si>
  <si>
    <t>Jayshri Impex</t>
  </si>
  <si>
    <t>Ratnam Enterprise</t>
  </si>
  <si>
    <t>Deepa Exports</t>
  </si>
  <si>
    <t>The Bhavnagar Salt and Industrial Works Private Limited</t>
  </si>
  <si>
    <t>Riti International</t>
  </si>
  <si>
    <t>State</t>
  </si>
  <si>
    <t>RAJASTHAN</t>
  </si>
  <si>
    <t>Monthly Performance Report</t>
  </si>
  <si>
    <t xml:space="preserve">Date:01/02/2022-27/02/2022 </t>
  </si>
  <si>
    <t>Wec No.</t>
  </si>
  <si>
    <t>Generation</t>
  </si>
  <si>
    <t>Lack Of Wind</t>
  </si>
  <si>
    <t>Down Time</t>
  </si>
  <si>
    <t>Machine Availabilty(%)</t>
  </si>
  <si>
    <t>Capacity Factor(%)</t>
  </si>
  <si>
    <t>Grid Availabilty(%)</t>
  </si>
  <si>
    <t>KWh</t>
  </si>
  <si>
    <t>Hrs</t>
  </si>
  <si>
    <t>Machine</t>
  </si>
  <si>
    <t>Grid</t>
  </si>
  <si>
    <t>Total</t>
  </si>
  <si>
    <t>Fault</t>
  </si>
  <si>
    <t>Shutdown</t>
  </si>
  <si>
    <t>Site: PITHODAI KI DHANI,RAJASTHAN</t>
  </si>
  <si>
    <t>VISH WIND INFRASTRUCTURE LLP</t>
  </si>
  <si>
    <t>Total WEC : 17</t>
  </si>
  <si>
    <t>VISHWKT-13 (582)</t>
  </si>
  <si>
    <t>VISHWKT-14 (121)</t>
  </si>
  <si>
    <t>VISHWKT-15 (601)</t>
  </si>
  <si>
    <t>VISHWKT-16 (602)</t>
  </si>
  <si>
    <t>VISHWKT-17 (603)</t>
  </si>
  <si>
    <t>VISHWNU-01 (39)</t>
  </si>
  <si>
    <t>VISHWNU-02 (38)</t>
  </si>
  <si>
    <t>VISHWNU-03 (41)</t>
  </si>
  <si>
    <t>VISHWNU-04 (37)</t>
  </si>
  <si>
    <t>VISHWNU-05 (36)</t>
  </si>
  <si>
    <t>VISHWNU-06 (35)</t>
  </si>
  <si>
    <t>VISHWNU-07 (34)</t>
  </si>
  <si>
    <t>VISHWNU-08 (33)</t>
  </si>
  <si>
    <t>VISHWNU-09 (31)</t>
  </si>
  <si>
    <t>VISHWNU-10 (30)</t>
  </si>
  <si>
    <t>VISHWNU-11 (53)</t>
  </si>
  <si>
    <t>VISHWNU-12 (50)</t>
  </si>
  <si>
    <t>Site: TINWARI,RAJASTHAN</t>
  </si>
  <si>
    <t>Total WEC : 20</t>
  </si>
  <si>
    <t>VISHWTI-18 (159)</t>
  </si>
  <si>
    <t>VISHWTI-19 (158)</t>
  </si>
  <si>
    <t>VISHWTI-20 (157)</t>
  </si>
  <si>
    <t>VISHWTI-21 (156)</t>
  </si>
  <si>
    <t>VISHWTI-22 (155)</t>
  </si>
  <si>
    <t>VISHWTI-23 (154)</t>
  </si>
  <si>
    <t>VISHWTI-24 (153)</t>
  </si>
  <si>
    <t>VISHWTI-25 (163)</t>
  </si>
  <si>
    <t>VISHWTI-26 (162)</t>
  </si>
  <si>
    <t>VISHWTI-27 (161)</t>
  </si>
  <si>
    <t>VISHWTI-28 (164)</t>
  </si>
  <si>
    <t>VISHWTI-29 (167)</t>
  </si>
  <si>
    <t>VISHWTI-30 (166)</t>
  </si>
  <si>
    <t>VISHWTI-31 (165)</t>
  </si>
  <si>
    <t>VISHWTI-32 (168)</t>
  </si>
  <si>
    <t>VISHWTI-33 (169)</t>
  </si>
  <si>
    <t>VISHWTI-34 (509)</t>
  </si>
  <si>
    <t>VISHWTI-35 (510)</t>
  </si>
  <si>
    <t>VISHWTI-36 (10)</t>
  </si>
  <si>
    <t>VISHWTI-37 (11)</t>
  </si>
  <si>
    <t>11202:00</t>
  </si>
  <si>
    <r>
      <t xml:space="preserve">Relevant SDG Indicator 8.5: </t>
    </r>
    <r>
      <rPr>
        <sz val="11"/>
        <color indexed="8"/>
        <rFont val="Verdana"/>
        <family val="2"/>
      </rPr>
      <t>8.5.2 Unemployment rate, by sex, age and persons with disabilities</t>
    </r>
  </si>
  <si>
    <t>Data/parameter:</t>
  </si>
  <si>
    <t>Quality of Employment</t>
  </si>
  <si>
    <t>Unit</t>
  </si>
  <si>
    <t>Number of Health and safety trainings for qualitatively better work opportunities during Operation and Maintenance.</t>
  </si>
  <si>
    <t>Description</t>
  </si>
  <si>
    <t>Training records, categories of jobs created, occupational health management, safeguards put in place.</t>
  </si>
  <si>
    <t>Project developer has comprehensive internal systems in place wherein all essential norms pertaining to safety, occupational health and working conditions are being followed.</t>
  </si>
  <si>
    <t>Measured/calculated/default</t>
  </si>
  <si>
    <t xml:space="preserve">Measured </t>
  </si>
  <si>
    <t>Source of data</t>
  </si>
  <si>
    <t>Documentation pertaining to training programmes, awareness generation activities, photographs, interviews etc.</t>
  </si>
  <si>
    <t>Value(s) of monitored parameter</t>
  </si>
  <si>
    <t>Following training programs have been conducted in order to enhance the safety awareness, operational skill levels and occupational health management for the local staff. Total 5 trainings were organised in current monitoring period.</t>
  </si>
  <si>
    <r>
      <t>-</t>
    </r>
    <r>
      <rPr>
        <sz val="7"/>
        <color indexed="8"/>
        <rFont val="Times New Roman"/>
        <family val="1"/>
      </rPr>
      <t xml:space="preserve">      </t>
    </r>
    <r>
      <rPr>
        <sz val="11"/>
        <color indexed="8"/>
        <rFont val="Verdana"/>
        <family val="2"/>
      </rPr>
      <t>On 27/07/2020, total 11 employees benefitted through SHE training programs related to Electrical Safety &amp; 5 Safety Rule. The records of training have been submitted to the DOE.</t>
    </r>
  </si>
  <si>
    <r>
      <t>-</t>
    </r>
    <r>
      <rPr>
        <sz val="7"/>
        <color indexed="8"/>
        <rFont val="Times New Roman"/>
        <family val="1"/>
      </rPr>
      <t xml:space="preserve">      </t>
    </r>
    <r>
      <rPr>
        <sz val="11"/>
        <color indexed="8"/>
        <rFont val="Verdana"/>
        <family val="2"/>
      </rPr>
      <t>On 09/11/2020, total 19 employees benefitted through SHE training programs related to Electrical Safety &amp; LOTO Awareness. The records of training have been submitted to the DOE.</t>
    </r>
  </si>
  <si>
    <r>
      <t>-</t>
    </r>
    <r>
      <rPr>
        <sz val="7"/>
        <color indexed="8"/>
        <rFont val="Times New Roman"/>
        <family val="1"/>
      </rPr>
      <t xml:space="preserve">      </t>
    </r>
    <r>
      <rPr>
        <sz val="11"/>
        <color indexed="8"/>
        <rFont val="Verdana"/>
        <family val="2"/>
      </rPr>
      <t>On 21/01/2021, total 9 employees benefitted through SHE training programs related to Electrical Safety &amp; LOTO Training. The records of training have been submitted to the DOE.</t>
    </r>
  </si>
  <si>
    <r>
      <t>-</t>
    </r>
    <r>
      <rPr>
        <sz val="7"/>
        <color indexed="8"/>
        <rFont val="Times New Roman"/>
        <family val="1"/>
      </rPr>
      <t xml:space="preserve">      </t>
    </r>
    <r>
      <rPr>
        <sz val="11"/>
        <color indexed="8"/>
        <rFont val="Verdana"/>
        <family val="2"/>
      </rPr>
      <t>On 29/06/2021, total 9 employees benefitted through SHE training programs related to Incident Management, HIRA &amp; PPE Training. The records of training have been submitted to the DOE.</t>
    </r>
  </si>
  <si>
    <r>
      <t>-</t>
    </r>
    <r>
      <rPr>
        <sz val="7"/>
        <color indexed="8"/>
        <rFont val="Times New Roman"/>
        <family val="1"/>
      </rPr>
      <t xml:space="preserve">      </t>
    </r>
    <r>
      <rPr>
        <sz val="11"/>
        <color indexed="8"/>
        <rFont val="Verdana"/>
        <family val="2"/>
      </rPr>
      <t>On 24/08/2021, total 9 employees benefitted through SHE training programs related to First Aid, Fire &amp; Electrical Safety. The records of training have been submitted to the DOE.</t>
    </r>
  </si>
  <si>
    <t>Monitoring equipment</t>
  </si>
  <si>
    <t>Manually by PP representative</t>
  </si>
  <si>
    <t>Measuring/reading/recording frequency:</t>
  </si>
  <si>
    <t>Annually</t>
  </si>
  <si>
    <t>Calculation method</t>
  </si>
  <si>
    <t>(if applicable):</t>
  </si>
  <si>
    <t>QA/QC procedures:</t>
  </si>
  <si>
    <t>The training programmes help in making the workforce efficient and skilled at their job. This not only helps the company but adds to growth of individual employees. Thus, the project has a positive impact on the parameter.</t>
  </si>
  <si>
    <t>Purpose of data:</t>
  </si>
  <si>
    <t>Assessment of SDGs as per safeguarding principles</t>
  </si>
  <si>
    <t>Additional comments:</t>
  </si>
  <si>
    <t>None</t>
  </si>
  <si>
    <t>Relevant SDG Indicator</t>
  </si>
  <si>
    <t>8.5.2 Unemployment rate, by sex, age and persons with disabilities</t>
  </si>
  <si>
    <t>Quantitative employment and income generation</t>
  </si>
  <si>
    <t>Number of Employees</t>
  </si>
  <si>
    <t>Number of jobs generated during the operation of the wind farm.</t>
  </si>
  <si>
    <t>Attendance Sheet and employment records maintained by Project Developer</t>
  </si>
  <si>
    <t>The project activity is located at Jaisalmer and Jodhpur district. 17WEGs of project activity installed in Jaisalmer district is connected through 220kV Wind World (India) Limited (herein after referred as WWIL) pooling sub-station (220kV BHU sub-station), through 33kV feeder lines. 20WEGs of project activity installed in Jodhpur district is connected through 132kV Wind World (India) Limited (herein after referred as WWIL) pooling sub-station (132kV SALODI sub-station), through 33kV feeder lines.</t>
  </si>
  <si>
    <t xml:space="preserve">O&amp;M contractor has assigned team of technical, non-technical and security guards for the project activity, who are responsible for all project related wind turbines. Specifically, Total 10 local people have been employed for the project activity during the monitoring period under consideration. Corresponding attendance sheets and other relevant records on annual monitoring have been submitted to DOE. </t>
  </si>
  <si>
    <t>In addition to this, because of the infrastructure development (road construction, road repairs, cleaning of substation etc.), local villagers are getting short time jobs thus leading to income generation. Since this is an indirect benefit of the project activity in terms of income generation, it is not possible to exactly quantify the same.</t>
  </si>
  <si>
    <t>-</t>
  </si>
  <si>
    <t>Additional job opportunities created for the local population. Income generation to be enhanced by creating relatively high value job opportunities through training and capacity building.</t>
  </si>
  <si>
    <t>To monitor the contribution to SDG 8</t>
  </si>
  <si>
    <t>In addition to above mentioned monitoring parameters as per approved transition annex of the project activity, PP has taken additional initiatives to improve basic education, health &amp; hygiene and clean drinking water facility in nearby areas. The details of these programs organised during current monitoring period is provided below:</t>
  </si>
  <si>
    <t>3.8.1 Coverage of essential health services (defined as the average coverage of essential services based on tracer interventions that include reproductive, maternal, new born and child health, infectious diseases, non-communicable diseases and service capacity and access, among the general and the most disadvantaged population)</t>
  </si>
  <si>
    <t>Human and Institutional capacity</t>
  </si>
  <si>
    <t>Total number of initiatives, events and programmes, primarily Health and Education Camps</t>
  </si>
  <si>
    <t>Health and Education related activities conducted for well-being of locals/villagers</t>
  </si>
  <si>
    <t>Measured</t>
  </si>
  <si>
    <t>Records of organized events, photographs, proof of payments etc.</t>
  </si>
  <si>
    <t>Since access to basic education, health, basic amenities and infrastructural facilities are basic factors to facilitate human and institutional capacity development; various initiatives have been undertaken by the project developer to contribute to these thematic areas. The contribution made during monitoring period is mentioned below:</t>
  </si>
  <si>
    <t>- PP have also launched Safe Drinking Water facility programs in 10 govt. schools across Jaisalmer district. Under this program RO water facilities have been installed at schools giving access to clean and safe water for students.</t>
  </si>
  <si>
    <t>- During the time of COVID-19 crisis dry ration kits were distributed to the needy people across 4 villages.</t>
  </si>
  <si>
    <t>Manually</t>
  </si>
  <si>
    <t xml:space="preserve">Annually </t>
  </si>
  <si>
    <t>The delay period in calibration (Akal &amp; PS-08 SS) identified during current monitoring period has been provided below:</t>
  </si>
  <si>
    <t xml:space="preserve">Substation </t>
  </si>
  <si>
    <t>Meter sr. Nos</t>
  </si>
  <si>
    <t xml:space="preserve">Calibration dates </t>
  </si>
  <si>
    <t>Calibration delayed period</t>
  </si>
  <si>
    <t xml:space="preserve">Percentage error </t>
  </si>
  <si>
    <t>Akal substation</t>
  </si>
  <si>
    <t>Main Meter: 15624842</t>
  </si>
  <si>
    <t>Check meter: 15624844</t>
  </si>
  <si>
    <t>20/01/2020 and 15/03/2021</t>
  </si>
  <si>
    <t>20/01/2021 to 14/03/2021</t>
  </si>
  <si>
    <t>Main meter:-0.05%</t>
  </si>
  <si>
    <t>Check meter:-0.04%</t>
  </si>
  <si>
    <t>PS 08 Substation</t>
  </si>
  <si>
    <t>Main meter: RJB00354</t>
  </si>
  <si>
    <t>Check meter: RJB00356</t>
  </si>
  <si>
    <t>14/08/2020 to 08/02/2021</t>
  </si>
  <si>
    <t>Main meter: 0.03%</t>
  </si>
  <si>
    <t>Check meter:-0.07%</t>
  </si>
  <si>
    <t>09/02/2022 to 28/02/2022</t>
  </si>
  <si>
    <t>Main meter: 0.02%</t>
  </si>
  <si>
    <t>Check meter:-0.01%</t>
  </si>
  <si>
    <t>Bhu &amp; Salodi substation meter details:</t>
  </si>
  <si>
    <t>Substation</t>
  </si>
  <si>
    <t>Backup Meter</t>
  </si>
  <si>
    <t xml:space="preserve">Date of calibration </t>
  </si>
  <si>
    <t xml:space="preserve">Bhu Substation </t>
  </si>
  <si>
    <t xml:space="preserve">Salodi Substation </t>
  </si>
  <si>
    <t>RJB00358</t>
  </si>
  <si>
    <t>RJB00357</t>
  </si>
  <si>
    <t>The delay period in calibration (Bhu and Salodi SS) identified during current monitoring period has been provided below:</t>
  </si>
  <si>
    <t>Bhu Substation</t>
  </si>
  <si>
    <t>Backup Meter: 15197055</t>
  </si>
  <si>
    <t>and 15/03/2021</t>
  </si>
  <si>
    <t>Salodi Substation</t>
  </si>
  <si>
    <t>Main meter: RJB00358</t>
  </si>
  <si>
    <t>Check meter: RJB00357</t>
  </si>
  <si>
    <t>Main meter:-0.01%</t>
  </si>
  <si>
    <t>Main meter: -0.02%</t>
  </si>
  <si>
    <t>Check meter:--0.01%</t>
  </si>
  <si>
    <t>Vintage</t>
  </si>
  <si>
    <t>GSVERs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</si>
</sst>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0.0"/>
    <numFmt numFmtId="166" formatCode="0.0000"/>
    <numFmt numFmtId="167" formatCode="0.000000"/>
    <numFmt numFmtId="168" formatCode="0.000"/>
    <numFmt numFmtId="169" formatCode="0.0%"/>
  </numFmts>
  <fonts count="58" x14ac:knownFonts="1">
    <font>
      <sz val="10"/>
      <color theme="1"/>
      <name val="Arial"/>
      <family val="2"/>
    </font>
    <font>
      <sz val="10"/>
      <color indexed="8"/>
      <name val="Arial"/>
      <family val="2"/>
    </font>
    <font>
      <sz val="10"/>
      <name val="Arial"/>
      <family val="2"/>
    </font>
    <font>
      <b/>
      <sz val="9"/>
      <name val="Arial"/>
      <family val="2"/>
    </font>
    <font>
      <sz val="9"/>
      <name val="Arial"/>
      <family val="2"/>
    </font>
    <font>
      <sz val="11"/>
      <color indexed="8"/>
      <name val="Calibri"/>
      <family val="2"/>
    </font>
    <font>
      <b/>
      <sz val="10"/>
      <name val="Arial"/>
      <family val="2"/>
    </font>
    <font>
      <sz val="10"/>
      <name val="Verdana"/>
      <family val="2"/>
    </font>
    <font>
      <b/>
      <sz val="8"/>
      <name val="Arial"/>
      <family val="2"/>
    </font>
    <font>
      <b/>
      <sz val="10"/>
      <color indexed="8"/>
      <name val="Arial"/>
      <family val="2"/>
    </font>
    <font>
      <b/>
      <u/>
      <sz val="11"/>
      <color indexed="8"/>
      <name val="Arial"/>
      <family val="2"/>
    </font>
    <font>
      <sz val="11"/>
      <color indexed="8"/>
      <name val="Arial"/>
      <family val="2"/>
    </font>
    <font>
      <b/>
      <sz val="11"/>
      <color indexed="8"/>
      <name val="Arial"/>
      <family val="2"/>
    </font>
    <font>
      <b/>
      <i/>
      <sz val="10"/>
      <color indexed="8"/>
      <name val="Arial"/>
      <family val="2"/>
    </font>
    <font>
      <b/>
      <sz val="11"/>
      <name val="Arial"/>
      <family val="2"/>
    </font>
    <font>
      <b/>
      <vertAlign val="subscript"/>
      <sz val="11"/>
      <name val="Arial"/>
      <family val="2"/>
    </font>
    <font>
      <sz val="11"/>
      <name val="Arial"/>
      <family val="2"/>
    </font>
    <font>
      <b/>
      <vertAlign val="subscript"/>
      <sz val="10"/>
      <color indexed="8"/>
      <name val="Arial"/>
      <family val="2"/>
    </font>
    <font>
      <b/>
      <sz val="9"/>
      <name val="Tahoma"/>
      <family val="2"/>
    </font>
    <font>
      <sz val="9"/>
      <name val="Tahoma"/>
      <family val="2"/>
    </font>
    <font>
      <b/>
      <sz val="10"/>
      <name val="Tahoma"/>
      <family val="2"/>
    </font>
    <font>
      <sz val="10"/>
      <name val="Times New Roman"/>
      <family val="1"/>
    </font>
    <font>
      <sz val="10"/>
      <name val="Tahoma"/>
      <family val="2"/>
    </font>
    <font>
      <sz val="10"/>
      <color indexed="8"/>
      <name val="Tahoma"/>
      <family val="2"/>
    </font>
    <font>
      <sz val="8"/>
      <name val="Arial"/>
      <family val="2"/>
    </font>
    <font>
      <b/>
      <sz val="10"/>
      <color indexed="10"/>
      <name val="Arial"/>
      <family val="2"/>
    </font>
    <font>
      <sz val="11"/>
      <name val="Tahoma"/>
      <family val="2"/>
    </font>
    <font>
      <sz val="8"/>
      <name val="Tahoma"/>
      <family val="2"/>
    </font>
    <font>
      <sz val="11"/>
      <color indexed="8"/>
      <name val="Tahoma"/>
      <family val="2"/>
    </font>
    <font>
      <sz val="8"/>
      <name val="Verdana"/>
      <family val="2"/>
    </font>
    <font>
      <sz val="11"/>
      <color indexed="8"/>
      <name val="Verdana"/>
      <family val="2"/>
    </font>
    <font>
      <b/>
      <sz val="10"/>
      <name val="Verdana"/>
      <family val="2"/>
    </font>
    <font>
      <sz val="7"/>
      <color indexed="8"/>
      <name val="Times New Roman"/>
      <family val="1"/>
    </font>
    <font>
      <sz val="11"/>
      <name val="Verdana"/>
      <family val="2"/>
    </font>
    <font>
      <sz val="10"/>
      <color theme="1"/>
      <name val="Arial"/>
      <family val="2"/>
    </font>
    <font>
      <u/>
      <sz val="10"/>
      <color theme="10"/>
      <name val="Arial"/>
      <family val="2"/>
    </font>
    <font>
      <u/>
      <sz val="11"/>
      <color theme="10"/>
      <name val="Calibri"/>
      <family val="2"/>
    </font>
    <font>
      <sz val="11"/>
      <color theme="1"/>
      <name val="Calibri"/>
      <family val="2"/>
      <scheme val="minor"/>
    </font>
    <font>
      <b/>
      <sz val="10"/>
      <color theme="1"/>
      <name val="Arial"/>
      <family val="2"/>
    </font>
    <font>
      <sz val="9"/>
      <color rgb="FF000000"/>
      <name val="Arial"/>
      <family val="2"/>
    </font>
    <font>
      <sz val="9"/>
      <color theme="1"/>
      <name val="Arial"/>
      <family val="2"/>
    </font>
    <font>
      <sz val="11"/>
      <color theme="1"/>
      <name val="Arial"/>
      <family val="2"/>
    </font>
    <font>
      <b/>
      <i/>
      <sz val="10"/>
      <color rgb="FF0070C0"/>
      <name val="Arial"/>
      <family val="2"/>
    </font>
    <font>
      <b/>
      <sz val="10"/>
      <color theme="9" tint="-0.249977111117893"/>
      <name val="Arial"/>
      <family val="2"/>
    </font>
    <font>
      <sz val="11"/>
      <color theme="1"/>
      <name val="Cambria"/>
      <family val="1"/>
      <scheme val="major"/>
    </font>
    <font>
      <b/>
      <sz val="11"/>
      <color theme="1"/>
      <name val="Calibri"/>
      <family val="2"/>
      <scheme val="minor"/>
    </font>
    <font>
      <sz val="11"/>
      <color theme="1"/>
      <name val="Verdana"/>
      <family val="2"/>
    </font>
    <font>
      <sz val="11"/>
      <color rgb="FF000000"/>
      <name val="Verdana"/>
      <family val="2"/>
    </font>
    <font>
      <sz val="11"/>
      <color rgb="FF171717"/>
      <name val="Verdana"/>
      <family val="2"/>
    </font>
    <font>
      <b/>
      <sz val="11"/>
      <color theme="1"/>
      <name val="Verdana"/>
      <family val="2"/>
    </font>
    <font>
      <b/>
      <sz val="11"/>
      <color theme="1"/>
      <name val="Arial"/>
      <family val="2"/>
    </font>
    <font>
      <sz val="11"/>
      <color rgb="FF4D4D4C"/>
      <name val="Verdana"/>
      <family val="2"/>
    </font>
    <font>
      <sz val="12"/>
      <color theme="1"/>
      <name val="Verdana"/>
      <family val="2"/>
    </font>
    <font>
      <b/>
      <sz val="9"/>
      <color rgb="FF171717"/>
      <name val="Arial"/>
      <family val="2"/>
    </font>
    <font>
      <sz val="9"/>
      <color rgb="FF171717"/>
      <name val="Arial"/>
      <family val="2"/>
    </font>
    <font>
      <b/>
      <sz val="9"/>
      <color rgb="FF4D4D4C"/>
      <name val="Arial"/>
      <family val="2"/>
    </font>
    <font>
      <b/>
      <sz val="9"/>
      <color rgb="FF000000"/>
      <name val="Arial"/>
      <family val="2"/>
    </font>
    <font>
      <sz val="9"/>
      <color rgb="FF4D4D4C"/>
      <name val="Arial"/>
      <family val="2"/>
    </font>
  </fonts>
  <fills count="17">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3" tint="0.39997558519241921"/>
        <bgColor indexed="64"/>
      </patternFill>
    </fill>
    <fill>
      <patternFill patternType="solid">
        <fgColor theme="5" tint="0.59999389629810485"/>
        <bgColor indexed="64"/>
      </patternFill>
    </fill>
    <fill>
      <patternFill patternType="solid">
        <fgColor rgb="FFCCCCCC"/>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rgb="FFE6E6E6"/>
        <bgColor indexed="64"/>
      </patternFill>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right style="thin">
        <color indexed="64"/>
      </right>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medium">
        <color rgb="FF000000"/>
      </right>
      <top style="medium">
        <color indexed="64"/>
      </top>
      <bottom style="medium">
        <color indexed="64"/>
      </bottom>
      <diagonal/>
    </border>
    <border>
      <left style="medium">
        <color indexed="64"/>
      </left>
      <right style="medium">
        <color indexed="64"/>
      </right>
      <top style="medium">
        <color rgb="FF000000"/>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s>
  <cellStyleXfs count="11">
    <xf numFmtId="0" fontId="0" fillId="0" borderId="0"/>
    <xf numFmtId="164" fontId="5" fillId="0" borderId="0" applyFont="0" applyFill="0" applyBorder="0" applyAlignment="0" applyProtection="0"/>
    <xf numFmtId="0" fontId="35"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37" fillId="0" borderId="0"/>
    <xf numFmtId="0" fontId="34" fillId="0" borderId="0"/>
    <xf numFmtId="0" fontId="2" fillId="0" borderId="0"/>
    <xf numFmtId="0" fontId="7" fillId="0" borderId="0"/>
    <xf numFmtId="0" fontId="2" fillId="0" borderId="0"/>
    <xf numFmtId="9" fontId="34" fillId="0" borderId="0" applyFont="0" applyFill="0" applyBorder="0" applyAlignment="0" applyProtection="0"/>
    <xf numFmtId="9" fontId="5" fillId="0" borderId="0" applyFont="0" applyFill="0" applyBorder="0" applyAlignment="0" applyProtection="0"/>
  </cellStyleXfs>
  <cellXfs count="435">
    <xf numFmtId="0" fontId="0" fillId="0" borderId="0" xfId="0"/>
    <xf numFmtId="0" fontId="4" fillId="0" borderId="1" xfId="8" applyFont="1" applyFill="1" applyBorder="1" applyAlignment="1">
      <alignment horizontal="center" vertical="center" wrapText="1"/>
    </xf>
    <xf numFmtId="0" fontId="4" fillId="0" borderId="1" xfId="8" applyNumberFormat="1" applyFont="1" applyFill="1" applyBorder="1" applyAlignment="1">
      <alignment horizontal="center" vertical="center" wrapText="1"/>
    </xf>
    <xf numFmtId="0" fontId="4" fillId="0" borderId="1" xfId="6" applyFont="1" applyFill="1" applyBorder="1" applyAlignment="1">
      <alignment horizontal="center" vertical="center" wrapText="1"/>
    </xf>
    <xf numFmtId="0" fontId="4" fillId="0" borderId="1" xfId="6" applyFont="1" applyFill="1" applyBorder="1" applyAlignment="1">
      <alignment horizontal="center" vertical="center"/>
    </xf>
    <xf numFmtId="0" fontId="4" fillId="0" borderId="2" xfId="8" applyFont="1" applyFill="1" applyBorder="1" applyAlignment="1">
      <alignment horizontal="center" vertical="center" wrapText="1"/>
    </xf>
    <xf numFmtId="0" fontId="4" fillId="0" borderId="2" xfId="8" applyNumberFormat="1" applyFont="1" applyFill="1" applyBorder="1" applyAlignment="1">
      <alignment horizontal="center" vertical="center" wrapText="1"/>
    </xf>
    <xf numFmtId="0" fontId="4" fillId="0" borderId="3" xfId="6" applyFont="1" applyFill="1" applyBorder="1" applyAlignment="1">
      <alignment horizontal="center" vertical="center" wrapText="1"/>
    </xf>
    <xf numFmtId="0" fontId="4" fillId="0" borderId="4" xfId="6" applyFont="1" applyFill="1" applyBorder="1" applyAlignment="1">
      <alignment horizontal="center" vertical="center" wrapText="1"/>
    </xf>
    <xf numFmtId="0" fontId="39" fillId="0" borderId="5" xfId="0" applyFont="1" applyFill="1" applyBorder="1" applyAlignment="1">
      <alignment horizontal="center" vertical="center" wrapText="1"/>
    </xf>
    <xf numFmtId="0" fontId="40" fillId="0" borderId="5" xfId="5" applyFont="1" applyFill="1" applyBorder="1" applyAlignment="1">
      <alignment horizontal="center" vertical="center"/>
    </xf>
    <xf numFmtId="0" fontId="4" fillId="0" borderId="6" xfId="6" applyFont="1" applyFill="1" applyBorder="1" applyAlignment="1">
      <alignment horizontal="center" vertical="center" wrapText="1"/>
    </xf>
    <xf numFmtId="0" fontId="4" fillId="0" borderId="7" xfId="6" applyFont="1" applyFill="1" applyBorder="1" applyAlignment="1">
      <alignment horizontal="center" vertical="center" wrapText="1"/>
    </xf>
    <xf numFmtId="0" fontId="4" fillId="0" borderId="8" xfId="6" applyFont="1" applyFill="1" applyBorder="1" applyAlignment="1">
      <alignment horizontal="center" vertical="center" wrapText="1"/>
    </xf>
    <xf numFmtId="0" fontId="4" fillId="0" borderId="9" xfId="6" applyFont="1" applyFill="1" applyBorder="1" applyAlignment="1">
      <alignment horizontal="center" vertical="center" wrapText="1"/>
    </xf>
    <xf numFmtId="0" fontId="4" fillId="0" borderId="2" xfId="6" applyFont="1" applyFill="1" applyBorder="1" applyAlignment="1">
      <alignment horizontal="center" vertical="center" wrapText="1"/>
    </xf>
    <xf numFmtId="0" fontId="4" fillId="0" borderId="10" xfId="6" applyFont="1" applyFill="1" applyBorder="1" applyAlignment="1">
      <alignment horizontal="center" vertical="center" wrapText="1"/>
    </xf>
    <xf numFmtId="166" fontId="11" fillId="0" borderId="0" xfId="4" applyNumberFormat="1" applyFont="1"/>
    <xf numFmtId="166" fontId="13" fillId="0" borderId="0" xfId="4" applyNumberFormat="1" applyFont="1" applyAlignment="1">
      <alignment horizontal="center" vertical="center" wrapText="1"/>
    </xf>
    <xf numFmtId="166" fontId="35" fillId="0" borderId="0" xfId="2" applyNumberFormat="1" applyFont="1" applyAlignment="1" applyProtection="1">
      <alignment horizontal="center" vertical="center"/>
    </xf>
    <xf numFmtId="166" fontId="11" fillId="0" borderId="0" xfId="4" applyNumberFormat="1" applyFont="1" applyAlignment="1">
      <alignment horizontal="center" vertical="center"/>
    </xf>
    <xf numFmtId="166" fontId="14" fillId="0" borderId="0" xfId="4" applyNumberFormat="1" applyFont="1"/>
    <xf numFmtId="0" fontId="41" fillId="0" borderId="1" xfId="0" applyFont="1" applyBorder="1" applyAlignment="1">
      <alignment horizontal="justify"/>
    </xf>
    <xf numFmtId="0" fontId="41" fillId="0" borderId="1" xfId="0" applyFont="1" applyBorder="1" applyAlignment="1">
      <alignment horizontal="right"/>
    </xf>
    <xf numFmtId="166" fontId="41" fillId="0" borderId="1" xfId="0" applyNumberFormat="1" applyFont="1" applyBorder="1" applyAlignment="1">
      <alignment horizontal="right"/>
    </xf>
    <xf numFmtId="166" fontId="16" fillId="0" borderId="0" xfId="4" applyNumberFormat="1" applyFont="1"/>
    <xf numFmtId="166" fontId="14" fillId="0" borderId="0" xfId="4" applyNumberFormat="1" applyFont="1" applyBorder="1"/>
    <xf numFmtId="166" fontId="14" fillId="0" borderId="1" xfId="4" applyNumberFormat="1" applyFont="1" applyBorder="1" applyAlignment="1">
      <alignment horizontal="center"/>
    </xf>
    <xf numFmtId="166" fontId="14" fillId="0" borderId="1" xfId="4" applyNumberFormat="1" applyFont="1" applyBorder="1" applyAlignment="1">
      <alignment horizontal="right"/>
    </xf>
    <xf numFmtId="166" fontId="14" fillId="0" borderId="1" xfId="4" applyNumberFormat="1" applyFont="1" applyBorder="1" applyAlignment="1">
      <alignment horizontal="center" wrapText="1"/>
    </xf>
    <xf numFmtId="0" fontId="41" fillId="0" borderId="1" xfId="0" applyFont="1" applyBorder="1" applyAlignment="1"/>
    <xf numFmtId="167" fontId="11" fillId="0" borderId="0" xfId="4" applyNumberFormat="1" applyFont="1"/>
    <xf numFmtId="0" fontId="0" fillId="4" borderId="0" xfId="0" applyFill="1"/>
    <xf numFmtId="0" fontId="0" fillId="4" borderId="1" xfId="0" applyFill="1" applyBorder="1"/>
    <xf numFmtId="0" fontId="0" fillId="0" borderId="1" xfId="0" applyBorder="1"/>
    <xf numFmtId="0" fontId="38" fillId="4" borderId="1" xfId="0" applyFont="1" applyFill="1" applyBorder="1"/>
    <xf numFmtId="1" fontId="38" fillId="4" borderId="1" xfId="0" applyNumberFormat="1" applyFont="1" applyFill="1" applyBorder="1" applyAlignment="1">
      <alignment horizontal="left"/>
    </xf>
    <xf numFmtId="0" fontId="38" fillId="4" borderId="3" xfId="0" applyFont="1" applyFill="1" applyBorder="1" applyAlignment="1">
      <alignment horizontal="center"/>
    </xf>
    <xf numFmtId="0" fontId="38" fillId="4" borderId="1" xfId="0" applyFont="1" applyFill="1" applyBorder="1" applyAlignment="1">
      <alignment horizontal="center"/>
    </xf>
    <xf numFmtId="14" fontId="0" fillId="4" borderId="3" xfId="0" applyNumberFormat="1" applyFill="1" applyBorder="1" applyAlignment="1">
      <alignment horizontal="center"/>
    </xf>
    <xf numFmtId="14" fontId="0" fillId="4" borderId="1" xfId="0" applyNumberFormat="1" applyFill="1" applyBorder="1" applyAlignment="1">
      <alignment horizontal="center"/>
    </xf>
    <xf numFmtId="0" fontId="0" fillId="4" borderId="1" xfId="0" applyFill="1" applyBorder="1" applyAlignment="1">
      <alignment horizontal="center"/>
    </xf>
    <xf numFmtId="0" fontId="0" fillId="0" borderId="0" xfId="0" applyFill="1"/>
    <xf numFmtId="0" fontId="0" fillId="0" borderId="0" xfId="0" applyNumberFormat="1" applyFill="1" applyAlignment="1">
      <alignment horizontal="right"/>
    </xf>
    <xf numFmtId="0" fontId="0" fillId="0" borderId="0" xfId="0" applyFill="1" applyAlignment="1">
      <alignment horizontal="right"/>
    </xf>
    <xf numFmtId="0" fontId="0" fillId="0" borderId="0" xfId="0" applyFill="1" applyAlignment="1">
      <alignment horizontal="right" vertical="center"/>
    </xf>
    <xf numFmtId="0" fontId="3" fillId="0" borderId="2" xfId="5" applyFont="1" applyFill="1" applyBorder="1" applyAlignment="1">
      <alignment horizontal="center" vertical="center" wrapText="1"/>
    </xf>
    <xf numFmtId="0" fontId="3" fillId="0" borderId="2" xfId="7" applyNumberFormat="1" applyFont="1" applyFill="1" applyBorder="1" applyAlignment="1">
      <alignment horizontal="right" vertical="center" wrapText="1"/>
    </xf>
    <xf numFmtId="17" fontId="3" fillId="0" borderId="11" xfId="7" applyNumberFormat="1" applyFont="1" applyFill="1" applyBorder="1" applyAlignment="1">
      <alignment horizontal="right" vertical="center" wrapText="1"/>
    </xf>
    <xf numFmtId="0" fontId="0" fillId="0" borderId="1" xfId="0" applyNumberFormat="1" applyFill="1" applyBorder="1" applyAlignment="1">
      <alignment horizontal="right"/>
    </xf>
    <xf numFmtId="169" fontId="0" fillId="0" borderId="1" xfId="0" quotePrefix="1" applyNumberFormat="1" applyFill="1" applyBorder="1"/>
    <xf numFmtId="2" fontId="0" fillId="0" borderId="0" xfId="0" applyNumberFormat="1" applyFill="1"/>
    <xf numFmtId="0" fontId="0" fillId="0" borderId="5" xfId="0" applyFill="1" applyBorder="1" applyAlignment="1">
      <alignment horizontal="center" vertical="center"/>
    </xf>
    <xf numFmtId="10" fontId="34" fillId="0" borderId="0" xfId="9" applyNumberFormat="1" applyFont="1" applyFill="1"/>
    <xf numFmtId="0" fontId="0" fillId="0" borderId="12" xfId="0" applyFill="1" applyBorder="1"/>
    <xf numFmtId="0" fontId="0" fillId="0" borderId="13" xfId="0" applyFill="1" applyBorder="1"/>
    <xf numFmtId="2" fontId="0" fillId="0" borderId="0" xfId="0" applyNumberFormat="1" applyFill="1" applyBorder="1" applyAlignment="1">
      <alignment horizontal="right"/>
    </xf>
    <xf numFmtId="0" fontId="38" fillId="0" borderId="0" xfId="4" applyFont="1" applyFill="1" applyAlignment="1">
      <alignment vertical="center"/>
    </xf>
    <xf numFmtId="0" fontId="34" fillId="0" borderId="0" xfId="4" applyFont="1" applyFill="1" applyAlignment="1">
      <alignment vertical="center"/>
    </xf>
    <xf numFmtId="0" fontId="41" fillId="0" borderId="0" xfId="4" applyFont="1" applyFill="1"/>
    <xf numFmtId="0" fontId="2" fillId="0" borderId="7" xfId="4" applyFont="1" applyFill="1" applyBorder="1" applyAlignment="1">
      <alignment horizontal="center" vertical="center" wrapText="1"/>
    </xf>
    <xf numFmtId="0" fontId="2" fillId="0" borderId="2" xfId="4" applyFont="1" applyFill="1" applyBorder="1" applyAlignment="1">
      <alignment horizontal="center" vertical="center" wrapText="1"/>
    </xf>
    <xf numFmtId="0" fontId="2" fillId="0" borderId="11" xfId="4" applyFont="1" applyFill="1" applyBorder="1" applyAlignment="1">
      <alignment horizontal="center" vertical="center" wrapText="1"/>
    </xf>
    <xf numFmtId="0" fontId="2" fillId="0" borderId="14" xfId="4" applyFont="1" applyFill="1" applyBorder="1" applyAlignment="1">
      <alignment horizontal="center" vertical="center" wrapText="1"/>
    </xf>
    <xf numFmtId="0" fontId="2" fillId="0" borderId="15" xfId="4" applyFont="1" applyFill="1" applyBorder="1" applyAlignment="1">
      <alignment horizontal="center" vertical="center" wrapText="1"/>
    </xf>
    <xf numFmtId="0" fontId="2" fillId="0" borderId="16" xfId="4" applyFont="1" applyFill="1" applyBorder="1" applyAlignment="1">
      <alignment horizontal="center" vertical="center" wrapText="1"/>
    </xf>
    <xf numFmtId="0" fontId="34" fillId="0" borderId="0" xfId="4" applyFont="1" applyFill="1"/>
    <xf numFmtId="0" fontId="2" fillId="0" borderId="8" xfId="4" applyFont="1" applyFill="1" applyBorder="1" applyAlignment="1">
      <alignment horizontal="center" vertical="center" wrapText="1"/>
    </xf>
    <xf numFmtId="0" fontId="2" fillId="0" borderId="1" xfId="4" applyFont="1" applyFill="1" applyBorder="1" applyAlignment="1">
      <alignment horizontal="center" vertical="center" wrapText="1"/>
    </xf>
    <xf numFmtId="0" fontId="2" fillId="0" borderId="17" xfId="4" applyFont="1" applyFill="1" applyBorder="1" applyAlignment="1">
      <alignment horizontal="center" vertical="center" wrapText="1"/>
    </xf>
    <xf numFmtId="0" fontId="2" fillId="0" borderId="18" xfId="4" applyFont="1" applyFill="1" applyBorder="1" applyAlignment="1">
      <alignment horizontal="center" vertical="center" wrapText="1"/>
    </xf>
    <xf numFmtId="0" fontId="2" fillId="0" borderId="19" xfId="4" applyFont="1" applyFill="1" applyBorder="1" applyAlignment="1">
      <alignment horizontal="center" vertical="center" wrapText="1"/>
    </xf>
    <xf numFmtId="0" fontId="2" fillId="0" borderId="20" xfId="4" applyFont="1" applyFill="1" applyBorder="1" applyAlignment="1">
      <alignment horizontal="center" vertical="center" wrapText="1"/>
    </xf>
    <xf numFmtId="0" fontId="6" fillId="0" borderId="21" xfId="4" applyFont="1" applyFill="1" applyBorder="1" applyAlignment="1">
      <alignment horizontal="center" vertical="center" wrapText="1"/>
    </xf>
    <xf numFmtId="0" fontId="6" fillId="0" borderId="9" xfId="4" applyFont="1" applyFill="1" applyBorder="1" applyAlignment="1">
      <alignment horizontal="center" vertical="center" wrapText="1"/>
    </xf>
    <xf numFmtId="0" fontId="6" fillId="0" borderId="10" xfId="4" applyFont="1" applyFill="1" applyBorder="1" applyAlignment="1">
      <alignment horizontal="center" vertical="center" wrapText="1"/>
    </xf>
    <xf numFmtId="0" fontId="6" fillId="0" borderId="22" xfId="4" applyFont="1" applyFill="1" applyBorder="1" applyAlignment="1">
      <alignment horizontal="center" vertical="center" wrapText="1"/>
    </xf>
    <xf numFmtId="0" fontId="6" fillId="0" borderId="23" xfId="4" applyFont="1" applyFill="1" applyBorder="1" applyAlignment="1">
      <alignment horizontal="center" vertical="center" wrapText="1"/>
    </xf>
    <xf numFmtId="0" fontId="6" fillId="0" borderId="24" xfId="4" applyFont="1" applyFill="1" applyBorder="1" applyAlignment="1">
      <alignment horizontal="center" vertical="center" wrapText="1"/>
    </xf>
    <xf numFmtId="17" fontId="2" fillId="0" borderId="14" xfId="4" applyNumberFormat="1" applyFont="1" applyFill="1" applyBorder="1" applyAlignment="1">
      <alignment horizontal="center" vertical="center" wrapText="1"/>
    </xf>
    <xf numFmtId="1" fontId="2" fillId="0" borderId="14" xfId="4" applyNumberFormat="1" applyFont="1" applyFill="1" applyBorder="1" applyAlignment="1">
      <alignment horizontal="center" vertical="center" wrapText="1"/>
    </xf>
    <xf numFmtId="1" fontId="2" fillId="0" borderId="18" xfId="4" applyNumberFormat="1" applyFont="1" applyFill="1" applyBorder="1" applyAlignment="1">
      <alignment horizontal="center" vertical="center" wrapText="1"/>
    </xf>
    <xf numFmtId="1" fontId="2" fillId="0" borderId="25" xfId="4" applyNumberFormat="1" applyFont="1" applyFill="1" applyBorder="1" applyAlignment="1">
      <alignment horizontal="center" vertical="center" wrapText="1"/>
    </xf>
    <xf numFmtId="0" fontId="2" fillId="0" borderId="25" xfId="4" applyFont="1" applyFill="1" applyBorder="1" applyAlignment="1">
      <alignment horizontal="center" vertical="center" wrapText="1"/>
    </xf>
    <xf numFmtId="2" fontId="34" fillId="0" borderId="26" xfId="4" applyNumberFormat="1" applyFont="1" applyFill="1" applyBorder="1"/>
    <xf numFmtId="1" fontId="6" fillId="0" borderId="26" xfId="4" applyNumberFormat="1" applyFont="1" applyFill="1" applyBorder="1" applyAlignment="1">
      <alignment horizontal="center" vertical="center"/>
    </xf>
    <xf numFmtId="0" fontId="34" fillId="0" borderId="0" xfId="4" applyFont="1" applyFill="1" applyAlignment="1">
      <alignment horizontal="right"/>
    </xf>
    <xf numFmtId="3" fontId="34" fillId="0" borderId="0" xfId="4" applyNumberFormat="1" applyFont="1" applyFill="1"/>
    <xf numFmtId="0" fontId="42" fillId="0" borderId="0" xfId="4" applyFont="1" applyFill="1"/>
    <xf numFmtId="10" fontId="42" fillId="0" borderId="0" xfId="4" applyNumberFormat="1" applyFont="1" applyFill="1"/>
    <xf numFmtId="169" fontId="34" fillId="0" borderId="0" xfId="9" applyNumberFormat="1" applyFont="1" applyFill="1"/>
    <xf numFmtId="17" fontId="34" fillId="0" borderId="0" xfId="4" applyNumberFormat="1" applyFont="1" applyFill="1"/>
    <xf numFmtId="0" fontId="1" fillId="0" borderId="17" xfId="0" applyFont="1" applyFill="1" applyBorder="1"/>
    <xf numFmtId="1" fontId="1" fillId="0" borderId="17" xfId="0" applyNumberFormat="1" applyFont="1" applyFill="1" applyBorder="1"/>
    <xf numFmtId="1" fontId="1" fillId="0" borderId="27" xfId="0" applyNumberFormat="1" applyFont="1" applyFill="1" applyBorder="1" applyAlignment="1">
      <alignment vertical="center"/>
    </xf>
    <xf numFmtId="1" fontId="34" fillId="0" borderId="27" xfId="4" applyNumberFormat="1" applyFont="1" applyFill="1" applyBorder="1" applyAlignment="1"/>
    <xf numFmtId="1" fontId="34" fillId="0" borderId="0" xfId="4" applyNumberFormat="1" applyFont="1" applyFill="1"/>
    <xf numFmtId="1" fontId="34" fillId="0" borderId="17" xfId="4" applyNumberFormat="1" applyFont="1" applyFill="1" applyBorder="1" applyAlignment="1">
      <alignment horizontal="right"/>
    </xf>
    <xf numFmtId="169" fontId="38" fillId="0" borderId="17" xfId="9" applyNumberFormat="1" applyFont="1" applyFill="1" applyBorder="1" applyAlignment="1">
      <alignment horizontal="right"/>
    </xf>
    <xf numFmtId="10" fontId="38" fillId="0" borderId="17" xfId="0" applyNumberFormat="1" applyFont="1" applyFill="1" applyBorder="1" applyAlignment="1">
      <alignment horizontal="right" vertical="center"/>
    </xf>
    <xf numFmtId="0" fontId="34" fillId="0" borderId="0" xfId="4" applyNumberFormat="1" applyFont="1" applyFill="1"/>
    <xf numFmtId="10" fontId="41" fillId="0" borderId="17" xfId="9" applyNumberFormat="1" applyFont="1" applyFill="1" applyBorder="1" applyAlignment="1">
      <alignment horizontal="right"/>
    </xf>
    <xf numFmtId="0" fontId="38" fillId="0" borderId="0" xfId="4" applyFont="1" applyFill="1" applyAlignment="1">
      <alignment horizontal="right" wrapText="1"/>
    </xf>
    <xf numFmtId="10" fontId="43" fillId="0" borderId="0" xfId="9" applyNumberFormat="1" applyFont="1" applyFill="1" applyAlignment="1">
      <alignment vertical="center"/>
    </xf>
    <xf numFmtId="10" fontId="34" fillId="0" borderId="0" xfId="4" applyNumberFormat="1" applyFont="1" applyFill="1"/>
    <xf numFmtId="10" fontId="0" fillId="0" borderId="22" xfId="0" applyNumberFormat="1" applyFont="1" applyFill="1" applyBorder="1" applyAlignment="1">
      <alignment horizontal="right"/>
    </xf>
    <xf numFmtId="0" fontId="34" fillId="0" borderId="12" xfId="4" applyFont="1" applyFill="1" applyBorder="1"/>
    <xf numFmtId="14" fontId="34" fillId="0" borderId="28" xfId="4" applyNumberFormat="1" applyFont="1" applyFill="1" applyBorder="1"/>
    <xf numFmtId="14" fontId="34" fillId="0" borderId="29" xfId="4" applyNumberFormat="1" applyFont="1" applyFill="1" applyBorder="1"/>
    <xf numFmtId="0" fontId="38" fillId="0" borderId="30" xfId="4" applyFont="1" applyFill="1" applyBorder="1"/>
    <xf numFmtId="0" fontId="34" fillId="0" borderId="30" xfId="4" applyFont="1" applyFill="1" applyBorder="1"/>
    <xf numFmtId="165" fontId="0" fillId="0" borderId="30" xfId="0" applyNumberFormat="1" applyFont="1" applyFill="1" applyBorder="1"/>
    <xf numFmtId="0" fontId="0" fillId="0" borderId="0" xfId="0" applyFill="1" applyBorder="1"/>
    <xf numFmtId="0" fontId="3" fillId="0" borderId="2" xfId="7" applyNumberFormat="1" applyFont="1" applyFill="1" applyBorder="1" applyAlignment="1">
      <alignment horizontal="center" vertical="center" wrapText="1"/>
    </xf>
    <xf numFmtId="0" fontId="4" fillId="0" borderId="31" xfId="8" applyFont="1" applyFill="1" applyBorder="1" applyAlignment="1">
      <alignment horizontal="center" vertical="center" wrapText="1"/>
    </xf>
    <xf numFmtId="0" fontId="4" fillId="0" borderId="31" xfId="6" applyFont="1" applyFill="1" applyBorder="1" applyAlignment="1">
      <alignment horizontal="center" vertical="center" wrapText="1"/>
    </xf>
    <xf numFmtId="0" fontId="0" fillId="0" borderId="32" xfId="0" applyFill="1" applyBorder="1" applyAlignment="1">
      <alignment horizontal="center" vertical="center"/>
    </xf>
    <xf numFmtId="0" fontId="3" fillId="0" borderId="33" xfId="7" applyNumberFormat="1" applyFont="1" applyFill="1" applyBorder="1" applyAlignment="1">
      <alignment horizontal="right" vertical="center" wrapText="1"/>
    </xf>
    <xf numFmtId="0" fontId="3" fillId="0" borderId="34" xfId="7" applyFont="1" applyFill="1" applyBorder="1" applyAlignment="1">
      <alignment horizontal="right" vertical="center" wrapText="1"/>
    </xf>
    <xf numFmtId="0" fontId="3" fillId="0" borderId="27" xfId="7" applyFont="1" applyFill="1" applyBorder="1" applyAlignment="1">
      <alignment horizontal="right" vertical="center" wrapText="1"/>
    </xf>
    <xf numFmtId="2" fontId="2" fillId="0" borderId="1" xfId="0" applyNumberFormat="1" applyFont="1" applyFill="1" applyBorder="1" applyAlignment="1">
      <alignment horizontal="center" vertical="center"/>
    </xf>
    <xf numFmtId="1" fontId="2" fillId="0" borderId="21" xfId="4" applyNumberFormat="1" applyFont="1" applyFill="1" applyBorder="1" applyAlignment="1">
      <alignment horizontal="center" vertical="center" wrapText="1"/>
    </xf>
    <xf numFmtId="0" fontId="2" fillId="0" borderId="21" xfId="4" applyFont="1" applyFill="1" applyBorder="1" applyAlignment="1">
      <alignment horizontal="center" vertical="center" wrapText="1"/>
    </xf>
    <xf numFmtId="166" fontId="2" fillId="0" borderId="35" xfId="4" applyNumberFormat="1" applyFont="1" applyFill="1" applyBorder="1" applyAlignment="1">
      <alignment horizontal="center" vertical="center"/>
    </xf>
    <xf numFmtId="2" fontId="34" fillId="0" borderId="26" xfId="4" applyNumberFormat="1" applyFont="1" applyFill="1" applyBorder="1" applyAlignment="1">
      <alignment horizontal="center"/>
    </xf>
    <xf numFmtId="166" fontId="2" fillId="0" borderId="36" xfId="4" applyNumberFormat="1" applyFont="1" applyFill="1" applyBorder="1" applyAlignment="1">
      <alignment horizontal="center" vertical="center"/>
    </xf>
    <xf numFmtId="1" fontId="2" fillId="0" borderId="16" xfId="4" applyNumberFormat="1" applyFont="1" applyFill="1" applyBorder="1" applyAlignment="1">
      <alignment horizontal="center" vertical="center" wrapText="1"/>
    </xf>
    <xf numFmtId="1" fontId="2" fillId="0" borderId="20" xfId="4" applyNumberFormat="1" applyFont="1" applyFill="1" applyBorder="1" applyAlignment="1">
      <alignment horizontal="center" vertical="center" wrapText="1"/>
    </xf>
    <xf numFmtId="1" fontId="2" fillId="0" borderId="37" xfId="4" applyNumberFormat="1" applyFont="1" applyFill="1" applyBorder="1" applyAlignment="1">
      <alignment horizontal="center" vertical="center" wrapText="1"/>
    </xf>
    <xf numFmtId="0" fontId="1" fillId="4" borderId="11" xfId="0" applyFont="1" applyFill="1" applyBorder="1"/>
    <xf numFmtId="2" fontId="2" fillId="5" borderId="1" xfId="0" applyNumberFormat="1" applyFont="1" applyFill="1" applyBorder="1" applyAlignment="1">
      <alignment horizontal="center" vertical="center"/>
    </xf>
    <xf numFmtId="1" fontId="2" fillId="5" borderId="1" xfId="0" applyNumberFormat="1" applyFont="1" applyFill="1" applyBorder="1" applyAlignment="1">
      <alignment horizontal="center" vertical="center"/>
    </xf>
    <xf numFmtId="2" fontId="2" fillId="4" borderId="1" xfId="0" applyNumberFormat="1" applyFont="1" applyFill="1" applyBorder="1" applyAlignment="1">
      <alignment horizontal="center" vertical="center"/>
    </xf>
    <xf numFmtId="0" fontId="18" fillId="0" borderId="5" xfId="0" applyFont="1" applyFill="1" applyBorder="1" applyAlignment="1">
      <alignment horizontal="center" vertical="center" wrapText="1"/>
    </xf>
    <xf numFmtId="0" fontId="19" fillId="0" borderId="0" xfId="0" applyFont="1" applyFill="1"/>
    <xf numFmtId="0" fontId="19" fillId="0" borderId="0" xfId="0" applyFont="1" applyFill="1" applyAlignment="1">
      <alignment vertical="center" wrapText="1"/>
    </xf>
    <xf numFmtId="14" fontId="20"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20" fillId="0" borderId="1" xfId="0" applyFont="1" applyFill="1" applyBorder="1" applyAlignment="1">
      <alignment horizontal="center"/>
    </xf>
    <xf numFmtId="0" fontId="21" fillId="0" borderId="1" xfId="0" applyFont="1" applyBorder="1" applyAlignment="1">
      <alignment horizontal="left" indent="1"/>
    </xf>
    <xf numFmtId="0" fontId="22" fillId="0" borderId="1" xfId="0" applyFont="1" applyFill="1" applyBorder="1" applyAlignment="1">
      <alignment horizontal="center" vertical="center"/>
    </xf>
    <xf numFmtId="1" fontId="23" fillId="0" borderId="1" xfId="0" applyNumberFormat="1" applyFont="1" applyFill="1" applyBorder="1" applyAlignment="1">
      <alignment horizontal="center"/>
    </xf>
    <xf numFmtId="1" fontId="22" fillId="0" borderId="1" xfId="0" applyNumberFormat="1" applyFont="1" applyFill="1" applyBorder="1" applyAlignment="1">
      <alignment horizontal="center"/>
    </xf>
    <xf numFmtId="1" fontId="0" fillId="0" borderId="0" xfId="0" applyNumberFormat="1" applyFill="1"/>
    <xf numFmtId="1" fontId="0" fillId="0" borderId="0" xfId="0" applyNumberFormat="1" applyFill="1" applyBorder="1" applyAlignment="1">
      <alignment horizontal="right"/>
    </xf>
    <xf numFmtId="0" fontId="21" fillId="0" borderId="1" xfId="0" applyFont="1" applyBorder="1" applyAlignment="1">
      <alignment horizontal="left" wrapText="1" indent="1"/>
    </xf>
    <xf numFmtId="0" fontId="21" fillId="0" borderId="1" xfId="0" applyFont="1" applyFill="1" applyBorder="1" applyAlignment="1">
      <alignment horizontal="left" indent="1"/>
    </xf>
    <xf numFmtId="1" fontId="22" fillId="0" borderId="1" xfId="0" applyNumberFormat="1" applyFont="1" applyFill="1" applyBorder="1" applyAlignment="1">
      <alignment horizontal="center" vertical="center"/>
    </xf>
    <xf numFmtId="1" fontId="22" fillId="6" borderId="1" xfId="0" applyNumberFormat="1" applyFont="1" applyFill="1" applyBorder="1" applyAlignment="1">
      <alignment horizontal="center" vertical="center"/>
    </xf>
    <xf numFmtId="0" fontId="20" fillId="0" borderId="1" xfId="0" applyFont="1" applyFill="1" applyBorder="1" applyAlignment="1">
      <alignment horizontal="center" vertical="center"/>
    </xf>
    <xf numFmtId="0" fontId="21" fillId="0" borderId="1" xfId="0" applyFont="1" applyBorder="1" applyAlignment="1">
      <alignment horizontal="left" vertical="center" wrapText="1" indent="1"/>
    </xf>
    <xf numFmtId="0" fontId="0" fillId="0" borderId="0" xfId="0" applyFill="1" applyAlignment="1">
      <alignment vertical="center"/>
    </xf>
    <xf numFmtId="1" fontId="0" fillId="0" borderId="0" xfId="0" applyNumberFormat="1" applyFill="1" applyBorder="1" applyAlignment="1">
      <alignment horizontal="right" vertical="center"/>
    </xf>
    <xf numFmtId="0" fontId="2" fillId="0" borderId="1" xfId="0" applyFont="1" applyFill="1" applyBorder="1" applyAlignment="1">
      <alignment horizontal="left" vertical="center" indent="1"/>
    </xf>
    <xf numFmtId="0" fontId="2"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25" fillId="2" borderId="1" xfId="0" applyFont="1" applyFill="1" applyBorder="1" applyAlignment="1">
      <alignment horizontal="center" vertical="center"/>
    </xf>
    <xf numFmtId="1" fontId="25" fillId="2" borderId="1" xfId="0" applyNumberFormat="1" applyFont="1" applyFill="1" applyBorder="1" applyAlignment="1">
      <alignment horizontal="center" vertical="center"/>
    </xf>
    <xf numFmtId="0" fontId="2" fillId="0" borderId="0" xfId="0" applyFont="1" applyFill="1"/>
    <xf numFmtId="0" fontId="0" fillId="2" borderId="1" xfId="0" applyFill="1" applyBorder="1" applyAlignment="1">
      <alignment horizontal="center"/>
    </xf>
    <xf numFmtId="1" fontId="0" fillId="2" borderId="1" xfId="0" applyNumberFormat="1" applyFill="1" applyBorder="1" applyAlignment="1">
      <alignment horizontal="center"/>
    </xf>
    <xf numFmtId="1" fontId="2" fillId="0" borderId="0" xfId="0" applyNumberFormat="1" applyFont="1" applyFill="1" applyBorder="1" applyAlignment="1">
      <alignment horizontal="right"/>
    </xf>
    <xf numFmtId="0" fontId="20" fillId="0" borderId="0" xfId="0" applyFont="1" applyFill="1" applyBorder="1" applyAlignment="1">
      <alignment horizontal="center"/>
    </xf>
    <xf numFmtId="0" fontId="14" fillId="0" borderId="0" xfId="0" applyFont="1" applyFill="1" applyBorder="1" applyAlignment="1">
      <alignment horizontal="left" indent="1"/>
    </xf>
    <xf numFmtId="1" fontId="26" fillId="0" borderId="0" xfId="0" applyNumberFormat="1" applyFont="1" applyFill="1" applyBorder="1" applyAlignment="1">
      <alignment horizontal="right"/>
    </xf>
    <xf numFmtId="0" fontId="2" fillId="2" borderId="1" xfId="0" applyFont="1" applyFill="1" applyBorder="1"/>
    <xf numFmtId="1" fontId="2" fillId="2" borderId="1" xfId="0" applyNumberFormat="1" applyFont="1" applyFill="1" applyBorder="1" applyAlignment="1">
      <alignment horizontal="center"/>
    </xf>
    <xf numFmtId="0" fontId="0" fillId="2" borderId="1" xfId="0" applyFill="1" applyBorder="1"/>
    <xf numFmtId="0" fontId="0" fillId="0" borderId="0" xfId="0" applyFill="1" applyBorder="1" applyAlignment="1">
      <alignment horizontal="right"/>
    </xf>
    <xf numFmtId="1" fontId="0" fillId="0" borderId="0" xfId="0" applyNumberFormat="1" applyFill="1" applyBorder="1"/>
    <xf numFmtId="0" fontId="0" fillId="0" borderId="1" xfId="0" applyFill="1" applyBorder="1"/>
    <xf numFmtId="0" fontId="0" fillId="0" borderId="1" xfId="0" applyFill="1" applyBorder="1" applyAlignment="1">
      <alignment horizontal="right"/>
    </xf>
    <xf numFmtId="0" fontId="6" fillId="0" borderId="0" xfId="0" applyFont="1" applyBorder="1" applyAlignment="1">
      <alignment horizontal="left" indent="1"/>
    </xf>
    <xf numFmtId="0" fontId="0" fillId="0" borderId="0" xfId="0" applyFill="1" applyAlignment="1">
      <alignment horizontal="center"/>
    </xf>
    <xf numFmtId="0" fontId="16" fillId="0" borderId="0" xfId="0" applyFont="1" applyFill="1" applyAlignment="1">
      <alignment vertical="center"/>
    </xf>
    <xf numFmtId="1" fontId="0" fillId="7" borderId="1" xfId="0" applyNumberFormat="1" applyFill="1" applyBorder="1" applyAlignment="1">
      <alignment horizontal="center"/>
    </xf>
    <xf numFmtId="1" fontId="0" fillId="0" borderId="1" xfId="0" applyNumberFormat="1" applyFill="1" applyBorder="1" applyAlignment="1">
      <alignment horizontal="center"/>
    </xf>
    <xf numFmtId="1" fontId="0" fillId="0" borderId="0" xfId="0" applyNumberFormat="1" applyFill="1" applyAlignment="1">
      <alignment horizontal="right"/>
    </xf>
    <xf numFmtId="0" fontId="19" fillId="0" borderId="0" xfId="0" applyFont="1" applyFill="1" applyAlignment="1">
      <alignment horizontal="center" vertical="center" wrapText="1"/>
    </xf>
    <xf numFmtId="0" fontId="4" fillId="0" borderId="1" xfId="0" applyFont="1" applyFill="1" applyBorder="1" applyAlignment="1">
      <alignment vertical="center" wrapText="1"/>
    </xf>
    <xf numFmtId="1" fontId="26" fillId="0" borderId="1" xfId="0" applyNumberFormat="1" applyFont="1" applyFill="1" applyBorder="1" applyAlignment="1">
      <alignment horizontal="center"/>
    </xf>
    <xf numFmtId="1" fontId="26" fillId="0" borderId="3" xfId="0" applyNumberFormat="1" applyFont="1" applyFill="1" applyBorder="1" applyAlignment="1">
      <alignment horizontal="center"/>
    </xf>
    <xf numFmtId="0" fontId="0" fillId="0" borderId="1" xfId="0" applyFill="1" applyBorder="1" applyAlignment="1">
      <alignment horizontal="center"/>
    </xf>
    <xf numFmtId="0" fontId="0" fillId="3" borderId="1" xfId="0" applyFill="1" applyBorder="1" applyAlignment="1">
      <alignment horizontal="center"/>
    </xf>
    <xf numFmtId="1" fontId="0" fillId="3" borderId="1" xfId="0" applyNumberFormat="1" applyFill="1" applyBorder="1" applyAlignment="1">
      <alignment horizontal="right"/>
    </xf>
    <xf numFmtId="2" fontId="27" fillId="0" borderId="0" xfId="0" applyNumberFormat="1" applyFont="1" applyFill="1" applyAlignment="1">
      <alignment horizontal="center" vertical="center"/>
    </xf>
    <xf numFmtId="1" fontId="28" fillId="0" borderId="1" xfId="0" applyNumberFormat="1" applyFont="1" applyFill="1" applyBorder="1" applyAlignment="1">
      <alignment horizontal="center"/>
    </xf>
    <xf numFmtId="0" fontId="0" fillId="3" borderId="1" xfId="0" applyFill="1" applyBorder="1"/>
    <xf numFmtId="0" fontId="0" fillId="3" borderId="1" xfId="0" applyFill="1" applyBorder="1" applyAlignment="1">
      <alignment horizontal="right"/>
    </xf>
    <xf numFmtId="1" fontId="0" fillId="6" borderId="1" xfId="0" applyNumberFormat="1" applyFill="1" applyBorder="1" applyAlignment="1">
      <alignment horizontal="center"/>
    </xf>
    <xf numFmtId="0" fontId="2" fillId="0" borderId="1" xfId="0" applyFont="1" applyBorder="1" applyAlignment="1">
      <alignment vertical="center"/>
    </xf>
    <xf numFmtId="0" fontId="4" fillId="0" borderId="1" xfId="0" applyFont="1" applyBorder="1" applyAlignment="1">
      <alignment vertical="center" wrapText="1"/>
    </xf>
    <xf numFmtId="0" fontId="0" fillId="6" borderId="1" xfId="0" applyFill="1" applyBorder="1" applyAlignment="1">
      <alignment horizontal="center"/>
    </xf>
    <xf numFmtId="0" fontId="2" fillId="0" borderId="1" xfId="0" applyFont="1" applyBorder="1" applyAlignment="1">
      <alignmen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xf>
    <xf numFmtId="0" fontId="6" fillId="0" borderId="0" xfId="0" applyFont="1" applyFill="1"/>
    <xf numFmtId="0" fontId="7" fillId="0" borderId="0" xfId="0" applyFont="1" applyAlignment="1" applyProtection="1">
      <alignment wrapText="1"/>
      <protection locked="0"/>
    </xf>
    <xf numFmtId="0" fontId="2" fillId="0" borderId="1" xfId="0" applyFont="1" applyFill="1" applyBorder="1" applyAlignment="1">
      <alignment vertical="center"/>
    </xf>
    <xf numFmtId="0" fontId="0" fillId="0" borderId="1" xfId="0" applyFill="1" applyBorder="1" applyAlignment="1">
      <alignment wrapText="1"/>
    </xf>
    <xf numFmtId="0" fontId="2" fillId="6" borderId="1" xfId="0" applyFont="1" applyFill="1" applyBorder="1" applyAlignment="1">
      <alignment vertical="center"/>
    </xf>
    <xf numFmtId="0" fontId="0" fillId="0" borderId="1" xfId="0" applyFill="1" applyBorder="1" applyAlignment="1">
      <alignment vertical="center" wrapText="1"/>
    </xf>
    <xf numFmtId="0" fontId="0" fillId="0" borderId="1" xfId="0" applyFill="1" applyBorder="1" applyAlignment="1">
      <alignment horizontal="center" vertical="center"/>
    </xf>
    <xf numFmtId="1" fontId="0" fillId="0" borderId="0" xfId="0" applyNumberFormat="1" applyFill="1" applyAlignment="1">
      <alignment vertical="center"/>
    </xf>
    <xf numFmtId="0" fontId="2" fillId="0" borderId="38" xfId="0" applyFont="1" applyBorder="1" applyAlignment="1">
      <alignment vertical="center" wrapText="1"/>
    </xf>
    <xf numFmtId="0" fontId="44" fillId="0" borderId="1" xfId="0" applyFont="1" applyFill="1" applyBorder="1" applyAlignment="1">
      <alignment vertical="center"/>
    </xf>
    <xf numFmtId="0" fontId="44" fillId="0" borderId="1" xfId="0" applyFont="1" applyFill="1" applyBorder="1" applyAlignment="1">
      <alignment horizontal="center" vertical="center"/>
    </xf>
    <xf numFmtId="0" fontId="7" fillId="0" borderId="1" xfId="0" applyFont="1" applyFill="1" applyBorder="1" applyAlignment="1"/>
    <xf numFmtId="0" fontId="24" fillId="0" borderId="1" xfId="0" applyFont="1" applyFill="1" applyBorder="1" applyAlignment="1">
      <alignment vertical="center" wrapText="1"/>
    </xf>
    <xf numFmtId="0" fontId="0" fillId="0" borderId="0" xfId="0" applyFill="1" applyAlignment="1"/>
    <xf numFmtId="0" fontId="0" fillId="8" borderId="39" xfId="0" applyFill="1" applyBorder="1" applyAlignment="1">
      <alignment horizontal="center"/>
    </xf>
    <xf numFmtId="1" fontId="0" fillId="8" borderId="39" xfId="0" applyNumberFormat="1" applyFill="1" applyBorder="1" applyAlignment="1">
      <alignment horizontal="center"/>
    </xf>
    <xf numFmtId="0" fontId="2" fillId="0" borderId="0" xfId="0" applyFont="1" applyBorder="1" applyAlignment="1">
      <alignment vertical="center"/>
    </xf>
    <xf numFmtId="1" fontId="0" fillId="0" borderId="0" xfId="0" applyNumberFormat="1" applyFill="1" applyAlignment="1">
      <alignment horizontal="center"/>
    </xf>
    <xf numFmtId="0" fontId="45" fillId="0" borderId="63" xfId="0" applyFont="1" applyBorder="1" applyAlignment="1">
      <alignment horizontal="center" wrapText="1"/>
    </xf>
    <xf numFmtId="0" fontId="0" fillId="9" borderId="0" xfId="0" applyFill="1"/>
    <xf numFmtId="0" fontId="0" fillId="0" borderId="63" xfId="0" applyBorder="1" applyAlignment="1">
      <alignment horizontal="center" wrapText="1"/>
    </xf>
    <xf numFmtId="3" fontId="0" fillId="0" borderId="63" xfId="0" applyNumberFormat="1" applyBorder="1" applyAlignment="1">
      <alignment horizontal="center" wrapText="1"/>
    </xf>
    <xf numFmtId="46" fontId="0" fillId="0" borderId="63" xfId="0" applyNumberFormat="1" applyBorder="1" applyAlignment="1">
      <alignment horizontal="center" wrapText="1"/>
    </xf>
    <xf numFmtId="20" fontId="0" fillId="0" borderId="63" xfId="0" applyNumberFormat="1" applyBorder="1" applyAlignment="1">
      <alignment horizontal="center" wrapText="1"/>
    </xf>
    <xf numFmtId="3" fontId="45" fillId="0" borderId="63" xfId="0" applyNumberFormat="1" applyFont="1" applyBorder="1" applyAlignment="1">
      <alignment horizontal="center" wrapText="1"/>
    </xf>
    <xf numFmtId="46" fontId="45" fillId="0" borderId="63" xfId="0" applyNumberFormat="1" applyFont="1" applyBorder="1" applyAlignment="1">
      <alignment horizontal="center" wrapText="1"/>
    </xf>
    <xf numFmtId="20" fontId="45" fillId="0" borderId="63" xfId="0" applyNumberFormat="1" applyFont="1" applyBorder="1" applyAlignment="1">
      <alignment horizontal="center" wrapText="1"/>
    </xf>
    <xf numFmtId="0" fontId="0" fillId="10" borderId="63" xfId="0" applyFill="1" applyBorder="1" applyAlignment="1">
      <alignment horizontal="center" wrapText="1"/>
    </xf>
    <xf numFmtId="0" fontId="0" fillId="11" borderId="63" xfId="0" applyFill="1" applyBorder="1" applyAlignment="1">
      <alignment horizontal="center" wrapText="1"/>
    </xf>
    <xf numFmtId="0" fontId="0" fillId="12" borderId="63" xfId="0" applyFill="1" applyBorder="1" applyAlignment="1">
      <alignment horizontal="center" wrapText="1"/>
    </xf>
    <xf numFmtId="0" fontId="0" fillId="13" borderId="63" xfId="0" applyFill="1" applyBorder="1" applyAlignment="1">
      <alignment horizontal="center" wrapText="1"/>
    </xf>
    <xf numFmtId="1" fontId="22" fillId="4" borderId="1" xfId="0" applyNumberFormat="1" applyFont="1" applyFill="1" applyBorder="1" applyAlignment="1">
      <alignment horizontal="center" vertical="center"/>
    </xf>
    <xf numFmtId="1" fontId="22" fillId="4" borderId="1" xfId="0" applyNumberFormat="1" applyFont="1" applyFill="1" applyBorder="1" applyAlignment="1">
      <alignment horizontal="center"/>
    </xf>
    <xf numFmtId="0" fontId="0" fillId="6" borderId="63" xfId="0" applyFill="1" applyBorder="1" applyAlignment="1">
      <alignment horizontal="center" wrapText="1"/>
    </xf>
    <xf numFmtId="0" fontId="0" fillId="14" borderId="63" xfId="0" applyFill="1" applyBorder="1" applyAlignment="1">
      <alignment horizontal="center" wrapText="1"/>
    </xf>
    <xf numFmtId="0" fontId="38" fillId="0" borderId="1" xfId="0" applyFont="1" applyFill="1" applyBorder="1" applyAlignment="1">
      <alignment horizontal="center"/>
    </xf>
    <xf numFmtId="0" fontId="0" fillId="0" borderId="1" xfId="0" applyFont="1" applyFill="1" applyBorder="1" applyAlignment="1">
      <alignment horizontal="center"/>
    </xf>
    <xf numFmtId="1" fontId="2" fillId="4" borderId="24" xfId="4" applyNumberFormat="1" applyFont="1" applyFill="1" applyBorder="1" applyAlignment="1">
      <alignment horizontal="center" vertical="center" wrapText="1"/>
    </xf>
    <xf numFmtId="168" fontId="0" fillId="0" borderId="0" xfId="0" applyNumberFormat="1" applyFill="1" applyAlignment="1">
      <alignment horizontal="right"/>
    </xf>
    <xf numFmtId="2" fontId="2" fillId="0" borderId="14" xfId="4" applyNumberFormat="1" applyFont="1" applyFill="1" applyBorder="1" applyAlignment="1">
      <alignment horizontal="center" vertical="center" wrapText="1"/>
    </xf>
    <xf numFmtId="2" fontId="2" fillId="0" borderId="18" xfId="4" applyNumberFormat="1" applyFont="1" applyFill="1" applyBorder="1" applyAlignment="1">
      <alignment horizontal="center" vertical="center" wrapText="1"/>
    </xf>
    <xf numFmtId="2" fontId="2" fillId="0" borderId="21" xfId="4" applyNumberFormat="1" applyFont="1" applyFill="1" applyBorder="1" applyAlignment="1">
      <alignment horizontal="center" vertical="center" wrapText="1"/>
    </xf>
    <xf numFmtId="2" fontId="0" fillId="0" borderId="1" xfId="0" applyNumberFormat="1" applyFont="1" applyFill="1" applyBorder="1" applyAlignment="1">
      <alignment horizontal="center" vertical="center"/>
    </xf>
    <xf numFmtId="2" fontId="0" fillId="5" borderId="1" xfId="0" applyNumberFormat="1" applyFill="1" applyBorder="1" applyAlignment="1">
      <alignment horizontal="center" vertical="center"/>
    </xf>
    <xf numFmtId="2" fontId="0" fillId="0" borderId="1" xfId="0" applyNumberFormat="1" applyFill="1" applyBorder="1" applyAlignment="1">
      <alignment horizontal="center" vertical="center"/>
    </xf>
    <xf numFmtId="2" fontId="2" fillId="0" borderId="15" xfId="4" applyNumberFormat="1" applyFont="1" applyFill="1" applyBorder="1" applyAlignment="1">
      <alignment horizontal="center" vertical="center" wrapText="1"/>
    </xf>
    <xf numFmtId="2" fontId="2" fillId="0" borderId="19" xfId="4" applyNumberFormat="1" applyFont="1" applyFill="1" applyBorder="1" applyAlignment="1">
      <alignment horizontal="center" vertical="center" wrapText="1"/>
    </xf>
    <xf numFmtId="166" fontId="6" fillId="0" borderId="40" xfId="4" applyNumberFormat="1" applyFont="1" applyFill="1" applyBorder="1" applyAlignment="1">
      <alignment horizontal="center" vertical="center"/>
    </xf>
    <xf numFmtId="17" fontId="2" fillId="0" borderId="18" xfId="4" applyNumberFormat="1" applyFont="1" applyFill="1" applyBorder="1" applyAlignment="1">
      <alignment horizontal="center" vertical="center" wrapText="1"/>
    </xf>
    <xf numFmtId="17" fontId="2" fillId="0" borderId="21" xfId="4" applyNumberFormat="1" applyFont="1" applyFill="1" applyBorder="1" applyAlignment="1">
      <alignment horizontal="center" vertical="center" wrapText="1"/>
    </xf>
    <xf numFmtId="2" fontId="34" fillId="0" borderId="0" xfId="4" applyNumberFormat="1" applyFont="1" applyFill="1" applyBorder="1" applyAlignment="1">
      <alignment horizontal="center"/>
    </xf>
    <xf numFmtId="1" fontId="2" fillId="0" borderId="1" xfId="0" applyNumberFormat="1" applyFont="1" applyFill="1" applyBorder="1" applyAlignment="1">
      <alignment horizontal="center" vertical="center"/>
    </xf>
    <xf numFmtId="1" fontId="0" fillId="0" borderId="17" xfId="0" applyNumberFormat="1" applyFill="1" applyBorder="1" applyAlignment="1">
      <alignment vertical="center"/>
    </xf>
    <xf numFmtId="0" fontId="39" fillId="0" borderId="10" xfId="0" applyFont="1" applyFill="1" applyBorder="1" applyAlignment="1">
      <alignment horizontal="center" vertical="center" wrapText="1"/>
    </xf>
    <xf numFmtId="0" fontId="40" fillId="0" borderId="10" xfId="5" applyFont="1" applyFill="1" applyBorder="1" applyAlignment="1">
      <alignment horizontal="center" vertical="center"/>
    </xf>
    <xf numFmtId="0" fontId="4" fillId="0" borderId="10" xfId="8" applyNumberFormat="1" applyFont="1" applyFill="1" applyBorder="1" applyAlignment="1">
      <alignment horizontal="center" vertical="center" wrapText="1"/>
    </xf>
    <xf numFmtId="0" fontId="4" fillId="0" borderId="41" xfId="8" applyNumberFormat="1" applyFont="1" applyFill="1" applyBorder="1" applyAlignment="1">
      <alignment horizontal="center" vertical="center" wrapText="1"/>
    </xf>
    <xf numFmtId="2" fontId="2" fillId="0" borderId="10" xfId="0" applyNumberFormat="1" applyFont="1" applyFill="1" applyBorder="1" applyAlignment="1">
      <alignment horizontal="center" vertical="center"/>
    </xf>
    <xf numFmtId="2" fontId="0" fillId="0" borderId="10" xfId="0" applyNumberFormat="1" applyFill="1" applyBorder="1" applyAlignment="1">
      <alignment horizontal="center" vertical="center"/>
    </xf>
    <xf numFmtId="2" fontId="0" fillId="0" borderId="42" xfId="0" applyNumberFormat="1" applyFill="1" applyBorder="1" applyAlignment="1">
      <alignment horizontal="center" vertical="center"/>
    </xf>
    <xf numFmtId="2" fontId="0" fillId="0" borderId="43" xfId="0" applyNumberFormat="1" applyFill="1" applyBorder="1" applyAlignment="1">
      <alignment horizontal="center" vertical="center"/>
    </xf>
    <xf numFmtId="2" fontId="2" fillId="5" borderId="10" xfId="0" applyNumberFormat="1" applyFont="1" applyFill="1" applyBorder="1" applyAlignment="1">
      <alignment horizontal="center" vertical="center"/>
    </xf>
    <xf numFmtId="2" fontId="0" fillId="5" borderId="10" xfId="0" applyNumberFormat="1" applyFill="1" applyBorder="1" applyAlignment="1">
      <alignment horizontal="center" vertical="center"/>
    </xf>
    <xf numFmtId="1" fontId="2" fillId="5" borderId="10" xfId="0" applyNumberFormat="1" applyFont="1" applyFill="1" applyBorder="1" applyAlignment="1">
      <alignment horizontal="center" vertical="center"/>
    </xf>
    <xf numFmtId="2" fontId="2" fillId="4" borderId="10" xfId="0" applyNumberFormat="1" applyFont="1" applyFill="1" applyBorder="1" applyAlignment="1">
      <alignment horizontal="center" vertical="center"/>
    </xf>
    <xf numFmtId="0" fontId="3" fillId="0" borderId="33" xfId="5" applyFont="1" applyFill="1" applyBorder="1" applyAlignment="1">
      <alignment horizontal="center" vertical="center" wrapText="1"/>
    </xf>
    <xf numFmtId="2" fontId="0" fillId="0" borderId="10" xfId="0" applyNumberFormat="1" applyFont="1" applyFill="1" applyBorder="1" applyAlignment="1">
      <alignment horizontal="center" vertical="center"/>
    </xf>
    <xf numFmtId="0" fontId="31" fillId="15" borderId="26" xfId="0" applyFont="1" applyFill="1" applyBorder="1" applyAlignment="1">
      <alignment vertical="center" wrapText="1"/>
    </xf>
    <xf numFmtId="0" fontId="46" fillId="0" borderId="44" xfId="0" applyFont="1" applyBorder="1" applyAlignment="1">
      <alignment horizontal="justify" vertical="center" wrapText="1"/>
    </xf>
    <xf numFmtId="0" fontId="7" fillId="15" borderId="40" xfId="0" applyFont="1" applyFill="1" applyBorder="1" applyAlignment="1">
      <alignment vertical="center" wrapText="1"/>
    </xf>
    <xf numFmtId="0" fontId="47" fillId="0" borderId="45" xfId="0" applyFont="1" applyBorder="1" applyAlignment="1">
      <alignment horizontal="justify" vertical="center" wrapText="1"/>
    </xf>
    <xf numFmtId="0" fontId="7" fillId="15" borderId="46" xfId="0" applyFont="1" applyFill="1" applyBorder="1" applyAlignment="1">
      <alignment vertical="center" wrapText="1"/>
    </xf>
    <xf numFmtId="0" fontId="47" fillId="0" borderId="47" xfId="0" applyFont="1" applyBorder="1" applyAlignment="1">
      <alignment horizontal="justify" vertical="center" wrapText="1"/>
    </xf>
    <xf numFmtId="0" fontId="47" fillId="0" borderId="47" xfId="0" applyFont="1" applyBorder="1" applyAlignment="1">
      <alignment horizontal="center" vertical="center" wrapText="1"/>
    </xf>
    <xf numFmtId="0" fontId="47" fillId="0" borderId="45" xfId="0" applyFont="1" applyBorder="1" applyAlignment="1">
      <alignment horizontal="left" vertical="center" wrapText="1"/>
    </xf>
    <xf numFmtId="0" fontId="46" fillId="0" borderId="45" xfId="0" applyFont="1" applyBorder="1" applyAlignment="1">
      <alignment horizontal="justify" vertical="center" wrapText="1"/>
    </xf>
    <xf numFmtId="0" fontId="48" fillId="0" borderId="45" xfId="0" applyFont="1" applyBorder="1" applyAlignment="1">
      <alignment vertical="center" wrapText="1"/>
    </xf>
    <xf numFmtId="0" fontId="46" fillId="0" borderId="47" xfId="0" applyFont="1" applyBorder="1" applyAlignment="1">
      <alignment horizontal="justify" vertical="center" wrapText="1"/>
    </xf>
    <xf numFmtId="0" fontId="46" fillId="0" borderId="45" xfId="0" applyFont="1" applyBorder="1" applyAlignment="1">
      <alignment vertical="center" wrapText="1"/>
    </xf>
    <xf numFmtId="0" fontId="7" fillId="0" borderId="0" xfId="0" applyFont="1" applyAlignment="1">
      <alignment vertical="center"/>
    </xf>
    <xf numFmtId="0" fontId="49" fillId="15" borderId="26" xfId="0" applyFont="1" applyFill="1" applyBorder="1" applyAlignment="1">
      <alignment horizontal="justify" vertical="center" wrapText="1"/>
    </xf>
    <xf numFmtId="0" fontId="49" fillId="0" borderId="44" xfId="0" applyFont="1" applyBorder="1" applyAlignment="1">
      <alignment horizontal="justify" vertical="center" wrapText="1"/>
    </xf>
    <xf numFmtId="0" fontId="49" fillId="15" borderId="40" xfId="0" applyFont="1" applyFill="1" applyBorder="1" applyAlignment="1">
      <alignment horizontal="justify" vertical="center" wrapText="1"/>
    </xf>
    <xf numFmtId="0" fontId="46" fillId="15" borderId="40" xfId="0" applyFont="1" applyFill="1" applyBorder="1" applyAlignment="1">
      <alignment horizontal="justify" vertical="center" wrapText="1"/>
    </xf>
    <xf numFmtId="0" fontId="46" fillId="15" borderId="46" xfId="0" applyFont="1" applyFill="1" applyBorder="1" applyAlignment="1">
      <alignment horizontal="justify" vertical="center" wrapText="1"/>
    </xf>
    <xf numFmtId="0" fontId="33" fillId="0" borderId="47" xfId="0" applyFont="1" applyBorder="1" applyAlignment="1">
      <alignment horizontal="justify" vertical="center" wrapText="1"/>
    </xf>
    <xf numFmtId="0" fontId="33" fillId="0" borderId="45" xfId="0" applyFont="1" applyBorder="1" applyAlignment="1">
      <alignment horizontal="justify" vertical="center" wrapText="1"/>
    </xf>
    <xf numFmtId="2" fontId="0" fillId="5" borderId="1" xfId="0" applyNumberFormat="1" applyFill="1" applyBorder="1" applyAlignment="1">
      <alignment horizontal="center" vertical="center"/>
    </xf>
    <xf numFmtId="1" fontId="0" fillId="0" borderId="22" xfId="0" applyNumberFormat="1" applyFill="1" applyBorder="1" applyAlignment="1">
      <alignment vertical="center"/>
    </xf>
    <xf numFmtId="0" fontId="51" fillId="0" borderId="0" xfId="0" applyFont="1" applyAlignment="1">
      <alignment vertical="center" wrapText="1"/>
    </xf>
    <xf numFmtId="0" fontId="52" fillId="0" borderId="0" xfId="0" applyFont="1" applyAlignment="1">
      <alignment vertical="center" wrapText="1"/>
    </xf>
    <xf numFmtId="0" fontId="53" fillId="0" borderId="26" xfId="0" applyFont="1" applyBorder="1" applyAlignment="1">
      <alignment vertical="center" wrapText="1"/>
    </xf>
    <xf numFmtId="0" fontId="53" fillId="0" borderId="44" xfId="0" applyFont="1" applyBorder="1" applyAlignment="1">
      <alignment vertical="center" wrapText="1"/>
    </xf>
    <xf numFmtId="0" fontId="54" fillId="0" borderId="0" xfId="0" applyFont="1" applyAlignment="1">
      <alignment vertical="center"/>
    </xf>
    <xf numFmtId="0" fontId="54" fillId="0" borderId="47" xfId="0" applyFont="1" applyBorder="1" applyAlignment="1">
      <alignment vertical="center" wrapText="1"/>
    </xf>
    <xf numFmtId="0" fontId="54" fillId="0" borderId="45" xfId="0" applyFont="1" applyBorder="1" applyAlignment="1">
      <alignment vertical="center" wrapText="1"/>
    </xf>
    <xf numFmtId="14" fontId="54" fillId="0" borderId="47" xfId="0" applyNumberFormat="1" applyFont="1" applyBorder="1" applyAlignment="1">
      <alignment vertical="center" wrapText="1"/>
    </xf>
    <xf numFmtId="0" fontId="40" fillId="0" borderId="47" xfId="0" applyFont="1" applyBorder="1" applyAlignment="1">
      <alignment vertical="top" wrapText="1"/>
    </xf>
    <xf numFmtId="0" fontId="40" fillId="0" borderId="45" xfId="0" applyFont="1" applyBorder="1" applyAlignment="1">
      <alignment vertical="top" wrapText="1"/>
    </xf>
    <xf numFmtId="0" fontId="55" fillId="0" borderId="0" xfId="0" applyFont="1" applyAlignment="1">
      <alignment vertical="center"/>
    </xf>
    <xf numFmtId="0" fontId="40" fillId="0" borderId="0" xfId="0" applyFont="1"/>
    <xf numFmtId="0" fontId="53" fillId="0" borderId="0" xfId="0" applyFont="1" applyAlignment="1">
      <alignment vertical="center"/>
    </xf>
    <xf numFmtId="0" fontId="56" fillId="0" borderId="26" xfId="0" applyFont="1" applyBorder="1" applyAlignment="1">
      <alignment horizontal="center" vertical="center"/>
    </xf>
    <xf numFmtId="0" fontId="57" fillId="0" borderId="0" xfId="0" applyFont="1" applyAlignment="1">
      <alignment vertical="center" wrapText="1"/>
    </xf>
    <xf numFmtId="14" fontId="39" fillId="0" borderId="47" xfId="0" applyNumberFormat="1" applyFont="1" applyBorder="1" applyAlignment="1">
      <alignment horizontal="center" vertical="center" wrapText="1"/>
    </xf>
    <xf numFmtId="14" fontId="39" fillId="0" borderId="45" xfId="0" applyNumberFormat="1" applyFont="1" applyBorder="1" applyAlignment="1">
      <alignment horizontal="center" vertical="center" wrapText="1"/>
    </xf>
    <xf numFmtId="0" fontId="40" fillId="0" borderId="0" xfId="0" applyFont="1" applyAlignment="1">
      <alignment vertical="center" wrapText="1"/>
    </xf>
    <xf numFmtId="0" fontId="56" fillId="0" borderId="44" xfId="0" applyFont="1" applyBorder="1" applyAlignment="1">
      <alignment vertical="center" wrapText="1"/>
    </xf>
    <xf numFmtId="14" fontId="39" fillId="0" borderId="56" xfId="0" applyNumberFormat="1" applyFont="1" applyBorder="1" applyAlignment="1">
      <alignment horizontal="center" vertical="center" wrapText="1"/>
    </xf>
    <xf numFmtId="14" fontId="39" fillId="0" borderId="40" xfId="0" applyNumberFormat="1" applyFont="1" applyBorder="1" applyAlignment="1">
      <alignment horizontal="center" vertical="center" wrapText="1"/>
    </xf>
    <xf numFmtId="168" fontId="34" fillId="0" borderId="62" xfId="4" applyNumberFormat="1" applyFont="1" applyFill="1" applyBorder="1" applyAlignment="1">
      <alignment horizontal="center"/>
    </xf>
    <xf numFmtId="166" fontId="12" fillId="16" borderId="0" xfId="4" applyNumberFormat="1" applyFont="1" applyFill="1" applyBorder="1" applyAlignment="1">
      <alignment horizontal="center"/>
    </xf>
    <xf numFmtId="2" fontId="0" fillId="0" borderId="48" xfId="0" applyNumberFormat="1" applyFill="1" applyBorder="1" applyAlignment="1">
      <alignment horizontal="center" vertical="center"/>
    </xf>
    <xf numFmtId="2" fontId="0" fillId="0" borderId="49" xfId="0" applyNumberFormat="1" applyFill="1" applyBorder="1" applyAlignment="1">
      <alignment horizontal="center" vertical="center"/>
    </xf>
    <xf numFmtId="2" fontId="2" fillId="0" borderId="48" xfId="0" applyNumberFormat="1" applyFont="1" applyFill="1" applyBorder="1" applyAlignment="1">
      <alignment horizontal="center" vertical="center"/>
    </xf>
    <xf numFmtId="2" fontId="2" fillId="0" borderId="49" xfId="0" applyNumberFormat="1" applyFont="1" applyFill="1" applyBorder="1" applyAlignment="1">
      <alignment horizontal="center" vertical="center"/>
    </xf>
    <xf numFmtId="1" fontId="0" fillId="0" borderId="50" xfId="0" applyNumberFormat="1" applyFill="1" applyBorder="1" applyAlignment="1">
      <alignment horizontal="center" vertical="center"/>
    </xf>
    <xf numFmtId="1" fontId="0" fillId="0" borderId="34" xfId="0" applyNumberFormat="1" applyFill="1" applyBorder="1" applyAlignment="1">
      <alignment horizontal="center" vertical="center"/>
    </xf>
    <xf numFmtId="1" fontId="0" fillId="0" borderId="51" xfId="0" applyNumberFormat="1" applyFill="1" applyBorder="1" applyAlignment="1">
      <alignment horizontal="center" vertical="center"/>
    </xf>
    <xf numFmtId="0" fontId="4" fillId="0" borderId="52" xfId="8" applyFont="1" applyFill="1" applyBorder="1" applyAlignment="1">
      <alignment horizontal="center" vertical="center" wrapText="1"/>
    </xf>
    <xf numFmtId="0" fontId="4" fillId="0" borderId="31" xfId="8" applyFont="1" applyFill="1" applyBorder="1" applyAlignment="1">
      <alignment horizontal="center" vertical="center" wrapText="1"/>
    </xf>
    <xf numFmtId="1" fontId="0" fillId="4" borderId="50" xfId="0" applyNumberFormat="1" applyFill="1" applyBorder="1" applyAlignment="1">
      <alignment horizontal="center" vertical="center"/>
    </xf>
    <xf numFmtId="1" fontId="0" fillId="4" borderId="34" xfId="0" applyNumberFormat="1" applyFill="1" applyBorder="1" applyAlignment="1">
      <alignment horizontal="center" vertical="center"/>
    </xf>
    <xf numFmtId="1" fontId="0" fillId="4" borderId="51" xfId="0" applyNumberFormat="1" applyFill="1" applyBorder="1" applyAlignment="1">
      <alignment horizontal="center" vertical="center"/>
    </xf>
    <xf numFmtId="17" fontId="0" fillId="0" borderId="14" xfId="0" applyNumberFormat="1" applyFill="1" applyBorder="1" applyAlignment="1">
      <alignment horizontal="center" vertical="center"/>
    </xf>
    <xf numFmtId="0" fontId="0" fillId="0" borderId="18" xfId="0" applyFill="1" applyBorder="1" applyAlignment="1">
      <alignment horizontal="center" vertical="center"/>
    </xf>
    <xf numFmtId="0" fontId="0" fillId="0" borderId="21" xfId="0" applyFill="1" applyBorder="1" applyAlignment="1">
      <alignment horizontal="center" vertical="center"/>
    </xf>
    <xf numFmtId="1" fontId="0" fillId="0" borderId="11" xfId="0" applyNumberFormat="1" applyFill="1" applyBorder="1" applyAlignment="1">
      <alignment horizontal="center" vertical="center"/>
    </xf>
    <xf numFmtId="1" fontId="0" fillId="0" borderId="17" xfId="0" applyNumberFormat="1" applyFill="1" applyBorder="1" applyAlignment="1">
      <alignment horizontal="center" vertical="center"/>
    </xf>
    <xf numFmtId="1" fontId="0" fillId="0" borderId="22" xfId="0" applyNumberFormat="1" applyFill="1" applyBorder="1" applyAlignment="1">
      <alignment horizontal="center" vertical="center"/>
    </xf>
    <xf numFmtId="0" fontId="3" fillId="0" borderId="53" xfId="5" applyFont="1" applyFill="1" applyBorder="1" applyAlignment="1">
      <alignment horizontal="center" vertical="center" wrapText="1"/>
    </xf>
    <xf numFmtId="0" fontId="3" fillId="0" borderId="54" xfId="5" applyFont="1" applyFill="1" applyBorder="1" applyAlignment="1">
      <alignment horizontal="center" vertical="center" wrapText="1"/>
    </xf>
    <xf numFmtId="0" fontId="3" fillId="0" borderId="48" xfId="5" applyFont="1" applyFill="1" applyBorder="1" applyAlignment="1">
      <alignment horizontal="center" vertical="center" wrapText="1"/>
    </xf>
    <xf numFmtId="0" fontId="3" fillId="0" borderId="33" xfId="5" applyFont="1" applyFill="1" applyBorder="1" applyAlignment="1">
      <alignment horizontal="center" vertical="center" wrapText="1"/>
    </xf>
    <xf numFmtId="0" fontId="3" fillId="0" borderId="55" xfId="5" applyFont="1" applyFill="1" applyBorder="1" applyAlignment="1">
      <alignment horizontal="center" vertical="center" wrapText="1"/>
    </xf>
    <xf numFmtId="0" fontId="3" fillId="0" borderId="56" xfId="5" applyFont="1" applyFill="1" applyBorder="1" applyAlignment="1">
      <alignment horizontal="center" vertical="center" wrapText="1"/>
    </xf>
    <xf numFmtId="0" fontId="3" fillId="0" borderId="46" xfId="5" applyFont="1" applyFill="1" applyBorder="1" applyAlignment="1">
      <alignment horizontal="center" vertical="center" wrapText="1"/>
    </xf>
    <xf numFmtId="2" fontId="0" fillId="0" borderId="2" xfId="0" applyNumberFormat="1" applyFill="1" applyBorder="1" applyAlignment="1">
      <alignment horizontal="center" vertical="center"/>
    </xf>
    <xf numFmtId="2" fontId="0" fillId="0" borderId="1" xfId="0" applyNumberFormat="1" applyFill="1" applyBorder="1" applyAlignment="1">
      <alignment horizontal="center" vertical="center"/>
    </xf>
    <xf numFmtId="2" fontId="0" fillId="0" borderId="2" xfId="0" applyNumberFormat="1" applyFont="1" applyFill="1" applyBorder="1" applyAlignment="1">
      <alignment horizontal="center" vertical="center"/>
    </xf>
    <xf numFmtId="2" fontId="0" fillId="0" borderId="1" xfId="0" applyNumberFormat="1" applyFont="1" applyFill="1" applyBorder="1" applyAlignment="1">
      <alignment horizontal="center" vertical="center"/>
    </xf>
    <xf numFmtId="2" fontId="0" fillId="5" borderId="2" xfId="0" applyNumberFormat="1" applyFont="1" applyFill="1" applyBorder="1" applyAlignment="1">
      <alignment horizontal="center" vertical="center"/>
    </xf>
    <xf numFmtId="2" fontId="0" fillId="5" borderId="1" xfId="0" applyNumberFormat="1" applyFont="1" applyFill="1" applyBorder="1" applyAlignment="1">
      <alignment horizontal="center" vertical="center"/>
    </xf>
    <xf numFmtId="2" fontId="0" fillId="5" borderId="2" xfId="0" applyNumberFormat="1" applyFill="1" applyBorder="1" applyAlignment="1">
      <alignment horizontal="center" vertical="center"/>
    </xf>
    <xf numFmtId="2" fontId="0" fillId="5" borderId="1" xfId="0" applyNumberFormat="1" applyFill="1" applyBorder="1" applyAlignment="1">
      <alignment horizontal="center" vertical="center"/>
    </xf>
    <xf numFmtId="2" fontId="0" fillId="0" borderId="48" xfId="0" applyNumberFormat="1" applyFont="1" applyFill="1" applyBorder="1" applyAlignment="1">
      <alignment horizontal="center" vertical="center"/>
    </xf>
    <xf numFmtId="2" fontId="0" fillId="0" borderId="49" xfId="0" applyNumberFormat="1" applyFont="1" applyFill="1" applyBorder="1" applyAlignment="1">
      <alignment horizontal="center" vertical="center"/>
    </xf>
    <xf numFmtId="1" fontId="2" fillId="0" borderId="48" xfId="0" applyNumberFormat="1" applyFont="1" applyFill="1" applyBorder="1" applyAlignment="1">
      <alignment horizontal="center" vertical="center"/>
    </xf>
    <xf numFmtId="1" fontId="2" fillId="0" borderId="49" xfId="0" applyNumberFormat="1" applyFont="1" applyFill="1" applyBorder="1" applyAlignment="1">
      <alignment horizontal="center" vertical="center"/>
    </xf>
    <xf numFmtId="0" fontId="0" fillId="0" borderId="31" xfId="0" applyNumberFormat="1" applyFill="1" applyBorder="1" applyAlignment="1">
      <alignment horizontal="center" vertical="top"/>
    </xf>
    <xf numFmtId="0" fontId="0" fillId="0" borderId="19" xfId="0" applyNumberFormat="1" applyFill="1" applyBorder="1" applyAlignment="1">
      <alignment horizontal="center" vertical="top"/>
    </xf>
    <xf numFmtId="0" fontId="0" fillId="0" borderId="3" xfId="0" applyNumberFormat="1" applyFill="1" applyBorder="1" applyAlignment="1">
      <alignment horizontal="center" vertical="top"/>
    </xf>
    <xf numFmtId="1" fontId="2" fillId="5" borderId="48" xfId="0" applyNumberFormat="1" applyFont="1" applyFill="1" applyBorder="1" applyAlignment="1">
      <alignment horizontal="center" vertical="center"/>
    </xf>
    <xf numFmtId="1" fontId="2" fillId="5" borderId="49" xfId="0" applyNumberFormat="1" applyFont="1" applyFill="1" applyBorder="1" applyAlignment="1">
      <alignment horizontal="center" vertical="center"/>
    </xf>
    <xf numFmtId="1" fontId="0" fillId="0" borderId="50" xfId="0" applyNumberFormat="1" applyFill="1" applyBorder="1" applyAlignment="1">
      <alignment horizontal="right" vertical="center"/>
    </xf>
    <xf numFmtId="1" fontId="0" fillId="0" borderId="57" xfId="0" applyNumberFormat="1" applyFill="1" applyBorder="1" applyAlignment="1">
      <alignment horizontal="right" vertical="center"/>
    </xf>
    <xf numFmtId="0" fontId="54" fillId="0" borderId="56" xfId="0" applyFont="1" applyBorder="1" applyAlignment="1">
      <alignment vertical="center" wrapText="1"/>
    </xf>
    <xf numFmtId="0" fontId="54" fillId="0" borderId="40" xfId="0" applyFont="1" applyBorder="1" applyAlignment="1">
      <alignment vertical="center" wrapText="1"/>
    </xf>
    <xf numFmtId="0" fontId="54" fillId="0" borderId="46" xfId="0" applyFont="1" applyBorder="1" applyAlignment="1">
      <alignment vertical="center" wrapText="1"/>
    </xf>
    <xf numFmtId="0" fontId="56" fillId="0" borderId="12" xfId="0" applyFont="1" applyBorder="1" applyAlignment="1">
      <alignment horizontal="center" vertical="center" wrapText="1"/>
    </xf>
    <xf numFmtId="0" fontId="56" fillId="0" borderId="70" xfId="0" applyFont="1" applyBorder="1" applyAlignment="1">
      <alignment horizontal="center" vertical="center" wrapText="1"/>
    </xf>
    <xf numFmtId="0" fontId="39" fillId="0" borderId="56" xfId="0" applyFont="1" applyBorder="1" applyAlignment="1">
      <alignment horizontal="center" vertical="center" wrapText="1"/>
    </xf>
    <xf numFmtId="0" fontId="39" fillId="0" borderId="46" xfId="0" applyFont="1" applyBorder="1" applyAlignment="1">
      <alignment horizontal="center" vertical="center" wrapText="1"/>
    </xf>
    <xf numFmtId="0" fontId="39" fillId="0" borderId="28" xfId="0" applyFont="1" applyBorder="1" applyAlignment="1">
      <alignment horizontal="center" vertical="center" wrapText="1"/>
    </xf>
    <xf numFmtId="0" fontId="39" fillId="0" borderId="61" xfId="0" applyFont="1" applyBorder="1" applyAlignment="1">
      <alignment horizontal="center" vertical="center" wrapText="1"/>
    </xf>
    <xf numFmtId="0" fontId="39" fillId="0" borderId="29" xfId="0" applyFont="1" applyBorder="1" applyAlignment="1">
      <alignment horizontal="center" vertical="center" wrapText="1"/>
    </xf>
    <xf numFmtId="0" fontId="39" fillId="0" borderId="0" xfId="0" applyFont="1" applyBorder="1" applyAlignment="1">
      <alignment horizontal="center" vertical="center" wrapText="1"/>
    </xf>
    <xf numFmtId="0" fontId="39" fillId="0" borderId="71" xfId="0" applyFont="1" applyBorder="1" applyAlignment="1">
      <alignment horizontal="center" vertical="center" wrapText="1"/>
    </xf>
    <xf numFmtId="0" fontId="39" fillId="0" borderId="40" xfId="0" applyFont="1" applyBorder="1" applyAlignment="1">
      <alignment horizontal="center" vertical="center" wrapText="1"/>
    </xf>
    <xf numFmtId="0" fontId="39" fillId="0" borderId="71" xfId="0" applyFont="1" applyBorder="1" applyAlignment="1">
      <alignment horizontal="center" vertical="center"/>
    </xf>
    <xf numFmtId="0" fontId="39" fillId="0" borderId="40" xfId="0" applyFont="1" applyBorder="1" applyAlignment="1">
      <alignment horizontal="center" vertical="center"/>
    </xf>
    <xf numFmtId="0" fontId="40" fillId="0" borderId="29" xfId="0" applyFont="1" applyBorder="1" applyAlignment="1">
      <alignment vertical="center" wrapText="1"/>
    </xf>
    <xf numFmtId="0" fontId="52" fillId="0" borderId="0" xfId="0" applyFont="1" applyAlignment="1">
      <alignment vertical="center" wrapText="1"/>
    </xf>
    <xf numFmtId="10" fontId="54" fillId="0" borderId="56" xfId="0" applyNumberFormat="1" applyFont="1" applyBorder="1" applyAlignment="1">
      <alignment vertical="center" wrapText="1"/>
    </xf>
    <xf numFmtId="10" fontId="54" fillId="0" borderId="40" xfId="0" applyNumberFormat="1" applyFont="1" applyBorder="1" applyAlignment="1">
      <alignment vertical="center" wrapText="1"/>
    </xf>
    <xf numFmtId="0" fontId="50" fillId="0" borderId="8" xfId="0" applyFont="1" applyFill="1" applyBorder="1" applyAlignment="1">
      <alignment horizontal="center"/>
    </xf>
    <xf numFmtId="0" fontId="50" fillId="0" borderId="1" xfId="0" applyFont="1" applyFill="1" applyBorder="1" applyAlignment="1">
      <alignment horizontal="center"/>
    </xf>
    <xf numFmtId="0" fontId="0" fillId="0" borderId="9" xfId="0" applyFont="1" applyFill="1" applyBorder="1" applyAlignment="1">
      <alignment horizontal="center"/>
    </xf>
    <xf numFmtId="0" fontId="0" fillId="0" borderId="10" xfId="0" applyFont="1" applyFill="1" applyBorder="1" applyAlignment="1">
      <alignment horizontal="center"/>
    </xf>
    <xf numFmtId="0" fontId="1" fillId="0" borderId="58" xfId="0" applyFont="1" applyFill="1" applyBorder="1" applyAlignment="1">
      <alignment horizontal="center" wrapText="1"/>
    </xf>
    <xf numFmtId="0" fontId="1" fillId="0" borderId="59" xfId="0" applyFont="1" applyFill="1" applyBorder="1" applyAlignment="1">
      <alignment horizontal="center" wrapText="1"/>
    </xf>
    <xf numFmtId="0" fontId="1" fillId="0" borderId="8" xfId="0" applyFont="1" applyFill="1" applyBorder="1" applyAlignment="1">
      <alignment horizontal="center" wrapText="1"/>
    </xf>
    <xf numFmtId="0" fontId="1" fillId="0" borderId="1" xfId="0" applyFont="1" applyFill="1" applyBorder="1" applyAlignment="1">
      <alignment horizontal="center" wrapText="1"/>
    </xf>
    <xf numFmtId="0" fontId="9" fillId="0" borderId="8" xfId="0" applyFont="1" applyFill="1" applyBorder="1" applyAlignment="1">
      <alignment horizontal="center" wrapText="1"/>
    </xf>
    <xf numFmtId="0" fontId="9" fillId="0" borderId="1" xfId="0" applyFont="1" applyFill="1" applyBorder="1" applyAlignment="1">
      <alignment horizontal="center" wrapText="1"/>
    </xf>
    <xf numFmtId="0" fontId="50" fillId="0" borderId="8" xfId="0" applyFont="1" applyFill="1" applyBorder="1" applyAlignment="1">
      <alignment horizontal="center" vertical="top" wrapText="1"/>
    </xf>
    <xf numFmtId="0" fontId="50" fillId="0" borderId="1" xfId="0" applyFont="1" applyFill="1" applyBorder="1" applyAlignment="1">
      <alignment horizontal="center" vertical="top" wrapText="1"/>
    </xf>
    <xf numFmtId="0" fontId="10" fillId="0" borderId="0" xfId="4" applyFont="1" applyFill="1" applyBorder="1" applyAlignment="1">
      <alignment horizontal="center" vertical="center"/>
    </xf>
    <xf numFmtId="0" fontId="6" fillId="0" borderId="14" xfId="4" applyFont="1" applyFill="1" applyBorder="1" applyAlignment="1">
      <alignment horizontal="center" vertical="center" wrapText="1"/>
    </xf>
    <xf numFmtId="0" fontId="6" fillId="0" borderId="18" xfId="4" applyFont="1" applyFill="1" applyBorder="1" applyAlignment="1">
      <alignment horizontal="center" vertical="center" wrapText="1"/>
    </xf>
    <xf numFmtId="0" fontId="6" fillId="0" borderId="25" xfId="4" applyFont="1" applyFill="1" applyBorder="1" applyAlignment="1">
      <alignment horizontal="center" vertical="center" wrapText="1"/>
    </xf>
    <xf numFmtId="0" fontId="1" fillId="0" borderId="7" xfId="0" applyFont="1" applyFill="1" applyBorder="1" applyAlignment="1">
      <alignment horizontal="center"/>
    </xf>
    <xf numFmtId="0" fontId="1" fillId="0" borderId="2" xfId="0" applyFont="1" applyFill="1" applyBorder="1" applyAlignment="1">
      <alignment horizontal="center"/>
    </xf>
    <xf numFmtId="0" fontId="1" fillId="0" borderId="8" xfId="0" applyFont="1" applyFill="1" applyBorder="1" applyAlignment="1">
      <alignment horizontal="center"/>
    </xf>
    <xf numFmtId="0" fontId="1" fillId="0" borderId="1" xfId="0" applyFont="1" applyFill="1" applyBorder="1" applyAlignment="1">
      <alignment horizontal="center"/>
    </xf>
    <xf numFmtId="0" fontId="45" fillId="0" borderId="66" xfId="0" applyFont="1" applyBorder="1" applyAlignment="1">
      <alignment horizontal="center" wrapText="1"/>
    </xf>
    <xf numFmtId="0" fontId="45" fillId="0" borderId="68" xfId="0" applyFont="1" applyBorder="1" applyAlignment="1">
      <alignment horizontal="center" wrapText="1"/>
    </xf>
    <xf numFmtId="0" fontId="45" fillId="0" borderId="64" xfId="0" applyFont="1" applyBorder="1" applyAlignment="1">
      <alignment horizontal="center" wrapText="1"/>
    </xf>
    <xf numFmtId="0" fontId="45" fillId="0" borderId="69" xfId="0" applyFont="1" applyBorder="1" applyAlignment="1">
      <alignment horizontal="center" wrapText="1"/>
    </xf>
    <xf numFmtId="0" fontId="45" fillId="0" borderId="65" xfId="0" applyFont="1" applyBorder="1" applyAlignment="1">
      <alignment horizontal="center" wrapText="1"/>
    </xf>
    <xf numFmtId="0" fontId="45" fillId="9" borderId="64" xfId="0" applyFont="1" applyFill="1" applyBorder="1" applyAlignment="1">
      <alignment horizontal="center" wrapText="1"/>
    </xf>
    <xf numFmtId="0" fontId="45" fillId="9" borderId="69" xfId="0" applyFont="1" applyFill="1" applyBorder="1" applyAlignment="1">
      <alignment horizontal="center" wrapText="1"/>
    </xf>
    <xf numFmtId="0" fontId="45" fillId="9" borderId="65" xfId="0" applyFont="1" applyFill="1" applyBorder="1" applyAlignment="1">
      <alignment horizontal="center" wrapText="1"/>
    </xf>
    <xf numFmtId="0" fontId="45" fillId="0" borderId="67" xfId="0" applyFont="1" applyBorder="1" applyAlignment="1">
      <alignment horizontal="center" wrapText="1"/>
    </xf>
    <xf numFmtId="0" fontId="18" fillId="0" borderId="5"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9" xfId="0" applyFont="1" applyFill="1" applyBorder="1" applyAlignment="1">
      <alignment horizontal="center" vertical="center" wrapText="1"/>
    </xf>
    <xf numFmtId="0" fontId="4" fillId="0" borderId="49" xfId="0" applyFont="1" applyBorder="1" applyAlignment="1">
      <alignment vertical="center" wrapText="1"/>
    </xf>
    <xf numFmtId="0" fontId="18" fillId="0" borderId="31"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20" fillId="0" borderId="5" xfId="0" applyFont="1" applyFill="1" applyBorder="1" applyAlignment="1">
      <alignment horizontal="center" vertical="center"/>
    </xf>
    <xf numFmtId="0" fontId="20" fillId="0" borderId="33" xfId="0" applyFont="1" applyFill="1" applyBorder="1" applyAlignment="1">
      <alignment horizontal="center" vertical="center"/>
    </xf>
    <xf numFmtId="0" fontId="20" fillId="0" borderId="49" xfId="0" applyFont="1" applyFill="1" applyBorder="1" applyAlignment="1">
      <alignment horizontal="center" vertical="center"/>
    </xf>
    <xf numFmtId="0" fontId="2" fillId="2" borderId="1" xfId="0" applyFont="1" applyFill="1" applyBorder="1" applyAlignment="1">
      <alignment horizontal="center" vertical="center"/>
    </xf>
    <xf numFmtId="0" fontId="18" fillId="0" borderId="31" xfId="0" applyFont="1" applyFill="1" applyBorder="1" applyAlignment="1">
      <alignment horizontal="center"/>
    </xf>
    <xf numFmtId="0" fontId="18" fillId="0" borderId="19" xfId="0" applyFont="1" applyFill="1" applyBorder="1" applyAlignment="1">
      <alignment horizontal="center"/>
    </xf>
    <xf numFmtId="0" fontId="18" fillId="0" borderId="3" xfId="0" applyFont="1" applyFill="1" applyBorder="1" applyAlignment="1">
      <alignment horizontal="center"/>
    </xf>
    <xf numFmtId="0" fontId="18" fillId="0" borderId="3" xfId="0" applyFont="1" applyFill="1" applyBorder="1" applyAlignment="1">
      <alignment horizontal="center" vertical="center" wrapText="1"/>
    </xf>
    <xf numFmtId="0" fontId="47" fillId="0" borderId="56" xfId="0" applyFont="1" applyBorder="1" applyAlignment="1">
      <alignment horizontal="justify" vertical="center" wrapText="1"/>
    </xf>
    <xf numFmtId="0" fontId="47" fillId="0" borderId="40" xfId="0" applyFont="1" applyBorder="1" applyAlignment="1">
      <alignment horizontal="justify" vertical="center" wrapText="1"/>
    </xf>
    <xf numFmtId="0" fontId="47" fillId="0" borderId="60" xfId="0" applyFont="1" applyBorder="1" applyAlignment="1">
      <alignment horizontal="center" vertical="center" wrapText="1"/>
    </xf>
    <xf numFmtId="0" fontId="49" fillId="0" borderId="60" xfId="0" applyFont="1" applyBorder="1" applyAlignment="1">
      <alignment horizontal="center" vertical="center" wrapText="1"/>
    </xf>
    <xf numFmtId="0" fontId="7" fillId="15" borderId="56" xfId="0" applyFont="1" applyFill="1" applyBorder="1" applyAlignment="1">
      <alignment vertical="center" wrapText="1"/>
    </xf>
    <xf numFmtId="0" fontId="7" fillId="15" borderId="46" xfId="0" applyFont="1" applyFill="1" applyBorder="1" applyAlignment="1">
      <alignment vertical="center" wrapText="1"/>
    </xf>
    <xf numFmtId="0" fontId="7" fillId="15" borderId="40" xfId="0" applyFont="1" applyFill="1" applyBorder="1" applyAlignment="1">
      <alignment vertical="center" wrapText="1"/>
    </xf>
    <xf numFmtId="0" fontId="46" fillId="0" borderId="56" xfId="0" applyFont="1" applyBorder="1" applyAlignment="1">
      <alignment horizontal="justify" vertical="center" wrapText="1"/>
    </xf>
    <xf numFmtId="0" fontId="46" fillId="0" borderId="40" xfId="0" applyFont="1" applyBorder="1" applyAlignment="1">
      <alignment horizontal="justify" vertical="center" wrapText="1"/>
    </xf>
    <xf numFmtId="0" fontId="46" fillId="15" borderId="56" xfId="0" applyFont="1" applyFill="1" applyBorder="1" applyAlignment="1">
      <alignment horizontal="justify" vertical="center" wrapText="1"/>
    </xf>
    <xf numFmtId="0" fontId="46" fillId="15" borderId="46" xfId="0" applyFont="1" applyFill="1" applyBorder="1" applyAlignment="1">
      <alignment horizontal="justify" vertical="center" wrapText="1"/>
    </xf>
    <xf numFmtId="0" fontId="46" fillId="15" borderId="40" xfId="0" applyFont="1" applyFill="1" applyBorder="1" applyAlignment="1">
      <alignment horizontal="justify" vertical="center" wrapText="1"/>
    </xf>
    <xf numFmtId="0" fontId="0" fillId="0" borderId="62" xfId="4" applyFont="1" applyFill="1" applyBorder="1" applyAlignment="1">
      <alignment horizontal="right"/>
    </xf>
    <xf numFmtId="0" fontId="34" fillId="0" borderId="43" xfId="4" applyFont="1" applyFill="1" applyBorder="1" applyAlignment="1">
      <alignment horizontal="right"/>
    </xf>
    <xf numFmtId="0" fontId="38" fillId="0" borderId="62" xfId="4" applyFont="1" applyFill="1" applyBorder="1" applyAlignment="1">
      <alignment horizontal="right"/>
    </xf>
    <xf numFmtId="0" fontId="38" fillId="0" borderId="43" xfId="4" applyFont="1" applyFill="1" applyBorder="1" applyAlignment="1">
      <alignment horizontal="right"/>
    </xf>
    <xf numFmtId="1" fontId="34" fillId="0" borderId="72" xfId="4" applyNumberFormat="1" applyFont="1" applyFill="1" applyBorder="1" applyAlignment="1">
      <alignment horizontal="right"/>
    </xf>
    <xf numFmtId="0" fontId="34" fillId="0" borderId="57" xfId="4" applyNumberFormat="1" applyFont="1" applyFill="1" applyBorder="1" applyAlignment="1">
      <alignment horizontal="right"/>
    </xf>
    <xf numFmtId="1" fontId="34" fillId="0" borderId="8" xfId="4" applyNumberFormat="1" applyFont="1" applyFill="1" applyBorder="1" applyAlignment="1">
      <alignment horizontal="right"/>
    </xf>
    <xf numFmtId="1" fontId="34" fillId="0" borderId="73" xfId="4" applyNumberFormat="1" applyFont="1" applyFill="1" applyBorder="1" applyAlignment="1">
      <alignment horizontal="right"/>
    </xf>
    <xf numFmtId="1" fontId="34" fillId="0" borderId="27" xfId="4" applyNumberFormat="1" applyFont="1" applyFill="1" applyBorder="1" applyAlignment="1">
      <alignment horizontal="right"/>
    </xf>
  </cellXfs>
  <cellStyles count="11">
    <cellStyle name="Comma 2" xfId="1"/>
    <cellStyle name="Hyperlink" xfId="2" builtinId="8"/>
    <cellStyle name="Hyperlink 2" xfId="3"/>
    <cellStyle name="Normal" xfId="0" builtinId="0"/>
    <cellStyle name="Normal 2" xfId="4"/>
    <cellStyle name="Normal 4" xfId="5"/>
    <cellStyle name="Normal_Kita-35 plan 2" xfId="6"/>
    <cellStyle name="Normal_Marketing Managers CDM status" xfId="7"/>
    <cellStyle name="Normal_NU-40 Plan (1) 2" xfId="8"/>
    <cellStyle name="Percent" xfId="9" builtinId="5"/>
    <cellStyle name="Percent 2"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www.cea.nic.in/reports/planning/cdm_co2/cdm_co2.ht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12"/>
  <sheetViews>
    <sheetView workbookViewId="0">
      <selection activeCell="B19" sqref="B19"/>
    </sheetView>
  </sheetViews>
  <sheetFormatPr defaultRowHeight="12.75" x14ac:dyDescent="0.2"/>
  <cols>
    <col min="1" max="1" width="9.140625" style="32"/>
    <col min="2" max="2" width="35.140625" style="32" customWidth="1"/>
    <col min="3" max="3" width="46.28515625" style="32" customWidth="1"/>
    <col min="4" max="5" width="11.7109375" style="32" customWidth="1"/>
    <col min="6" max="16384" width="9.140625" style="32"/>
  </cols>
  <sheetData>
    <row r="3" spans="2:6" x14ac:dyDescent="0.2">
      <c r="B3" s="35" t="s">
        <v>63</v>
      </c>
      <c r="C3" s="34" t="s">
        <v>66</v>
      </c>
    </row>
    <row r="4" spans="2:6" x14ac:dyDescent="0.2">
      <c r="B4" s="35" t="s">
        <v>64</v>
      </c>
      <c r="C4" s="33" t="s">
        <v>65</v>
      </c>
    </row>
    <row r="5" spans="2:6" x14ac:dyDescent="0.2">
      <c r="B5" s="35"/>
      <c r="C5" s="33"/>
      <c r="D5" s="37" t="s">
        <v>68</v>
      </c>
      <c r="E5" s="38" t="s">
        <v>69</v>
      </c>
      <c r="F5" s="38" t="s">
        <v>70</v>
      </c>
    </row>
    <row r="6" spans="2:6" x14ac:dyDescent="0.2">
      <c r="B6" s="35" t="s">
        <v>73</v>
      </c>
      <c r="C6" s="33" t="s">
        <v>82</v>
      </c>
      <c r="D6" s="39">
        <v>43922</v>
      </c>
      <c r="E6" s="40">
        <v>44619</v>
      </c>
      <c r="F6" s="41">
        <f>E6-D6+1</f>
        <v>698</v>
      </c>
    </row>
    <row r="7" spans="2:6" x14ac:dyDescent="0.2">
      <c r="B7" s="35" t="s">
        <v>67</v>
      </c>
      <c r="C7" s="33">
        <f>F6</f>
        <v>698</v>
      </c>
    </row>
    <row r="8" spans="2:6" x14ac:dyDescent="0.2">
      <c r="B8" s="35"/>
      <c r="C8" s="33"/>
    </row>
    <row r="9" spans="2:6" x14ac:dyDescent="0.2">
      <c r="B9" s="35"/>
      <c r="C9" s="33"/>
    </row>
    <row r="10" spans="2:6" x14ac:dyDescent="0.2">
      <c r="B10" s="35" t="s">
        <v>72</v>
      </c>
      <c r="C10" s="33" t="s">
        <v>71</v>
      </c>
    </row>
    <row r="11" spans="2:6" ht="14.25" x14ac:dyDescent="0.25">
      <c r="B11" s="35" t="s">
        <v>74</v>
      </c>
      <c r="C11" s="36">
        <f>'Emission Reduction calculation'!I29</f>
        <v>72048</v>
      </c>
    </row>
    <row r="12" spans="2:6" x14ac:dyDescent="0.2">
      <c r="B12" s="33"/>
      <c r="C12" s="3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workbookViewId="0">
      <selection activeCell="B1" sqref="B1"/>
    </sheetView>
  </sheetViews>
  <sheetFormatPr defaultRowHeight="14.25" x14ac:dyDescent="0.2"/>
  <cols>
    <col min="1" max="1" width="22.28515625" style="17" customWidth="1"/>
    <col min="2" max="2" width="66.28515625" style="17" customWidth="1"/>
    <col min="3" max="3" width="14.5703125" style="17" customWidth="1"/>
    <col min="4" max="4" width="13.5703125" style="17" customWidth="1"/>
    <col min="5" max="16384" width="9.140625" style="17"/>
  </cols>
  <sheetData>
    <row r="2" spans="1:4" ht="22.5" customHeight="1" x14ac:dyDescent="0.25">
      <c r="B2" s="307" t="s">
        <v>30</v>
      </c>
      <c r="C2" s="307"/>
      <c r="D2" s="307"/>
    </row>
    <row r="3" spans="1:4" s="20" customFormat="1" ht="30.75" customHeight="1" x14ac:dyDescent="0.2">
      <c r="A3" s="18" t="s">
        <v>29</v>
      </c>
      <c r="B3" s="19" t="s">
        <v>28</v>
      </c>
    </row>
    <row r="4" spans="1:4" ht="21" customHeight="1" x14ac:dyDescent="0.25">
      <c r="B4" s="21" t="s">
        <v>25</v>
      </c>
    </row>
    <row r="5" spans="1:4" ht="16.5" x14ac:dyDescent="0.3">
      <c r="B5" s="22"/>
      <c r="C5" s="23" t="s">
        <v>61</v>
      </c>
    </row>
    <row r="6" spans="1:4" x14ac:dyDescent="0.2">
      <c r="B6" s="22" t="s">
        <v>21</v>
      </c>
      <c r="C6" s="23">
        <v>1.0085</v>
      </c>
    </row>
    <row r="7" spans="1:4" x14ac:dyDescent="0.2">
      <c r="B7" s="22" t="s">
        <v>22</v>
      </c>
      <c r="C7" s="23">
        <v>0.99990000000000001</v>
      </c>
    </row>
    <row r="8" spans="1:4" x14ac:dyDescent="0.2">
      <c r="B8" s="22" t="s">
        <v>23</v>
      </c>
      <c r="C8" s="23">
        <v>1.0065999999999999</v>
      </c>
    </row>
    <row r="9" spans="1:4" x14ac:dyDescent="0.2">
      <c r="B9" s="22" t="s">
        <v>24</v>
      </c>
      <c r="C9" s="24">
        <f>AVERAGE(C6:C8)</f>
        <v>1.0049999999999999</v>
      </c>
    </row>
    <row r="10" spans="1:4" x14ac:dyDescent="0.2">
      <c r="B10" s="25"/>
    </row>
    <row r="11" spans="1:4" ht="21" customHeight="1" x14ac:dyDescent="0.25">
      <c r="B11" s="21" t="s">
        <v>15</v>
      </c>
    </row>
    <row r="12" spans="1:4" ht="16.5" x14ac:dyDescent="0.3">
      <c r="B12" s="22"/>
      <c r="C12" s="23" t="s">
        <v>61</v>
      </c>
    </row>
    <row r="13" spans="1:4" x14ac:dyDescent="0.2">
      <c r="B13" s="22" t="s">
        <v>26</v>
      </c>
      <c r="C13" s="23">
        <v>0.67520000000000002</v>
      </c>
    </row>
    <row r="14" spans="1:4" ht="15" x14ac:dyDescent="0.25">
      <c r="B14" s="21"/>
    </row>
    <row r="15" spans="1:4" ht="15" x14ac:dyDescent="0.25">
      <c r="B15" s="26" t="s">
        <v>27</v>
      </c>
    </row>
    <row r="16" spans="1:4" ht="16.5" x14ac:dyDescent="0.3">
      <c r="B16" s="27"/>
      <c r="C16" s="28" t="s">
        <v>14</v>
      </c>
      <c r="D16" s="29" t="s">
        <v>61</v>
      </c>
    </row>
    <row r="17" spans="2:4" x14ac:dyDescent="0.2">
      <c r="B17" s="22" t="s">
        <v>12</v>
      </c>
      <c r="C17" s="30">
        <v>0.75</v>
      </c>
      <c r="D17" s="24">
        <v>1.0049999999999999</v>
      </c>
    </row>
    <row r="18" spans="2:4" x14ac:dyDescent="0.2">
      <c r="B18" s="22" t="s">
        <v>15</v>
      </c>
      <c r="C18" s="30">
        <v>0.25</v>
      </c>
      <c r="D18" s="23">
        <v>0.67520000000000002</v>
      </c>
    </row>
    <row r="19" spans="2:4" x14ac:dyDescent="0.2">
      <c r="B19" s="22" t="s">
        <v>13</v>
      </c>
      <c r="C19" s="22"/>
      <c r="D19" s="24">
        <f>ROUNDDOWN((C17*D17)+(C18*D18),4)</f>
        <v>0.92249999999999999</v>
      </c>
    </row>
    <row r="20" spans="2:4" x14ac:dyDescent="0.2">
      <c r="D20" s="31"/>
    </row>
  </sheetData>
  <mergeCells count="1">
    <mergeCell ref="B2:D2"/>
  </mergeCells>
  <hyperlinks>
    <hyperlink ref="B3"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68"/>
  <sheetViews>
    <sheetView zoomScale="115" zoomScaleNormal="115" workbookViewId="0">
      <pane xSplit="2" ySplit="3" topLeftCell="C7" activePane="bottomRight" state="frozen"/>
      <selection pane="topRight" activeCell="B1" sqref="B1"/>
      <selection pane="bottomLeft" activeCell="A4" sqref="A4"/>
      <selection pane="bottomRight" activeCell="H166" sqref="H166"/>
    </sheetView>
  </sheetViews>
  <sheetFormatPr defaultRowHeight="12.75" x14ac:dyDescent="0.2"/>
  <cols>
    <col min="1" max="1" width="9.140625" style="42" hidden="1" customWidth="1"/>
    <col min="2" max="2" width="9.7109375" style="42" customWidth="1"/>
    <col min="3" max="3" width="4.85546875" style="42" customWidth="1"/>
    <col min="4" max="4" width="11.42578125" style="42" customWidth="1"/>
    <col min="5" max="5" width="11.140625" style="42" customWidth="1"/>
    <col min="6" max="6" width="10.42578125" style="42" customWidth="1"/>
    <col min="7" max="7" width="10" style="42" customWidth="1"/>
    <col min="8" max="9" width="13.42578125" style="43" customWidth="1"/>
    <col min="10" max="11" width="13.28515625" style="43" customWidth="1"/>
    <col min="12" max="12" width="14.5703125" style="44" customWidth="1"/>
    <col min="13" max="13" width="16.5703125" style="45" customWidth="1"/>
    <col min="14" max="14" width="12" style="42" customWidth="1"/>
    <col min="15" max="16384" width="9.140625" style="42"/>
  </cols>
  <sheetData>
    <row r="1" spans="2:27" ht="13.5" thickBot="1" x14ac:dyDescent="0.25">
      <c r="O1" s="345" t="s">
        <v>75</v>
      </c>
      <c r="P1" s="346"/>
      <c r="Q1" s="346"/>
      <c r="R1" s="347"/>
      <c r="S1" s="112"/>
      <c r="T1" s="112"/>
      <c r="U1" s="112"/>
      <c r="V1" s="112"/>
      <c r="W1" s="112"/>
      <c r="X1" s="112"/>
      <c r="Y1" s="112"/>
      <c r="Z1" s="112"/>
      <c r="AA1" s="112"/>
    </row>
    <row r="2" spans="2:27" ht="35.25" x14ac:dyDescent="0.2">
      <c r="B2" s="331" t="s">
        <v>48</v>
      </c>
      <c r="C2" s="326" t="s">
        <v>11</v>
      </c>
      <c r="D2" s="328" t="s">
        <v>1</v>
      </c>
      <c r="E2" s="328" t="s">
        <v>0</v>
      </c>
      <c r="F2" s="330" t="s">
        <v>2</v>
      </c>
      <c r="G2" s="46" t="s">
        <v>10</v>
      </c>
      <c r="H2" s="47" t="s">
        <v>36</v>
      </c>
      <c r="I2" s="113" t="s">
        <v>80</v>
      </c>
      <c r="J2" s="47" t="s">
        <v>37</v>
      </c>
      <c r="K2" s="113" t="s">
        <v>81</v>
      </c>
      <c r="L2" s="48" t="s">
        <v>35</v>
      </c>
      <c r="M2" s="48" t="s">
        <v>50</v>
      </c>
      <c r="O2" s="49" t="s">
        <v>76</v>
      </c>
      <c r="P2" s="49" t="s">
        <v>77</v>
      </c>
      <c r="Q2" s="49" t="s">
        <v>76</v>
      </c>
      <c r="R2" s="50" t="s">
        <v>78</v>
      </c>
      <c r="S2" s="112"/>
      <c r="T2" s="112"/>
      <c r="U2" s="112"/>
      <c r="V2" s="112"/>
      <c r="W2" s="112"/>
      <c r="X2" s="112"/>
      <c r="Y2" s="112"/>
      <c r="Z2" s="112"/>
      <c r="AA2" s="112"/>
    </row>
    <row r="3" spans="2:27" ht="13.5" thickBot="1" x14ac:dyDescent="0.25">
      <c r="B3" s="332"/>
      <c r="C3" s="327"/>
      <c r="D3" s="329"/>
      <c r="E3" s="329"/>
      <c r="F3" s="329"/>
      <c r="G3" s="261" t="s">
        <v>39</v>
      </c>
      <c r="H3" s="117" t="s">
        <v>38</v>
      </c>
      <c r="I3" s="117" t="s">
        <v>38</v>
      </c>
      <c r="J3" s="117" t="s">
        <v>38</v>
      </c>
      <c r="K3" s="117" t="s">
        <v>38</v>
      </c>
      <c r="L3" s="118" t="s">
        <v>38</v>
      </c>
      <c r="M3" s="119" t="s">
        <v>38</v>
      </c>
      <c r="O3" s="49">
        <f>(1-0.2/100)</f>
        <v>0.998</v>
      </c>
      <c r="P3" s="49">
        <f>(1+0.2/100)</f>
        <v>1.002</v>
      </c>
      <c r="Q3" s="49" t="s">
        <v>77</v>
      </c>
      <c r="R3" s="50" t="s">
        <v>79</v>
      </c>
      <c r="S3" s="112"/>
      <c r="T3" s="112"/>
      <c r="U3" s="112"/>
      <c r="V3" s="112"/>
      <c r="W3" s="112"/>
      <c r="X3" s="112"/>
      <c r="Y3" s="112"/>
      <c r="Z3" s="112"/>
      <c r="AA3" s="112"/>
    </row>
    <row r="4" spans="2:27" ht="12.75" customHeight="1" x14ac:dyDescent="0.2">
      <c r="B4" s="320">
        <v>43922</v>
      </c>
      <c r="C4" s="11">
        <v>1</v>
      </c>
      <c r="D4" s="5" t="s">
        <v>4</v>
      </c>
      <c r="E4" s="6" t="s">
        <v>3</v>
      </c>
      <c r="F4" s="5">
        <v>4</v>
      </c>
      <c r="G4" s="315">
        <v>4.8</v>
      </c>
      <c r="H4" s="335">
        <v>555583</v>
      </c>
      <c r="I4" s="335">
        <v>555583</v>
      </c>
      <c r="J4" s="335">
        <v>582</v>
      </c>
      <c r="K4" s="335">
        <v>582</v>
      </c>
      <c r="L4" s="333">
        <f>I4-K4</f>
        <v>555001</v>
      </c>
      <c r="M4" s="323">
        <v>3705828</v>
      </c>
      <c r="O4" s="112"/>
      <c r="P4" s="112"/>
      <c r="Q4" s="112"/>
      <c r="R4" s="112"/>
      <c r="S4" s="112"/>
      <c r="T4" s="112"/>
      <c r="U4" s="112"/>
      <c r="V4" s="112"/>
      <c r="W4" s="112"/>
      <c r="X4" s="112"/>
      <c r="Y4" s="112"/>
      <c r="Z4" s="112"/>
      <c r="AA4" s="112"/>
    </row>
    <row r="5" spans="2:27" x14ac:dyDescent="0.2">
      <c r="B5" s="321"/>
      <c r="C5" s="7">
        <v>2</v>
      </c>
      <c r="D5" s="1" t="s">
        <v>5</v>
      </c>
      <c r="E5" s="2" t="s">
        <v>3</v>
      </c>
      <c r="F5" s="1">
        <v>2</v>
      </c>
      <c r="G5" s="316"/>
      <c r="H5" s="336"/>
      <c r="I5" s="336"/>
      <c r="J5" s="336"/>
      <c r="K5" s="336"/>
      <c r="L5" s="334"/>
      <c r="M5" s="324"/>
      <c r="N5" s="51"/>
      <c r="O5" s="112"/>
      <c r="P5" s="112"/>
      <c r="Q5" s="112"/>
      <c r="R5" s="112"/>
      <c r="S5" s="112"/>
      <c r="T5" s="112"/>
      <c r="U5" s="112"/>
      <c r="V5" s="112"/>
      <c r="W5" s="112"/>
      <c r="X5" s="112"/>
      <c r="Y5" s="112"/>
      <c r="Z5" s="112"/>
      <c r="AA5" s="112"/>
    </row>
    <row r="6" spans="2:27" x14ac:dyDescent="0.2">
      <c r="B6" s="321"/>
      <c r="C6" s="7">
        <v>3</v>
      </c>
      <c r="D6" s="1" t="s">
        <v>4</v>
      </c>
      <c r="E6" s="2" t="s">
        <v>3</v>
      </c>
      <c r="F6" s="1">
        <v>6</v>
      </c>
      <c r="G6" s="114">
        <f>F6*0.8</f>
        <v>4.8000000000000007</v>
      </c>
      <c r="H6" s="238">
        <v>535197</v>
      </c>
      <c r="I6" s="238">
        <v>535197</v>
      </c>
      <c r="J6" s="238">
        <v>561</v>
      </c>
      <c r="K6" s="238">
        <v>561</v>
      </c>
      <c r="L6" s="240">
        <f>I6-K6</f>
        <v>534636</v>
      </c>
      <c r="M6" s="324"/>
    </row>
    <row r="7" spans="2:27" x14ac:dyDescent="0.2">
      <c r="B7" s="321"/>
      <c r="C7" s="7">
        <v>4</v>
      </c>
      <c r="D7" s="3" t="s">
        <v>6</v>
      </c>
      <c r="E7" s="4" t="s">
        <v>3</v>
      </c>
      <c r="F7" s="3">
        <v>5</v>
      </c>
      <c r="G7" s="115">
        <f>F7*0.8</f>
        <v>4</v>
      </c>
      <c r="H7" s="238">
        <v>406376</v>
      </c>
      <c r="I7" s="238">
        <v>406376</v>
      </c>
      <c r="J7" s="238">
        <v>426</v>
      </c>
      <c r="K7" s="238">
        <v>426</v>
      </c>
      <c r="L7" s="240">
        <f>I7-K7</f>
        <v>405950</v>
      </c>
      <c r="M7" s="324"/>
    </row>
    <row r="8" spans="2:27" x14ac:dyDescent="0.2">
      <c r="B8" s="321"/>
      <c r="C8" s="7">
        <v>5</v>
      </c>
      <c r="D8" s="9" t="s">
        <v>9</v>
      </c>
      <c r="E8" s="10" t="s">
        <v>7</v>
      </c>
      <c r="F8" s="52">
        <v>4</v>
      </c>
      <c r="G8" s="116">
        <f>F8*0.8</f>
        <v>3.2</v>
      </c>
      <c r="H8" s="238">
        <v>338750</v>
      </c>
      <c r="I8" s="238">
        <v>338750</v>
      </c>
      <c r="J8" s="238">
        <v>425</v>
      </c>
      <c r="K8" s="238">
        <v>425</v>
      </c>
      <c r="L8" s="240">
        <f>I8-K8</f>
        <v>338325</v>
      </c>
      <c r="M8" s="324"/>
    </row>
    <row r="9" spans="2:27" ht="13.5" thickBot="1" x14ac:dyDescent="0.25">
      <c r="B9" s="322"/>
      <c r="C9" s="8">
        <v>6</v>
      </c>
      <c r="D9" s="249" t="s">
        <v>8</v>
      </c>
      <c r="E9" s="250" t="s">
        <v>7</v>
      </c>
      <c r="F9" s="251">
        <v>16</v>
      </c>
      <c r="G9" s="252">
        <f>F9*0.8</f>
        <v>12.8</v>
      </c>
      <c r="H9" s="262">
        <v>1710782</v>
      </c>
      <c r="I9" s="262">
        <v>1710782</v>
      </c>
      <c r="J9" s="262">
        <v>2145</v>
      </c>
      <c r="K9" s="262">
        <v>2145</v>
      </c>
      <c r="L9" s="254">
        <f>I9-K9</f>
        <v>1708637</v>
      </c>
      <c r="M9" s="325"/>
    </row>
    <row r="10" spans="2:27" ht="12.75" customHeight="1" x14ac:dyDescent="0.2">
      <c r="B10" s="320">
        <v>43952</v>
      </c>
      <c r="C10" s="11">
        <v>1</v>
      </c>
      <c r="D10" s="5" t="s">
        <v>4</v>
      </c>
      <c r="E10" s="6" t="s">
        <v>3</v>
      </c>
      <c r="F10" s="5">
        <v>4</v>
      </c>
      <c r="G10" s="315">
        <v>4.8</v>
      </c>
      <c r="H10" s="335">
        <v>747492</v>
      </c>
      <c r="I10" s="335">
        <v>747492</v>
      </c>
      <c r="J10" s="335">
        <v>264</v>
      </c>
      <c r="K10" s="335">
        <v>264</v>
      </c>
      <c r="L10" s="333">
        <f>I10-K10</f>
        <v>747228</v>
      </c>
      <c r="M10" s="323">
        <v>4983620</v>
      </c>
    </row>
    <row r="11" spans="2:27" x14ac:dyDescent="0.2">
      <c r="B11" s="321"/>
      <c r="C11" s="7">
        <v>2</v>
      </c>
      <c r="D11" s="1" t="s">
        <v>5</v>
      </c>
      <c r="E11" s="2" t="s">
        <v>3</v>
      </c>
      <c r="F11" s="1">
        <v>2</v>
      </c>
      <c r="G11" s="316"/>
      <c r="H11" s="336"/>
      <c r="I11" s="336"/>
      <c r="J11" s="336"/>
      <c r="K11" s="336"/>
      <c r="L11" s="334"/>
      <c r="M11" s="324"/>
    </row>
    <row r="12" spans="2:27" x14ac:dyDescent="0.2">
      <c r="B12" s="321"/>
      <c r="C12" s="7">
        <v>3</v>
      </c>
      <c r="D12" s="1" t="s">
        <v>4</v>
      </c>
      <c r="E12" s="2" t="s">
        <v>3</v>
      </c>
      <c r="F12" s="1">
        <v>6</v>
      </c>
      <c r="G12" s="114">
        <f>F12*0.8</f>
        <v>4.8000000000000007</v>
      </c>
      <c r="H12" s="120">
        <v>766361</v>
      </c>
      <c r="I12" s="120">
        <v>766361</v>
      </c>
      <c r="J12" s="120">
        <v>271</v>
      </c>
      <c r="K12" s="120">
        <v>271</v>
      </c>
      <c r="L12" s="240">
        <f>I12-K12</f>
        <v>766090</v>
      </c>
      <c r="M12" s="324"/>
    </row>
    <row r="13" spans="2:27" x14ac:dyDescent="0.2">
      <c r="B13" s="321"/>
      <c r="C13" s="7">
        <v>4</v>
      </c>
      <c r="D13" s="3" t="s">
        <v>6</v>
      </c>
      <c r="E13" s="4" t="s">
        <v>3</v>
      </c>
      <c r="F13" s="3">
        <v>5</v>
      </c>
      <c r="G13" s="115">
        <f>F13*0.8</f>
        <v>4</v>
      </c>
      <c r="H13" s="120">
        <v>620591</v>
      </c>
      <c r="I13" s="120">
        <v>620591</v>
      </c>
      <c r="J13" s="120">
        <v>219</v>
      </c>
      <c r="K13" s="120">
        <v>219</v>
      </c>
      <c r="L13" s="240">
        <f>I13-K13</f>
        <v>620372</v>
      </c>
      <c r="M13" s="324"/>
    </row>
    <row r="14" spans="2:27" x14ac:dyDescent="0.2">
      <c r="B14" s="321"/>
      <c r="C14" s="7">
        <v>5</v>
      </c>
      <c r="D14" s="9" t="s">
        <v>9</v>
      </c>
      <c r="E14" s="10" t="s">
        <v>7</v>
      </c>
      <c r="F14" s="52">
        <v>4</v>
      </c>
      <c r="G14" s="116">
        <f>F14*0.8</f>
        <v>3.2</v>
      </c>
      <c r="H14" s="120">
        <v>500305</v>
      </c>
      <c r="I14" s="120">
        <v>500305</v>
      </c>
      <c r="J14" s="120">
        <v>229</v>
      </c>
      <c r="K14" s="120">
        <v>229</v>
      </c>
      <c r="L14" s="240">
        <f>I14-K14</f>
        <v>500076</v>
      </c>
      <c r="M14" s="324"/>
    </row>
    <row r="15" spans="2:27" ht="13.5" thickBot="1" x14ac:dyDescent="0.25">
      <c r="B15" s="322"/>
      <c r="C15" s="8">
        <v>6</v>
      </c>
      <c r="D15" s="249" t="s">
        <v>8</v>
      </c>
      <c r="E15" s="250" t="s">
        <v>7</v>
      </c>
      <c r="F15" s="251">
        <v>16</v>
      </c>
      <c r="G15" s="252">
        <f>F15*0.8</f>
        <v>12.8</v>
      </c>
      <c r="H15" s="253">
        <v>2169194</v>
      </c>
      <c r="I15" s="253">
        <v>2169194</v>
      </c>
      <c r="J15" s="253">
        <v>993</v>
      </c>
      <c r="K15" s="253">
        <v>993</v>
      </c>
      <c r="L15" s="254">
        <f>I15-K15</f>
        <v>2168201</v>
      </c>
      <c r="M15" s="325"/>
    </row>
    <row r="16" spans="2:27" ht="12.75" customHeight="1" x14ac:dyDescent="0.2">
      <c r="B16" s="320">
        <v>43983</v>
      </c>
      <c r="C16" s="12">
        <v>1</v>
      </c>
      <c r="D16" s="5" t="s">
        <v>4</v>
      </c>
      <c r="E16" s="6" t="s">
        <v>3</v>
      </c>
      <c r="F16" s="5">
        <v>4</v>
      </c>
      <c r="G16" s="315">
        <v>4.8</v>
      </c>
      <c r="H16" s="335">
        <v>1009418</v>
      </c>
      <c r="I16" s="335">
        <v>1009418</v>
      </c>
      <c r="J16" s="335">
        <v>246</v>
      </c>
      <c r="K16" s="335">
        <v>246</v>
      </c>
      <c r="L16" s="333">
        <f>I16-K16</f>
        <v>1009172</v>
      </c>
      <c r="M16" s="323">
        <v>5646537</v>
      </c>
    </row>
    <row r="17" spans="2:14" x14ac:dyDescent="0.2">
      <c r="B17" s="321"/>
      <c r="C17" s="13">
        <v>2</v>
      </c>
      <c r="D17" s="1" t="s">
        <v>5</v>
      </c>
      <c r="E17" s="2" t="s">
        <v>3</v>
      </c>
      <c r="F17" s="1">
        <v>2</v>
      </c>
      <c r="G17" s="316"/>
      <c r="H17" s="336"/>
      <c r="I17" s="336"/>
      <c r="J17" s="336"/>
      <c r="K17" s="336"/>
      <c r="L17" s="334"/>
      <c r="M17" s="324"/>
    </row>
    <row r="18" spans="2:14" x14ac:dyDescent="0.2">
      <c r="B18" s="321"/>
      <c r="C18" s="13">
        <v>3</v>
      </c>
      <c r="D18" s="1" t="s">
        <v>4</v>
      </c>
      <c r="E18" s="2" t="s">
        <v>3</v>
      </c>
      <c r="F18" s="1">
        <v>6</v>
      </c>
      <c r="G18" s="114">
        <f>F18*0.8</f>
        <v>4.8000000000000007</v>
      </c>
      <c r="H18" s="120">
        <v>1020404</v>
      </c>
      <c r="I18" s="120">
        <v>1020404</v>
      </c>
      <c r="J18" s="120">
        <v>248</v>
      </c>
      <c r="K18" s="120">
        <v>248</v>
      </c>
      <c r="L18" s="240">
        <f>I18-K18</f>
        <v>1020156</v>
      </c>
      <c r="M18" s="324"/>
    </row>
    <row r="19" spans="2:14" x14ac:dyDescent="0.2">
      <c r="B19" s="321"/>
      <c r="C19" s="13">
        <v>4</v>
      </c>
      <c r="D19" s="3" t="s">
        <v>6</v>
      </c>
      <c r="E19" s="4" t="s">
        <v>3</v>
      </c>
      <c r="F19" s="3">
        <v>5</v>
      </c>
      <c r="G19" s="115">
        <f>F19*0.8</f>
        <v>4</v>
      </c>
      <c r="H19" s="120">
        <v>849198</v>
      </c>
      <c r="I19" s="120">
        <v>849198</v>
      </c>
      <c r="J19" s="120">
        <v>207</v>
      </c>
      <c r="K19" s="120">
        <v>207</v>
      </c>
      <c r="L19" s="240">
        <f>I19-K19</f>
        <v>848991</v>
      </c>
      <c r="M19" s="324"/>
    </row>
    <row r="20" spans="2:14" x14ac:dyDescent="0.2">
      <c r="B20" s="321"/>
      <c r="C20" s="13">
        <v>5</v>
      </c>
      <c r="D20" s="9" t="s">
        <v>9</v>
      </c>
      <c r="E20" s="10" t="s">
        <v>7</v>
      </c>
      <c r="F20" s="52">
        <v>4</v>
      </c>
      <c r="G20" s="116">
        <f>F20*0.8</f>
        <v>3.2</v>
      </c>
      <c r="H20" s="120">
        <v>490905</v>
      </c>
      <c r="I20" s="120">
        <v>490905</v>
      </c>
      <c r="J20" s="120">
        <v>189</v>
      </c>
      <c r="K20" s="120">
        <v>189</v>
      </c>
      <c r="L20" s="240">
        <f>I20-K20</f>
        <v>490716</v>
      </c>
      <c r="M20" s="324"/>
    </row>
    <row r="21" spans="2:14" ht="13.5" thickBot="1" x14ac:dyDescent="0.25">
      <c r="B21" s="322"/>
      <c r="C21" s="14">
        <v>6</v>
      </c>
      <c r="D21" s="249" t="s">
        <v>8</v>
      </c>
      <c r="E21" s="250" t="s">
        <v>7</v>
      </c>
      <c r="F21" s="251">
        <v>16</v>
      </c>
      <c r="G21" s="252">
        <f>F21*0.8</f>
        <v>12.8</v>
      </c>
      <c r="H21" s="253">
        <v>2069740</v>
      </c>
      <c r="I21" s="253">
        <v>2069740</v>
      </c>
      <c r="J21" s="253">
        <v>795</v>
      </c>
      <c r="K21" s="253">
        <v>795</v>
      </c>
      <c r="L21" s="254">
        <f>I21-K21</f>
        <v>2068945</v>
      </c>
      <c r="M21" s="325"/>
    </row>
    <row r="22" spans="2:14" ht="12.75" customHeight="1" x14ac:dyDescent="0.2">
      <c r="B22" s="320">
        <v>44013</v>
      </c>
      <c r="C22" s="12">
        <v>1</v>
      </c>
      <c r="D22" s="5" t="s">
        <v>4</v>
      </c>
      <c r="E22" s="6" t="s">
        <v>3</v>
      </c>
      <c r="F22" s="5">
        <v>4</v>
      </c>
      <c r="G22" s="315">
        <v>4.8</v>
      </c>
      <c r="H22" s="335">
        <v>794290</v>
      </c>
      <c r="I22" s="335">
        <v>794290</v>
      </c>
      <c r="J22" s="335">
        <v>340</v>
      </c>
      <c r="K22" s="335">
        <v>340</v>
      </c>
      <c r="L22" s="333">
        <f>I22-K22</f>
        <v>793950</v>
      </c>
      <c r="M22" s="323">
        <v>4521653</v>
      </c>
    </row>
    <row r="23" spans="2:14" x14ac:dyDescent="0.2">
      <c r="B23" s="321"/>
      <c r="C23" s="13">
        <v>2</v>
      </c>
      <c r="D23" s="1" t="s">
        <v>5</v>
      </c>
      <c r="E23" s="2" t="s">
        <v>3</v>
      </c>
      <c r="F23" s="1">
        <v>2</v>
      </c>
      <c r="G23" s="316"/>
      <c r="H23" s="336"/>
      <c r="I23" s="336"/>
      <c r="J23" s="336"/>
      <c r="K23" s="336"/>
      <c r="L23" s="334"/>
      <c r="M23" s="324"/>
    </row>
    <row r="24" spans="2:14" x14ac:dyDescent="0.2">
      <c r="B24" s="321"/>
      <c r="C24" s="13">
        <v>3</v>
      </c>
      <c r="D24" s="1" t="s">
        <v>4</v>
      </c>
      <c r="E24" s="2" t="s">
        <v>3</v>
      </c>
      <c r="F24" s="1">
        <v>6</v>
      </c>
      <c r="G24" s="114">
        <f>F24*0.8</f>
        <v>4.8000000000000007</v>
      </c>
      <c r="H24" s="120">
        <v>781651</v>
      </c>
      <c r="I24" s="120">
        <v>781651</v>
      </c>
      <c r="J24" s="120">
        <v>335</v>
      </c>
      <c r="K24" s="120">
        <v>335</v>
      </c>
      <c r="L24" s="240">
        <f>I24-K24</f>
        <v>781316</v>
      </c>
      <c r="M24" s="324"/>
    </row>
    <row r="25" spans="2:14" x14ac:dyDescent="0.2">
      <c r="B25" s="321"/>
      <c r="C25" s="13">
        <v>4</v>
      </c>
      <c r="D25" s="3" t="s">
        <v>6</v>
      </c>
      <c r="E25" s="4" t="s">
        <v>3</v>
      </c>
      <c r="F25" s="3">
        <v>5</v>
      </c>
      <c r="G25" s="115">
        <f>F25*0.8</f>
        <v>4</v>
      </c>
      <c r="H25" s="120">
        <v>695560</v>
      </c>
      <c r="I25" s="120">
        <v>695560</v>
      </c>
      <c r="J25" s="120">
        <v>298</v>
      </c>
      <c r="K25" s="120">
        <v>298</v>
      </c>
      <c r="L25" s="240">
        <f>I25-K25</f>
        <v>695262</v>
      </c>
      <c r="M25" s="324"/>
      <c r="N25" s="53"/>
    </row>
    <row r="26" spans="2:14" x14ac:dyDescent="0.2">
      <c r="B26" s="321"/>
      <c r="C26" s="13">
        <v>5</v>
      </c>
      <c r="D26" s="9" t="s">
        <v>9</v>
      </c>
      <c r="E26" s="10" t="s">
        <v>7</v>
      </c>
      <c r="F26" s="52">
        <v>4</v>
      </c>
      <c r="G26" s="116">
        <f>F26*0.8</f>
        <v>3.2</v>
      </c>
      <c r="H26" s="120">
        <v>408312</v>
      </c>
      <c r="I26" s="120">
        <v>408312</v>
      </c>
      <c r="J26" s="120">
        <v>139</v>
      </c>
      <c r="K26" s="120">
        <v>139</v>
      </c>
      <c r="L26" s="240">
        <f>I26-K26</f>
        <v>408173</v>
      </c>
      <c r="M26" s="324"/>
    </row>
    <row r="27" spans="2:14" ht="13.5" thickBot="1" x14ac:dyDescent="0.25">
      <c r="B27" s="322"/>
      <c r="C27" s="14">
        <v>6</v>
      </c>
      <c r="D27" s="249" t="s">
        <v>8</v>
      </c>
      <c r="E27" s="250" t="s">
        <v>7</v>
      </c>
      <c r="F27" s="251">
        <v>16</v>
      </c>
      <c r="G27" s="252">
        <f>F27*0.8</f>
        <v>12.8</v>
      </c>
      <c r="H27" s="253">
        <v>1757540</v>
      </c>
      <c r="I27" s="253">
        <v>1757540</v>
      </c>
      <c r="J27" s="253">
        <v>599</v>
      </c>
      <c r="K27" s="253">
        <v>599</v>
      </c>
      <c r="L27" s="254">
        <f>I27-K27</f>
        <v>1756941</v>
      </c>
      <c r="M27" s="325"/>
    </row>
    <row r="28" spans="2:14" ht="12.75" customHeight="1" x14ac:dyDescent="0.2">
      <c r="B28" s="320">
        <v>44044</v>
      </c>
      <c r="C28" s="12">
        <v>1</v>
      </c>
      <c r="D28" s="5" t="s">
        <v>4</v>
      </c>
      <c r="E28" s="6" t="s">
        <v>3</v>
      </c>
      <c r="F28" s="5">
        <v>4</v>
      </c>
      <c r="G28" s="315">
        <v>4.8</v>
      </c>
      <c r="H28" s="335">
        <v>626106</v>
      </c>
      <c r="I28" s="335">
        <v>626106</v>
      </c>
      <c r="J28" s="335">
        <v>865</v>
      </c>
      <c r="K28" s="335">
        <v>865</v>
      </c>
      <c r="L28" s="333">
        <f>I28-K28</f>
        <v>625241</v>
      </c>
      <c r="M28" s="323">
        <v>3489299</v>
      </c>
    </row>
    <row r="29" spans="2:14" x14ac:dyDescent="0.2">
      <c r="B29" s="321"/>
      <c r="C29" s="13">
        <v>2</v>
      </c>
      <c r="D29" s="1" t="s">
        <v>5</v>
      </c>
      <c r="E29" s="2" t="s">
        <v>3</v>
      </c>
      <c r="F29" s="1">
        <v>2</v>
      </c>
      <c r="G29" s="316"/>
      <c r="H29" s="336"/>
      <c r="I29" s="336"/>
      <c r="J29" s="336"/>
      <c r="K29" s="336"/>
      <c r="L29" s="334"/>
      <c r="M29" s="324"/>
    </row>
    <row r="30" spans="2:14" x14ac:dyDescent="0.2">
      <c r="B30" s="321"/>
      <c r="C30" s="13">
        <v>3</v>
      </c>
      <c r="D30" s="1" t="s">
        <v>4</v>
      </c>
      <c r="E30" s="2" t="s">
        <v>3</v>
      </c>
      <c r="F30" s="1">
        <v>6</v>
      </c>
      <c r="G30" s="114">
        <f>F30*0.8</f>
        <v>4.8000000000000007</v>
      </c>
      <c r="H30" s="120">
        <v>630216</v>
      </c>
      <c r="I30" s="120">
        <v>630216</v>
      </c>
      <c r="J30" s="120">
        <v>871</v>
      </c>
      <c r="K30" s="120">
        <v>871</v>
      </c>
      <c r="L30" s="240">
        <f>I30-K30</f>
        <v>629345</v>
      </c>
      <c r="M30" s="324"/>
    </row>
    <row r="31" spans="2:14" x14ac:dyDescent="0.2">
      <c r="B31" s="321"/>
      <c r="C31" s="13">
        <v>4</v>
      </c>
      <c r="D31" s="3" t="s">
        <v>6</v>
      </c>
      <c r="E31" s="4" t="s">
        <v>3</v>
      </c>
      <c r="F31" s="3">
        <v>5</v>
      </c>
      <c r="G31" s="115">
        <f>F31*0.8</f>
        <v>4</v>
      </c>
      <c r="H31" s="120">
        <v>531494</v>
      </c>
      <c r="I31" s="120">
        <v>531494</v>
      </c>
      <c r="J31" s="120">
        <v>734</v>
      </c>
      <c r="K31" s="120">
        <v>734</v>
      </c>
      <c r="L31" s="240">
        <f>I31-K31</f>
        <v>530760</v>
      </c>
      <c r="M31" s="324"/>
    </row>
    <row r="32" spans="2:14" x14ac:dyDescent="0.2">
      <c r="B32" s="321"/>
      <c r="C32" s="13">
        <v>5</v>
      </c>
      <c r="D32" s="9" t="s">
        <v>9</v>
      </c>
      <c r="E32" s="10" t="s">
        <v>7</v>
      </c>
      <c r="F32" s="52">
        <v>4</v>
      </c>
      <c r="G32" s="116">
        <f>F32*0.8</f>
        <v>3.2</v>
      </c>
      <c r="H32" s="132">
        <v>225700</v>
      </c>
      <c r="I32" s="131">
        <f>H32*(1-0.2%)</f>
        <v>225248.6</v>
      </c>
      <c r="J32" s="130">
        <v>182</v>
      </c>
      <c r="K32" s="131">
        <f>J32*(1+0.2%)</f>
        <v>182.364</v>
      </c>
      <c r="L32" s="239">
        <f>I32-K32</f>
        <v>225066.236</v>
      </c>
      <c r="M32" s="324"/>
    </row>
    <row r="33" spans="2:13" ht="13.5" thickBot="1" x14ac:dyDescent="0.25">
      <c r="B33" s="322"/>
      <c r="C33" s="14">
        <v>6</v>
      </c>
      <c r="D33" s="249" t="s">
        <v>8</v>
      </c>
      <c r="E33" s="250" t="s">
        <v>7</v>
      </c>
      <c r="F33" s="251">
        <v>16</v>
      </c>
      <c r="G33" s="252">
        <f>F33*0.8</f>
        <v>12.8</v>
      </c>
      <c r="H33" s="260">
        <v>1271403</v>
      </c>
      <c r="I33" s="259">
        <f>H33*(1-0.2%)</f>
        <v>1268860.1939999999</v>
      </c>
      <c r="J33" s="257">
        <v>1022</v>
      </c>
      <c r="K33" s="259">
        <f>J33*(1+0.2%)</f>
        <v>1024.0440000000001</v>
      </c>
      <c r="L33" s="258">
        <f>I33-K33</f>
        <v>1267836.1499999999</v>
      </c>
      <c r="M33" s="325"/>
    </row>
    <row r="34" spans="2:13" ht="12.75" customHeight="1" x14ac:dyDescent="0.2">
      <c r="B34" s="320">
        <v>44075</v>
      </c>
      <c r="C34" s="12">
        <v>1</v>
      </c>
      <c r="D34" s="5" t="s">
        <v>4</v>
      </c>
      <c r="E34" s="6" t="s">
        <v>3</v>
      </c>
      <c r="F34" s="5">
        <v>4</v>
      </c>
      <c r="G34" s="315">
        <v>4.8</v>
      </c>
      <c r="H34" s="335">
        <v>313046</v>
      </c>
      <c r="I34" s="335">
        <v>313046</v>
      </c>
      <c r="J34" s="335">
        <v>540</v>
      </c>
      <c r="K34" s="335">
        <v>540</v>
      </c>
      <c r="L34" s="333">
        <f>I34-K34</f>
        <v>312506</v>
      </c>
      <c r="M34" s="323">
        <v>1854855</v>
      </c>
    </row>
    <row r="35" spans="2:13" x14ac:dyDescent="0.2">
      <c r="B35" s="321"/>
      <c r="C35" s="13">
        <v>2</v>
      </c>
      <c r="D35" s="1" t="s">
        <v>5</v>
      </c>
      <c r="E35" s="2" t="s">
        <v>3</v>
      </c>
      <c r="F35" s="1">
        <v>2</v>
      </c>
      <c r="G35" s="316"/>
      <c r="H35" s="336"/>
      <c r="I35" s="336"/>
      <c r="J35" s="336"/>
      <c r="K35" s="336"/>
      <c r="L35" s="334"/>
      <c r="M35" s="324"/>
    </row>
    <row r="36" spans="2:13" x14ac:dyDescent="0.2">
      <c r="B36" s="321"/>
      <c r="C36" s="13">
        <v>3</v>
      </c>
      <c r="D36" s="1" t="s">
        <v>4</v>
      </c>
      <c r="E36" s="2" t="s">
        <v>3</v>
      </c>
      <c r="F36" s="1">
        <v>6</v>
      </c>
      <c r="G36" s="114">
        <f>F36*0.8</f>
        <v>4.8000000000000007</v>
      </c>
      <c r="H36" s="120">
        <v>369030</v>
      </c>
      <c r="I36" s="120">
        <v>369030</v>
      </c>
      <c r="J36" s="120">
        <v>637</v>
      </c>
      <c r="K36" s="120">
        <v>637</v>
      </c>
      <c r="L36" s="240">
        <f>I36-K36</f>
        <v>368393</v>
      </c>
      <c r="M36" s="324"/>
    </row>
    <row r="37" spans="2:13" x14ac:dyDescent="0.2">
      <c r="B37" s="321"/>
      <c r="C37" s="13">
        <v>4</v>
      </c>
      <c r="D37" s="3" t="s">
        <v>6</v>
      </c>
      <c r="E37" s="4" t="s">
        <v>3</v>
      </c>
      <c r="F37" s="3">
        <v>5</v>
      </c>
      <c r="G37" s="115">
        <f>F37*0.8</f>
        <v>4</v>
      </c>
      <c r="H37" s="120">
        <v>259214</v>
      </c>
      <c r="I37" s="120">
        <v>259214</v>
      </c>
      <c r="J37" s="120">
        <v>447</v>
      </c>
      <c r="K37" s="120">
        <v>447</v>
      </c>
      <c r="L37" s="240">
        <f>I37-K37</f>
        <v>258767</v>
      </c>
      <c r="M37" s="324"/>
    </row>
    <row r="38" spans="2:13" x14ac:dyDescent="0.2">
      <c r="B38" s="321"/>
      <c r="C38" s="13">
        <v>5</v>
      </c>
      <c r="D38" s="9" t="s">
        <v>9</v>
      </c>
      <c r="E38" s="10" t="s">
        <v>7</v>
      </c>
      <c r="F38" s="52">
        <v>4</v>
      </c>
      <c r="G38" s="116">
        <f>F38*0.8</f>
        <v>3.2</v>
      </c>
      <c r="H38" s="120">
        <v>134475</v>
      </c>
      <c r="I38" s="131">
        <f>H38*(1-0.2%)</f>
        <v>134206.04999999999</v>
      </c>
      <c r="J38" s="130">
        <v>851</v>
      </c>
      <c r="K38" s="131">
        <f>J38*(1+0.2%)</f>
        <v>852.702</v>
      </c>
      <c r="L38" s="239">
        <f>I38-K38</f>
        <v>133353.348</v>
      </c>
      <c r="M38" s="324"/>
    </row>
    <row r="39" spans="2:13" ht="13.5" thickBot="1" x14ac:dyDescent="0.25">
      <c r="B39" s="322"/>
      <c r="C39" s="14">
        <v>6</v>
      </c>
      <c r="D39" s="249" t="s">
        <v>8</v>
      </c>
      <c r="E39" s="250" t="s">
        <v>7</v>
      </c>
      <c r="F39" s="251">
        <v>16</v>
      </c>
      <c r="G39" s="252">
        <f>F39*0.8</f>
        <v>12.8</v>
      </c>
      <c r="H39" s="253">
        <v>707028</v>
      </c>
      <c r="I39" s="259">
        <f>H39*(1-0.2%)</f>
        <v>705613.94400000002</v>
      </c>
      <c r="J39" s="257">
        <v>4475</v>
      </c>
      <c r="K39" s="259">
        <f>J39*(1+0.2%)</f>
        <v>4483.95</v>
      </c>
      <c r="L39" s="258">
        <f>I39-K39</f>
        <v>701129.99400000006</v>
      </c>
      <c r="M39" s="325"/>
    </row>
    <row r="40" spans="2:13" ht="12.75" customHeight="1" x14ac:dyDescent="0.2">
      <c r="B40" s="320">
        <v>44105</v>
      </c>
      <c r="C40" s="12">
        <v>1</v>
      </c>
      <c r="D40" s="5" t="s">
        <v>4</v>
      </c>
      <c r="E40" s="6" t="s">
        <v>3</v>
      </c>
      <c r="F40" s="5">
        <v>4</v>
      </c>
      <c r="G40" s="315">
        <v>4.8</v>
      </c>
      <c r="H40" s="335">
        <v>306282</v>
      </c>
      <c r="I40" s="335">
        <v>306282</v>
      </c>
      <c r="J40" s="335">
        <v>1704</v>
      </c>
      <c r="K40" s="335">
        <v>1704</v>
      </c>
      <c r="L40" s="333">
        <f>I40-K40</f>
        <v>304578</v>
      </c>
      <c r="M40" s="323">
        <v>1961375</v>
      </c>
    </row>
    <row r="41" spans="2:13" x14ac:dyDescent="0.2">
      <c r="B41" s="321"/>
      <c r="C41" s="13">
        <v>2</v>
      </c>
      <c r="D41" s="1" t="s">
        <v>5</v>
      </c>
      <c r="E41" s="2" t="s">
        <v>3</v>
      </c>
      <c r="F41" s="1">
        <v>2</v>
      </c>
      <c r="G41" s="316"/>
      <c r="H41" s="336"/>
      <c r="I41" s="336"/>
      <c r="J41" s="336"/>
      <c r="K41" s="336"/>
      <c r="L41" s="334"/>
      <c r="M41" s="324"/>
    </row>
    <row r="42" spans="2:13" x14ac:dyDescent="0.2">
      <c r="B42" s="321"/>
      <c r="C42" s="13">
        <v>3</v>
      </c>
      <c r="D42" s="1" t="s">
        <v>4</v>
      </c>
      <c r="E42" s="2" t="s">
        <v>3</v>
      </c>
      <c r="F42" s="1">
        <v>6</v>
      </c>
      <c r="G42" s="114">
        <f>F42*0.8</f>
        <v>4.8000000000000007</v>
      </c>
      <c r="H42" s="120">
        <v>313692</v>
      </c>
      <c r="I42" s="120">
        <v>313692</v>
      </c>
      <c r="J42" s="120">
        <v>1745</v>
      </c>
      <c r="K42" s="120">
        <v>1745</v>
      </c>
      <c r="L42" s="240">
        <f>I42-K42</f>
        <v>311947</v>
      </c>
      <c r="M42" s="324"/>
    </row>
    <row r="43" spans="2:13" x14ac:dyDescent="0.2">
      <c r="B43" s="321"/>
      <c r="C43" s="13">
        <v>4</v>
      </c>
      <c r="D43" s="3" t="s">
        <v>6</v>
      </c>
      <c r="E43" s="4" t="s">
        <v>3</v>
      </c>
      <c r="F43" s="3">
        <v>5</v>
      </c>
      <c r="G43" s="115">
        <f>F43*0.8</f>
        <v>4</v>
      </c>
      <c r="H43" s="120">
        <v>208736</v>
      </c>
      <c r="I43" s="120">
        <v>208736</v>
      </c>
      <c r="J43" s="120">
        <v>1161</v>
      </c>
      <c r="K43" s="120">
        <v>1161</v>
      </c>
      <c r="L43" s="240">
        <f>I43-K43</f>
        <v>207575</v>
      </c>
      <c r="M43" s="324"/>
    </row>
    <row r="44" spans="2:13" x14ac:dyDescent="0.2">
      <c r="B44" s="321"/>
      <c r="C44" s="13">
        <v>5</v>
      </c>
      <c r="D44" s="9" t="s">
        <v>9</v>
      </c>
      <c r="E44" s="10" t="s">
        <v>7</v>
      </c>
      <c r="F44" s="52">
        <v>4</v>
      </c>
      <c r="G44" s="116">
        <f>F44*0.8</f>
        <v>3.2</v>
      </c>
      <c r="H44" s="120">
        <v>178565</v>
      </c>
      <c r="I44" s="131">
        <f>H44*(1-0.2%)</f>
        <v>178207.87</v>
      </c>
      <c r="J44" s="130">
        <v>841</v>
      </c>
      <c r="K44" s="131">
        <f>J44*(1+0.2%)</f>
        <v>842.68200000000002</v>
      </c>
      <c r="L44" s="239">
        <f>I44-K44</f>
        <v>177365.18799999999</v>
      </c>
      <c r="M44" s="324"/>
    </row>
    <row r="45" spans="2:13" ht="13.5" thickBot="1" x14ac:dyDescent="0.25">
      <c r="B45" s="322"/>
      <c r="C45" s="14">
        <v>6</v>
      </c>
      <c r="D45" s="249" t="s">
        <v>8</v>
      </c>
      <c r="E45" s="250" t="s">
        <v>7</v>
      </c>
      <c r="F45" s="251">
        <v>16</v>
      </c>
      <c r="G45" s="252">
        <f>F45*0.8</f>
        <v>12.8</v>
      </c>
      <c r="H45" s="253">
        <v>876750</v>
      </c>
      <c r="I45" s="259">
        <f>H45*(1-0.2%)</f>
        <v>874996.5</v>
      </c>
      <c r="J45" s="257">
        <v>4129</v>
      </c>
      <c r="K45" s="259">
        <f>J45*(1+0.2%)</f>
        <v>4137.2579999999998</v>
      </c>
      <c r="L45" s="258">
        <f>I45-K45</f>
        <v>870859.24199999997</v>
      </c>
      <c r="M45" s="325"/>
    </row>
    <row r="46" spans="2:13" ht="12.75" customHeight="1" x14ac:dyDescent="0.2">
      <c r="B46" s="320">
        <v>44136</v>
      </c>
      <c r="C46" s="15">
        <v>1</v>
      </c>
      <c r="D46" s="5" t="s">
        <v>4</v>
      </c>
      <c r="E46" s="6" t="s">
        <v>3</v>
      </c>
      <c r="F46" s="5">
        <v>4</v>
      </c>
      <c r="G46" s="315">
        <v>4.8</v>
      </c>
      <c r="H46" s="335">
        <v>312508</v>
      </c>
      <c r="I46" s="335">
        <v>312508</v>
      </c>
      <c r="J46" s="335">
        <v>1816</v>
      </c>
      <c r="K46" s="335">
        <v>1816</v>
      </c>
      <c r="L46" s="333">
        <f>I46-K46</f>
        <v>310692</v>
      </c>
      <c r="M46" s="323">
        <v>1750376</v>
      </c>
    </row>
    <row r="47" spans="2:13" ht="12.75" customHeight="1" x14ac:dyDescent="0.2">
      <c r="B47" s="321"/>
      <c r="C47" s="3">
        <v>2</v>
      </c>
      <c r="D47" s="1" t="s">
        <v>5</v>
      </c>
      <c r="E47" s="2" t="s">
        <v>3</v>
      </c>
      <c r="F47" s="1">
        <v>2</v>
      </c>
      <c r="G47" s="316"/>
      <c r="H47" s="336"/>
      <c r="I47" s="336"/>
      <c r="J47" s="336"/>
      <c r="K47" s="336"/>
      <c r="L47" s="334"/>
      <c r="M47" s="324"/>
    </row>
    <row r="48" spans="2:13" ht="12.75" customHeight="1" x14ac:dyDescent="0.2">
      <c r="B48" s="321"/>
      <c r="C48" s="3">
        <v>3</v>
      </c>
      <c r="D48" s="1" t="s">
        <v>4</v>
      </c>
      <c r="E48" s="2" t="s">
        <v>3</v>
      </c>
      <c r="F48" s="1">
        <v>6</v>
      </c>
      <c r="G48" s="114">
        <f>F48*0.8</f>
        <v>4.8000000000000007</v>
      </c>
      <c r="H48" s="120">
        <v>325144</v>
      </c>
      <c r="I48" s="120">
        <v>325144</v>
      </c>
      <c r="J48" s="120">
        <v>1889</v>
      </c>
      <c r="K48" s="120">
        <v>1889</v>
      </c>
      <c r="L48" s="240">
        <f>I48-K48</f>
        <v>323255</v>
      </c>
      <c r="M48" s="324"/>
    </row>
    <row r="49" spans="2:13" ht="12.75" customHeight="1" x14ac:dyDescent="0.2">
      <c r="B49" s="321"/>
      <c r="C49" s="3">
        <v>4</v>
      </c>
      <c r="D49" s="3" t="s">
        <v>6</v>
      </c>
      <c r="E49" s="4" t="s">
        <v>3</v>
      </c>
      <c r="F49" s="3">
        <v>5</v>
      </c>
      <c r="G49" s="115">
        <f>F49*0.8</f>
        <v>4</v>
      </c>
      <c r="H49" s="120">
        <v>231140</v>
      </c>
      <c r="I49" s="120">
        <v>231140</v>
      </c>
      <c r="J49" s="120">
        <v>1343</v>
      </c>
      <c r="K49" s="120">
        <v>1343</v>
      </c>
      <c r="L49" s="240">
        <f>I49-K49</f>
        <v>229797</v>
      </c>
      <c r="M49" s="324"/>
    </row>
    <row r="50" spans="2:13" ht="12.75" customHeight="1" x14ac:dyDescent="0.2">
      <c r="B50" s="321"/>
      <c r="C50" s="3">
        <v>5</v>
      </c>
      <c r="D50" s="9" t="s">
        <v>9</v>
      </c>
      <c r="E50" s="10" t="s">
        <v>7</v>
      </c>
      <c r="F50" s="52">
        <v>4</v>
      </c>
      <c r="G50" s="116">
        <f>F50*0.8</f>
        <v>3.2</v>
      </c>
      <c r="H50" s="120">
        <v>217602</v>
      </c>
      <c r="I50" s="131">
        <f>H50*(1-0.2%)</f>
        <v>217166.796</v>
      </c>
      <c r="J50" s="130">
        <v>707</v>
      </c>
      <c r="K50" s="131">
        <f>J50*(1+0.2%)</f>
        <v>708.41399999999999</v>
      </c>
      <c r="L50" s="239">
        <f>I50-K50</f>
        <v>216458.38200000001</v>
      </c>
      <c r="M50" s="324"/>
    </row>
    <row r="51" spans="2:13" ht="12.75" customHeight="1" thickBot="1" x14ac:dyDescent="0.25">
      <c r="B51" s="322"/>
      <c r="C51" s="16">
        <v>6</v>
      </c>
      <c r="D51" s="249" t="s">
        <v>8</v>
      </c>
      <c r="E51" s="250" t="s">
        <v>7</v>
      </c>
      <c r="F51" s="251">
        <v>16</v>
      </c>
      <c r="G51" s="252">
        <f>F51*0.8</f>
        <v>12.8</v>
      </c>
      <c r="H51" s="253">
        <v>912722</v>
      </c>
      <c r="I51" s="259">
        <f>H51*(1-0.2%)</f>
        <v>910896.55599999998</v>
      </c>
      <c r="J51" s="257">
        <v>2965</v>
      </c>
      <c r="K51" s="259">
        <f>J51*(1+0.2%)</f>
        <v>2970.93</v>
      </c>
      <c r="L51" s="258">
        <f>I51-K51</f>
        <v>907925.62599999993</v>
      </c>
      <c r="M51" s="325"/>
    </row>
    <row r="52" spans="2:13" ht="12.75" customHeight="1" x14ac:dyDescent="0.2">
      <c r="B52" s="320">
        <v>44166</v>
      </c>
      <c r="C52" s="15">
        <v>1</v>
      </c>
      <c r="D52" s="5" t="s">
        <v>4</v>
      </c>
      <c r="E52" s="6" t="s">
        <v>3</v>
      </c>
      <c r="F52" s="5">
        <v>4</v>
      </c>
      <c r="G52" s="315">
        <v>4.8</v>
      </c>
      <c r="H52" s="335">
        <v>397510</v>
      </c>
      <c r="I52" s="335">
        <v>397510</v>
      </c>
      <c r="J52" s="335">
        <v>585</v>
      </c>
      <c r="K52" s="335">
        <v>585</v>
      </c>
      <c r="L52" s="333">
        <f>I52-K52</f>
        <v>396925</v>
      </c>
      <c r="M52" s="323">
        <v>3335384</v>
      </c>
    </row>
    <row r="53" spans="2:13" ht="12.75" customHeight="1" x14ac:dyDescent="0.2">
      <c r="B53" s="321"/>
      <c r="C53" s="3">
        <v>2</v>
      </c>
      <c r="D53" s="1" t="s">
        <v>5</v>
      </c>
      <c r="E53" s="2" t="s">
        <v>3</v>
      </c>
      <c r="F53" s="1">
        <v>2</v>
      </c>
      <c r="G53" s="316"/>
      <c r="H53" s="336"/>
      <c r="I53" s="336"/>
      <c r="J53" s="336"/>
      <c r="K53" s="336"/>
      <c r="L53" s="334"/>
      <c r="M53" s="324"/>
    </row>
    <row r="54" spans="2:13" ht="12.75" customHeight="1" x14ac:dyDescent="0.2">
      <c r="B54" s="321"/>
      <c r="C54" s="3">
        <v>3</v>
      </c>
      <c r="D54" s="1" t="s">
        <v>4</v>
      </c>
      <c r="E54" s="2" t="s">
        <v>3</v>
      </c>
      <c r="F54" s="1">
        <v>6</v>
      </c>
      <c r="G54" s="114">
        <f>F54*0.8</f>
        <v>4.8000000000000007</v>
      </c>
      <c r="H54" s="120">
        <v>452972</v>
      </c>
      <c r="I54" s="120">
        <v>452972</v>
      </c>
      <c r="J54" s="120">
        <v>667</v>
      </c>
      <c r="K54" s="120">
        <v>667</v>
      </c>
      <c r="L54" s="240">
        <f>I54-K54</f>
        <v>452305</v>
      </c>
      <c r="M54" s="324"/>
    </row>
    <row r="55" spans="2:13" ht="12.75" customHeight="1" x14ac:dyDescent="0.2">
      <c r="B55" s="321"/>
      <c r="C55" s="3">
        <v>4</v>
      </c>
      <c r="D55" s="3" t="s">
        <v>6</v>
      </c>
      <c r="E55" s="4" t="s">
        <v>3</v>
      </c>
      <c r="F55" s="3">
        <v>5</v>
      </c>
      <c r="G55" s="115">
        <f>F55*0.8</f>
        <v>4</v>
      </c>
      <c r="H55" s="120">
        <v>306640</v>
      </c>
      <c r="I55" s="120">
        <v>306640</v>
      </c>
      <c r="J55" s="120">
        <v>451</v>
      </c>
      <c r="K55" s="120">
        <v>451</v>
      </c>
      <c r="L55" s="240">
        <f>I55-K55</f>
        <v>306189</v>
      </c>
      <c r="M55" s="324"/>
    </row>
    <row r="56" spans="2:13" ht="12.75" customHeight="1" x14ac:dyDescent="0.2">
      <c r="B56" s="321"/>
      <c r="C56" s="3">
        <v>5</v>
      </c>
      <c r="D56" s="9" t="s">
        <v>9</v>
      </c>
      <c r="E56" s="10" t="s">
        <v>7</v>
      </c>
      <c r="F56" s="52">
        <v>4</v>
      </c>
      <c r="G56" s="116">
        <f>F56*0.8</f>
        <v>3.2</v>
      </c>
      <c r="H56" s="120">
        <v>317697</v>
      </c>
      <c r="I56" s="131">
        <f>H56*(1-0.2%)</f>
        <v>317061.60599999997</v>
      </c>
      <c r="J56" s="130">
        <v>280</v>
      </c>
      <c r="K56" s="131">
        <f>J56*(1+0.2%)</f>
        <v>280.56</v>
      </c>
      <c r="L56" s="239">
        <f>I56-K56</f>
        <v>316781.04599999997</v>
      </c>
      <c r="M56" s="324"/>
    </row>
    <row r="57" spans="2:13" ht="12.75" customHeight="1" thickBot="1" x14ac:dyDescent="0.25">
      <c r="B57" s="322"/>
      <c r="C57" s="16">
        <v>6</v>
      </c>
      <c r="D57" s="249" t="s">
        <v>8</v>
      </c>
      <c r="E57" s="250" t="s">
        <v>7</v>
      </c>
      <c r="F57" s="251">
        <v>16</v>
      </c>
      <c r="G57" s="252">
        <f>F57*0.8</f>
        <v>12.8</v>
      </c>
      <c r="H57" s="253">
        <v>1529537</v>
      </c>
      <c r="I57" s="259">
        <f>H57*(1-0.2%)</f>
        <v>1526477.926</v>
      </c>
      <c r="J57" s="257">
        <v>1350</v>
      </c>
      <c r="K57" s="259">
        <f>J57*(1+0.2%)</f>
        <v>1352.7</v>
      </c>
      <c r="L57" s="258">
        <f>I57-K57</f>
        <v>1525125.226</v>
      </c>
      <c r="M57" s="325"/>
    </row>
    <row r="58" spans="2:13" ht="12.75" customHeight="1" x14ac:dyDescent="0.2">
      <c r="B58" s="320">
        <v>44197</v>
      </c>
      <c r="C58" s="15">
        <v>1</v>
      </c>
      <c r="D58" s="5" t="s">
        <v>4</v>
      </c>
      <c r="E58" s="6" t="s">
        <v>3</v>
      </c>
      <c r="F58" s="5">
        <v>4</v>
      </c>
      <c r="G58" s="315">
        <v>4.8</v>
      </c>
      <c r="H58" s="335">
        <v>430913</v>
      </c>
      <c r="I58" s="348">
        <f>H58*(1-0.2%)</f>
        <v>430051.174</v>
      </c>
      <c r="J58" s="337">
        <v>1012</v>
      </c>
      <c r="K58" s="348">
        <f>J58*(1+0.2%)</f>
        <v>1014.024</v>
      </c>
      <c r="L58" s="339">
        <f>I58-K58</f>
        <v>429037.15</v>
      </c>
      <c r="M58" s="323">
        <v>2941514</v>
      </c>
    </row>
    <row r="59" spans="2:13" ht="12.75" customHeight="1" x14ac:dyDescent="0.2">
      <c r="B59" s="321"/>
      <c r="C59" s="3">
        <v>2</v>
      </c>
      <c r="D59" s="1" t="s">
        <v>5</v>
      </c>
      <c r="E59" s="2" t="s">
        <v>3</v>
      </c>
      <c r="F59" s="1">
        <v>2</v>
      </c>
      <c r="G59" s="316"/>
      <c r="H59" s="336"/>
      <c r="I59" s="349"/>
      <c r="J59" s="338"/>
      <c r="K59" s="349"/>
      <c r="L59" s="340"/>
      <c r="M59" s="324"/>
    </row>
    <row r="60" spans="2:13" ht="12.75" customHeight="1" x14ac:dyDescent="0.2">
      <c r="B60" s="321"/>
      <c r="C60" s="3">
        <v>3</v>
      </c>
      <c r="D60" s="1" t="s">
        <v>4</v>
      </c>
      <c r="E60" s="2" t="s">
        <v>3</v>
      </c>
      <c r="F60" s="1">
        <v>6</v>
      </c>
      <c r="G60" s="114">
        <f>F60*0.8</f>
        <v>4.8000000000000007</v>
      </c>
      <c r="H60" s="120">
        <v>444603</v>
      </c>
      <c r="I60" s="131">
        <f>H60*(1-0.2%)</f>
        <v>443713.79399999999</v>
      </c>
      <c r="J60" s="130">
        <v>1044</v>
      </c>
      <c r="K60" s="131">
        <f t="shared" ref="K60:K73" si="0">J60*(1+0.2%)</f>
        <v>1046.088</v>
      </c>
      <c r="L60" s="239">
        <f>I60-K60</f>
        <v>442667.70600000001</v>
      </c>
      <c r="M60" s="324"/>
    </row>
    <row r="61" spans="2:13" ht="12.75" customHeight="1" x14ac:dyDescent="0.2">
      <c r="B61" s="321"/>
      <c r="C61" s="3">
        <v>4</v>
      </c>
      <c r="D61" s="3" t="s">
        <v>6</v>
      </c>
      <c r="E61" s="4" t="s">
        <v>3</v>
      </c>
      <c r="F61" s="3">
        <v>5</v>
      </c>
      <c r="G61" s="115">
        <f>F61*0.8</f>
        <v>4</v>
      </c>
      <c r="H61" s="120">
        <v>315976</v>
      </c>
      <c r="I61" s="131">
        <f>H61*(1-0.2%)</f>
        <v>315344.04800000001</v>
      </c>
      <c r="J61" s="130">
        <v>742</v>
      </c>
      <c r="K61" s="131">
        <f t="shared" si="0"/>
        <v>743.48400000000004</v>
      </c>
      <c r="L61" s="239">
        <f>I61-K61</f>
        <v>314600.56400000001</v>
      </c>
      <c r="M61" s="324"/>
    </row>
    <row r="62" spans="2:13" ht="12.75" customHeight="1" x14ac:dyDescent="0.2">
      <c r="B62" s="321"/>
      <c r="C62" s="3">
        <v>5</v>
      </c>
      <c r="D62" s="9" t="s">
        <v>9</v>
      </c>
      <c r="E62" s="10" t="s">
        <v>7</v>
      </c>
      <c r="F62" s="52">
        <v>4</v>
      </c>
      <c r="G62" s="116">
        <f>F62*0.8</f>
        <v>3.2</v>
      </c>
      <c r="H62" s="120">
        <v>284037</v>
      </c>
      <c r="I62" s="131">
        <f>H62*(1-0.2%)</f>
        <v>283468.92599999998</v>
      </c>
      <c r="J62" s="130">
        <v>318</v>
      </c>
      <c r="K62" s="131">
        <f t="shared" si="0"/>
        <v>318.63600000000002</v>
      </c>
      <c r="L62" s="239">
        <f>I62-K62</f>
        <v>283150.28999999998</v>
      </c>
      <c r="M62" s="324"/>
    </row>
    <row r="63" spans="2:13" ht="12.75" customHeight="1" thickBot="1" x14ac:dyDescent="0.25">
      <c r="B63" s="322"/>
      <c r="C63" s="16">
        <v>6</v>
      </c>
      <c r="D63" s="249" t="s">
        <v>8</v>
      </c>
      <c r="E63" s="250" t="s">
        <v>7</v>
      </c>
      <c r="F63" s="251">
        <v>16</v>
      </c>
      <c r="G63" s="252">
        <f>F63*0.8</f>
        <v>12.8</v>
      </c>
      <c r="H63" s="253">
        <v>1312313</v>
      </c>
      <c r="I63" s="259">
        <f>H63*(1-0.2%)</f>
        <v>1309688.3740000001</v>
      </c>
      <c r="J63" s="257">
        <v>1467</v>
      </c>
      <c r="K63" s="259">
        <f t="shared" si="0"/>
        <v>1469.934</v>
      </c>
      <c r="L63" s="258">
        <f>I63-K63</f>
        <v>1308218.4400000002</v>
      </c>
      <c r="M63" s="325"/>
    </row>
    <row r="64" spans="2:13" ht="12.75" customHeight="1" x14ac:dyDescent="0.2">
      <c r="B64" s="320">
        <v>44228</v>
      </c>
      <c r="C64" s="15">
        <v>1</v>
      </c>
      <c r="D64" s="5" t="s">
        <v>4</v>
      </c>
      <c r="E64" s="6" t="s">
        <v>3</v>
      </c>
      <c r="F64" s="5">
        <v>4</v>
      </c>
      <c r="G64" s="315">
        <v>4.8</v>
      </c>
      <c r="H64" s="335">
        <v>254916</v>
      </c>
      <c r="I64" s="348">
        <f>H64*(1-0.2%)</f>
        <v>254406.16800000001</v>
      </c>
      <c r="J64" s="337">
        <v>776</v>
      </c>
      <c r="K64" s="348">
        <f t="shared" si="0"/>
        <v>777.55200000000002</v>
      </c>
      <c r="L64" s="339">
        <f>I64-K64</f>
        <v>253628.61600000001</v>
      </c>
      <c r="M64" s="323">
        <v>1741285</v>
      </c>
    </row>
    <row r="65" spans="2:13" ht="12.75" customHeight="1" x14ac:dyDescent="0.2">
      <c r="B65" s="321"/>
      <c r="C65" s="3">
        <v>2</v>
      </c>
      <c r="D65" s="1" t="s">
        <v>5</v>
      </c>
      <c r="E65" s="2" t="s">
        <v>3</v>
      </c>
      <c r="F65" s="1">
        <v>2</v>
      </c>
      <c r="G65" s="316"/>
      <c r="H65" s="336"/>
      <c r="I65" s="349"/>
      <c r="J65" s="338"/>
      <c r="K65" s="349"/>
      <c r="L65" s="340"/>
      <c r="M65" s="324"/>
    </row>
    <row r="66" spans="2:13" ht="12.75" customHeight="1" x14ac:dyDescent="0.2">
      <c r="B66" s="321"/>
      <c r="C66" s="3">
        <v>3</v>
      </c>
      <c r="D66" s="1" t="s">
        <v>4</v>
      </c>
      <c r="E66" s="2" t="s">
        <v>3</v>
      </c>
      <c r="F66" s="1">
        <v>6</v>
      </c>
      <c r="G66" s="114">
        <f>F66*0.8</f>
        <v>4.8000000000000007</v>
      </c>
      <c r="H66" s="120">
        <v>261947</v>
      </c>
      <c r="I66" s="131">
        <f>H66*(1-0.2%)</f>
        <v>261423.106</v>
      </c>
      <c r="J66" s="130">
        <v>798</v>
      </c>
      <c r="K66" s="131">
        <f t="shared" si="0"/>
        <v>799.596</v>
      </c>
      <c r="L66" s="239">
        <f>I66-K66</f>
        <v>260623.51</v>
      </c>
      <c r="M66" s="324"/>
    </row>
    <row r="67" spans="2:13" ht="12.75" customHeight="1" x14ac:dyDescent="0.2">
      <c r="B67" s="321"/>
      <c r="C67" s="3">
        <v>4</v>
      </c>
      <c r="D67" s="3" t="s">
        <v>6</v>
      </c>
      <c r="E67" s="4" t="s">
        <v>3</v>
      </c>
      <c r="F67" s="3">
        <v>5</v>
      </c>
      <c r="G67" s="115">
        <f>F67*0.8</f>
        <v>4</v>
      </c>
      <c r="H67" s="120">
        <v>183715</v>
      </c>
      <c r="I67" s="131">
        <f>H67*(1-0.2%)</f>
        <v>183347.57</v>
      </c>
      <c r="J67" s="130">
        <v>559</v>
      </c>
      <c r="K67" s="131">
        <f t="shared" si="0"/>
        <v>560.11800000000005</v>
      </c>
      <c r="L67" s="239">
        <f>I67-K67</f>
        <v>182787.45200000002</v>
      </c>
      <c r="M67" s="324"/>
    </row>
    <row r="68" spans="2:13" ht="12.75" customHeight="1" x14ac:dyDescent="0.2">
      <c r="B68" s="321"/>
      <c r="C68" s="3">
        <v>5</v>
      </c>
      <c r="D68" s="9" t="s">
        <v>9</v>
      </c>
      <c r="E68" s="10" t="s">
        <v>7</v>
      </c>
      <c r="F68" s="52">
        <v>4</v>
      </c>
      <c r="G68" s="116">
        <f>F68*0.8</f>
        <v>3.2</v>
      </c>
      <c r="H68" s="120">
        <v>142095</v>
      </c>
      <c r="I68" s="131">
        <f>H68*(1-0.2%)</f>
        <v>141810.81</v>
      </c>
      <c r="J68" s="130">
        <v>515</v>
      </c>
      <c r="K68" s="131">
        <f t="shared" si="0"/>
        <v>516.03</v>
      </c>
      <c r="L68" s="239">
        <f>I68-K68</f>
        <v>141294.78</v>
      </c>
      <c r="M68" s="324"/>
    </row>
    <row r="69" spans="2:13" ht="12.75" customHeight="1" thickBot="1" x14ac:dyDescent="0.25">
      <c r="B69" s="322"/>
      <c r="C69" s="16">
        <v>6</v>
      </c>
      <c r="D69" s="249" t="s">
        <v>8</v>
      </c>
      <c r="E69" s="250" t="s">
        <v>7</v>
      </c>
      <c r="F69" s="251">
        <v>16</v>
      </c>
      <c r="G69" s="252">
        <f>F69*0.8</f>
        <v>12.8</v>
      </c>
      <c r="H69" s="253">
        <v>825011</v>
      </c>
      <c r="I69" s="259">
        <f>H69*(1-0.2%)</f>
        <v>823360.978</v>
      </c>
      <c r="J69" s="257">
        <v>2991</v>
      </c>
      <c r="K69" s="259">
        <f t="shared" si="0"/>
        <v>2996.982</v>
      </c>
      <c r="L69" s="258">
        <f>I69-K69</f>
        <v>820363.99600000004</v>
      </c>
      <c r="M69" s="325"/>
    </row>
    <row r="70" spans="2:13" ht="12.75" customHeight="1" x14ac:dyDescent="0.2">
      <c r="B70" s="320">
        <v>44256</v>
      </c>
      <c r="C70" s="15">
        <v>1</v>
      </c>
      <c r="D70" s="5" t="s">
        <v>4</v>
      </c>
      <c r="E70" s="6" t="s">
        <v>3</v>
      </c>
      <c r="F70" s="5">
        <v>4</v>
      </c>
      <c r="G70" s="315">
        <v>4.8</v>
      </c>
      <c r="H70" s="335">
        <v>492388</v>
      </c>
      <c r="I70" s="348">
        <f>H70*(1-0.2%)</f>
        <v>491403.22399999999</v>
      </c>
      <c r="J70" s="337">
        <v>602</v>
      </c>
      <c r="K70" s="348">
        <f t="shared" si="0"/>
        <v>603.20399999999995</v>
      </c>
      <c r="L70" s="339">
        <f>I70-K70</f>
        <v>490800.01999999996</v>
      </c>
      <c r="M70" s="323">
        <v>2840800</v>
      </c>
    </row>
    <row r="71" spans="2:13" ht="12.75" customHeight="1" x14ac:dyDescent="0.2">
      <c r="B71" s="321"/>
      <c r="C71" s="3">
        <v>2</v>
      </c>
      <c r="D71" s="1" t="s">
        <v>5</v>
      </c>
      <c r="E71" s="2" t="s">
        <v>3</v>
      </c>
      <c r="F71" s="1">
        <v>2</v>
      </c>
      <c r="G71" s="316"/>
      <c r="H71" s="336"/>
      <c r="I71" s="349"/>
      <c r="J71" s="338"/>
      <c r="K71" s="349"/>
      <c r="L71" s="340"/>
      <c r="M71" s="324"/>
    </row>
    <row r="72" spans="2:13" ht="12.75" customHeight="1" x14ac:dyDescent="0.2">
      <c r="B72" s="321"/>
      <c r="C72" s="3">
        <v>3</v>
      </c>
      <c r="D72" s="1" t="s">
        <v>4</v>
      </c>
      <c r="E72" s="2" t="s">
        <v>3</v>
      </c>
      <c r="F72" s="1">
        <v>6</v>
      </c>
      <c r="G72" s="114">
        <f>F72*0.8</f>
        <v>4.8000000000000007</v>
      </c>
      <c r="H72" s="120">
        <v>497078</v>
      </c>
      <c r="I72" s="131">
        <f>H72*(1-0.2%)</f>
        <v>496083.84399999998</v>
      </c>
      <c r="J72" s="130">
        <v>608</v>
      </c>
      <c r="K72" s="131">
        <f t="shared" si="0"/>
        <v>609.21600000000001</v>
      </c>
      <c r="L72" s="239">
        <f>I72-K72</f>
        <v>495474.62799999997</v>
      </c>
      <c r="M72" s="324"/>
    </row>
    <row r="73" spans="2:13" ht="12.75" customHeight="1" x14ac:dyDescent="0.2">
      <c r="B73" s="321"/>
      <c r="C73" s="3">
        <v>4</v>
      </c>
      <c r="D73" s="3" t="s">
        <v>6</v>
      </c>
      <c r="E73" s="4" t="s">
        <v>3</v>
      </c>
      <c r="F73" s="3">
        <v>5</v>
      </c>
      <c r="G73" s="115">
        <f>F73*0.8</f>
        <v>4</v>
      </c>
      <c r="H73" s="120">
        <v>410546</v>
      </c>
      <c r="I73" s="131">
        <f>H73*(1-0.2%)</f>
        <v>409724.908</v>
      </c>
      <c r="J73" s="130">
        <v>502</v>
      </c>
      <c r="K73" s="131">
        <f t="shared" si="0"/>
        <v>503.00400000000002</v>
      </c>
      <c r="L73" s="239">
        <f>I73-K73</f>
        <v>409221.90399999998</v>
      </c>
      <c r="M73" s="324"/>
    </row>
    <row r="74" spans="2:13" ht="12.75" customHeight="1" x14ac:dyDescent="0.2">
      <c r="B74" s="321"/>
      <c r="C74" s="3">
        <v>5</v>
      </c>
      <c r="D74" s="9" t="s">
        <v>9</v>
      </c>
      <c r="E74" s="10" t="s">
        <v>7</v>
      </c>
      <c r="F74" s="52">
        <v>4</v>
      </c>
      <c r="G74" s="116">
        <f>F74*0.8</f>
        <v>3.2</v>
      </c>
      <c r="H74" s="120">
        <v>332884</v>
      </c>
      <c r="I74" s="120">
        <v>332884</v>
      </c>
      <c r="J74" s="120">
        <v>426</v>
      </c>
      <c r="K74" s="120">
        <v>426</v>
      </c>
      <c r="L74" s="240">
        <f>I74-K74</f>
        <v>332458</v>
      </c>
      <c r="M74" s="324"/>
    </row>
    <row r="75" spans="2:13" ht="12.75" customHeight="1" thickBot="1" x14ac:dyDescent="0.25">
      <c r="B75" s="322"/>
      <c r="C75" s="16">
        <v>6</v>
      </c>
      <c r="D75" s="249" t="s">
        <v>8</v>
      </c>
      <c r="E75" s="250" t="s">
        <v>7</v>
      </c>
      <c r="F75" s="251">
        <v>16</v>
      </c>
      <c r="G75" s="252">
        <f>F75*0.8</f>
        <v>12.8</v>
      </c>
      <c r="H75" s="253">
        <v>1576518</v>
      </c>
      <c r="I75" s="253">
        <v>1576518</v>
      </c>
      <c r="J75" s="253">
        <v>2019</v>
      </c>
      <c r="K75" s="253">
        <v>2019</v>
      </c>
      <c r="L75" s="254">
        <f>I75-K75</f>
        <v>1574499</v>
      </c>
      <c r="M75" s="325"/>
    </row>
    <row r="76" spans="2:13" ht="12.75" customHeight="1" x14ac:dyDescent="0.2">
      <c r="B76" s="320">
        <v>44287</v>
      </c>
      <c r="C76" s="15">
        <v>1</v>
      </c>
      <c r="D76" s="5" t="s">
        <v>4</v>
      </c>
      <c r="E76" s="6" t="s">
        <v>3</v>
      </c>
      <c r="F76" s="5">
        <v>4</v>
      </c>
      <c r="G76" s="315">
        <v>4.8</v>
      </c>
      <c r="H76" s="335">
        <v>466405</v>
      </c>
      <c r="I76" s="335">
        <v>466405</v>
      </c>
      <c r="J76" s="335">
        <v>502</v>
      </c>
      <c r="K76" s="335">
        <v>502</v>
      </c>
      <c r="L76" s="333">
        <f>I76-K76</f>
        <v>465903</v>
      </c>
      <c r="M76" s="323">
        <v>4093827</v>
      </c>
    </row>
    <row r="77" spans="2:13" ht="12.75" customHeight="1" x14ac:dyDescent="0.2">
      <c r="B77" s="321"/>
      <c r="C77" s="3">
        <v>2</v>
      </c>
      <c r="D77" s="1" t="s">
        <v>5</v>
      </c>
      <c r="E77" s="2" t="s">
        <v>3</v>
      </c>
      <c r="F77" s="1">
        <v>2</v>
      </c>
      <c r="G77" s="316"/>
      <c r="H77" s="336"/>
      <c r="I77" s="336"/>
      <c r="J77" s="336"/>
      <c r="K77" s="336"/>
      <c r="L77" s="334"/>
      <c r="M77" s="324"/>
    </row>
    <row r="78" spans="2:13" ht="12.75" customHeight="1" x14ac:dyDescent="0.2">
      <c r="B78" s="321"/>
      <c r="C78" s="3">
        <v>3</v>
      </c>
      <c r="D78" s="1" t="s">
        <v>4</v>
      </c>
      <c r="E78" s="2" t="s">
        <v>3</v>
      </c>
      <c r="F78" s="1">
        <v>6</v>
      </c>
      <c r="G78" s="114">
        <f>F78*0.8</f>
        <v>4.8000000000000007</v>
      </c>
      <c r="H78" s="120">
        <v>461232</v>
      </c>
      <c r="I78" s="120">
        <v>461232</v>
      </c>
      <c r="J78" s="120">
        <v>497</v>
      </c>
      <c r="K78" s="120">
        <v>497</v>
      </c>
      <c r="L78" s="240">
        <f>I78-K78</f>
        <v>460735</v>
      </c>
      <c r="M78" s="324"/>
    </row>
    <row r="79" spans="2:13" ht="12.75" customHeight="1" x14ac:dyDescent="0.2">
      <c r="B79" s="321"/>
      <c r="C79" s="3">
        <v>4</v>
      </c>
      <c r="D79" s="3" t="s">
        <v>6</v>
      </c>
      <c r="E79" s="4" t="s">
        <v>3</v>
      </c>
      <c r="F79" s="3">
        <v>5</v>
      </c>
      <c r="G79" s="115">
        <f>F79*0.8</f>
        <v>4</v>
      </c>
      <c r="H79" s="120">
        <v>352513</v>
      </c>
      <c r="I79" s="120">
        <v>352513</v>
      </c>
      <c r="J79" s="120">
        <v>380</v>
      </c>
      <c r="K79" s="120">
        <v>380</v>
      </c>
      <c r="L79" s="240">
        <f>I79-K79</f>
        <v>352133</v>
      </c>
      <c r="M79" s="324"/>
    </row>
    <row r="80" spans="2:13" ht="12.75" customHeight="1" x14ac:dyDescent="0.2">
      <c r="B80" s="321"/>
      <c r="C80" s="3">
        <v>5</v>
      </c>
      <c r="D80" s="9" t="s">
        <v>9</v>
      </c>
      <c r="E80" s="10" t="s">
        <v>7</v>
      </c>
      <c r="F80" s="52">
        <v>4</v>
      </c>
      <c r="G80" s="116">
        <f>F80*0.8</f>
        <v>3.2</v>
      </c>
      <c r="H80" s="120">
        <v>343280</v>
      </c>
      <c r="I80" s="120">
        <v>343280</v>
      </c>
      <c r="J80" s="120">
        <v>253</v>
      </c>
      <c r="K80" s="120">
        <v>253</v>
      </c>
      <c r="L80" s="240">
        <f>I80-K80</f>
        <v>343027</v>
      </c>
      <c r="M80" s="324"/>
    </row>
    <row r="81" spans="2:13" ht="12.75" customHeight="1" thickBot="1" x14ac:dyDescent="0.25">
      <c r="B81" s="322"/>
      <c r="C81" s="16">
        <v>6</v>
      </c>
      <c r="D81" s="249" t="s">
        <v>8</v>
      </c>
      <c r="E81" s="250" t="s">
        <v>7</v>
      </c>
      <c r="F81" s="251">
        <v>16</v>
      </c>
      <c r="G81" s="252">
        <f>F81*0.8</f>
        <v>12.8</v>
      </c>
      <c r="H81" s="253">
        <v>1774787</v>
      </c>
      <c r="I81" s="253">
        <v>1774787</v>
      </c>
      <c r="J81" s="253">
        <v>1310</v>
      </c>
      <c r="K81" s="253">
        <v>1310</v>
      </c>
      <c r="L81" s="254">
        <f>I81-K81</f>
        <v>1773477</v>
      </c>
      <c r="M81" s="325"/>
    </row>
    <row r="82" spans="2:13" ht="12.75" customHeight="1" x14ac:dyDescent="0.2">
      <c r="B82" s="320">
        <v>44317</v>
      </c>
      <c r="C82" s="15">
        <v>1</v>
      </c>
      <c r="D82" s="5" t="s">
        <v>4</v>
      </c>
      <c r="E82" s="6" t="s">
        <v>3</v>
      </c>
      <c r="F82" s="5">
        <v>4</v>
      </c>
      <c r="G82" s="315">
        <v>4.8</v>
      </c>
      <c r="H82" s="335">
        <v>913200</v>
      </c>
      <c r="I82" s="335">
        <v>913200</v>
      </c>
      <c r="J82" s="335">
        <v>130</v>
      </c>
      <c r="K82" s="335">
        <v>130</v>
      </c>
      <c r="L82" s="333">
        <f>I82-K82</f>
        <v>913070</v>
      </c>
      <c r="M82" s="323">
        <v>5179524</v>
      </c>
    </row>
    <row r="83" spans="2:13" ht="12.75" customHeight="1" x14ac:dyDescent="0.2">
      <c r="B83" s="321"/>
      <c r="C83" s="3">
        <v>2</v>
      </c>
      <c r="D83" s="1" t="s">
        <v>5</v>
      </c>
      <c r="E83" s="2" t="s">
        <v>3</v>
      </c>
      <c r="F83" s="1">
        <v>2</v>
      </c>
      <c r="G83" s="316"/>
      <c r="H83" s="336"/>
      <c r="I83" s="336"/>
      <c r="J83" s="336"/>
      <c r="K83" s="336"/>
      <c r="L83" s="334"/>
      <c r="M83" s="324"/>
    </row>
    <row r="84" spans="2:13" ht="12.75" customHeight="1" x14ac:dyDescent="0.2">
      <c r="B84" s="321"/>
      <c r="C84" s="3">
        <v>3</v>
      </c>
      <c r="D84" s="1" t="s">
        <v>4</v>
      </c>
      <c r="E84" s="2" t="s">
        <v>3</v>
      </c>
      <c r="F84" s="1">
        <v>6</v>
      </c>
      <c r="G84" s="114">
        <f>F84*0.8</f>
        <v>4.8000000000000007</v>
      </c>
      <c r="H84" s="120">
        <v>882630</v>
      </c>
      <c r="I84" s="120">
        <v>882630</v>
      </c>
      <c r="J84" s="120">
        <v>125</v>
      </c>
      <c r="K84" s="120">
        <v>125</v>
      </c>
      <c r="L84" s="240">
        <f>I84-K84</f>
        <v>882505</v>
      </c>
      <c r="M84" s="324"/>
    </row>
    <row r="85" spans="2:13" ht="12.75" customHeight="1" x14ac:dyDescent="0.2">
      <c r="B85" s="321"/>
      <c r="C85" s="3">
        <v>4</v>
      </c>
      <c r="D85" s="3" t="s">
        <v>6</v>
      </c>
      <c r="E85" s="4" t="s">
        <v>3</v>
      </c>
      <c r="F85" s="3">
        <v>5</v>
      </c>
      <c r="G85" s="115">
        <f>F85*0.8</f>
        <v>4</v>
      </c>
      <c r="H85" s="120">
        <v>689521</v>
      </c>
      <c r="I85" s="120">
        <v>689521</v>
      </c>
      <c r="J85" s="120">
        <v>98</v>
      </c>
      <c r="K85" s="120">
        <v>98</v>
      </c>
      <c r="L85" s="240">
        <f>I85-K85</f>
        <v>689423</v>
      </c>
      <c r="M85" s="324"/>
    </row>
    <row r="86" spans="2:13" ht="12.75" customHeight="1" x14ac:dyDescent="0.2">
      <c r="B86" s="321"/>
      <c r="C86" s="3">
        <v>5</v>
      </c>
      <c r="D86" s="9" t="s">
        <v>9</v>
      </c>
      <c r="E86" s="10" t="s">
        <v>7</v>
      </c>
      <c r="F86" s="52">
        <v>4</v>
      </c>
      <c r="G86" s="116">
        <f>F86*0.8</f>
        <v>3.2</v>
      </c>
      <c r="H86" s="120">
        <v>463969</v>
      </c>
      <c r="I86" s="120">
        <v>463969</v>
      </c>
      <c r="J86" s="120">
        <v>252</v>
      </c>
      <c r="K86" s="120">
        <v>252</v>
      </c>
      <c r="L86" s="240">
        <f>I86-K86</f>
        <v>463717</v>
      </c>
      <c r="M86" s="324"/>
    </row>
    <row r="87" spans="2:13" ht="12.75" customHeight="1" thickBot="1" x14ac:dyDescent="0.25">
      <c r="B87" s="322"/>
      <c r="C87" s="16">
        <v>6</v>
      </c>
      <c r="D87" s="249" t="s">
        <v>8</v>
      </c>
      <c r="E87" s="250" t="s">
        <v>7</v>
      </c>
      <c r="F87" s="251">
        <v>16</v>
      </c>
      <c r="G87" s="252">
        <f>F87*0.8</f>
        <v>12.8</v>
      </c>
      <c r="H87" s="253">
        <v>2098102</v>
      </c>
      <c r="I87" s="253">
        <v>2098102</v>
      </c>
      <c r="J87" s="253">
        <v>1142</v>
      </c>
      <c r="K87" s="253">
        <v>1142</v>
      </c>
      <c r="L87" s="254">
        <f>I87-K87</f>
        <v>2096960</v>
      </c>
      <c r="M87" s="325"/>
    </row>
    <row r="88" spans="2:13" ht="12.75" customHeight="1" x14ac:dyDescent="0.2">
      <c r="B88" s="320">
        <v>44348</v>
      </c>
      <c r="C88" s="15">
        <v>1</v>
      </c>
      <c r="D88" s="5" t="s">
        <v>4</v>
      </c>
      <c r="E88" s="6" t="s">
        <v>3</v>
      </c>
      <c r="F88" s="5">
        <v>4</v>
      </c>
      <c r="G88" s="315">
        <v>4.8</v>
      </c>
      <c r="H88" s="310">
        <v>1208576</v>
      </c>
      <c r="I88" s="310">
        <v>1208576</v>
      </c>
      <c r="J88" s="310">
        <v>286</v>
      </c>
      <c r="K88" s="310">
        <v>286</v>
      </c>
      <c r="L88" s="308">
        <f>I88-K88</f>
        <v>1208290</v>
      </c>
      <c r="M88" s="312">
        <v>6580627</v>
      </c>
    </row>
    <row r="89" spans="2:13" ht="12.75" customHeight="1" x14ac:dyDescent="0.2">
      <c r="B89" s="321"/>
      <c r="C89" s="3">
        <v>2</v>
      </c>
      <c r="D89" s="1" t="s">
        <v>5</v>
      </c>
      <c r="E89" s="2" t="s">
        <v>3</v>
      </c>
      <c r="F89" s="1">
        <v>2</v>
      </c>
      <c r="G89" s="316"/>
      <c r="H89" s="311"/>
      <c r="I89" s="311"/>
      <c r="J89" s="311"/>
      <c r="K89" s="311"/>
      <c r="L89" s="309"/>
      <c r="M89" s="313"/>
    </row>
    <row r="90" spans="2:13" ht="12.75" customHeight="1" x14ac:dyDescent="0.2">
      <c r="B90" s="321"/>
      <c r="C90" s="3">
        <v>3</v>
      </c>
      <c r="D90" s="1" t="s">
        <v>4</v>
      </c>
      <c r="E90" s="2" t="s">
        <v>3</v>
      </c>
      <c r="F90" s="1">
        <v>6</v>
      </c>
      <c r="G90" s="114">
        <f>F90*0.8</f>
        <v>4.8000000000000007</v>
      </c>
      <c r="H90" s="120">
        <v>1208512</v>
      </c>
      <c r="I90" s="120">
        <v>1208512</v>
      </c>
      <c r="J90" s="120">
        <v>286</v>
      </c>
      <c r="K90" s="120">
        <v>286</v>
      </c>
      <c r="L90" s="240">
        <f>I90-K90</f>
        <v>1208226</v>
      </c>
      <c r="M90" s="313"/>
    </row>
    <row r="91" spans="2:13" ht="12.75" customHeight="1" x14ac:dyDescent="0.2">
      <c r="B91" s="321"/>
      <c r="C91" s="3">
        <v>4</v>
      </c>
      <c r="D91" s="3" t="s">
        <v>6</v>
      </c>
      <c r="E91" s="4" t="s">
        <v>3</v>
      </c>
      <c r="F91" s="3">
        <v>5</v>
      </c>
      <c r="G91" s="115">
        <f>F91*0.8</f>
        <v>4</v>
      </c>
      <c r="H91" s="120">
        <v>1012286</v>
      </c>
      <c r="I91" s="120">
        <v>1012286</v>
      </c>
      <c r="J91" s="120">
        <v>239</v>
      </c>
      <c r="K91" s="120">
        <v>239</v>
      </c>
      <c r="L91" s="240">
        <f>I91-K91</f>
        <v>1012047</v>
      </c>
      <c r="M91" s="313"/>
    </row>
    <row r="92" spans="2:13" ht="12.75" customHeight="1" x14ac:dyDescent="0.2">
      <c r="B92" s="321"/>
      <c r="C92" s="3">
        <v>5</v>
      </c>
      <c r="D92" s="9" t="s">
        <v>9</v>
      </c>
      <c r="E92" s="10" t="s">
        <v>7</v>
      </c>
      <c r="F92" s="52">
        <v>4</v>
      </c>
      <c r="G92" s="116">
        <f>F92*0.8</f>
        <v>3.2</v>
      </c>
      <c r="H92" s="120">
        <v>509491</v>
      </c>
      <c r="I92" s="120">
        <v>509491</v>
      </c>
      <c r="J92" s="120">
        <v>227</v>
      </c>
      <c r="K92" s="120">
        <v>227</v>
      </c>
      <c r="L92" s="240">
        <f>I92-K92</f>
        <v>509264</v>
      </c>
      <c r="M92" s="313"/>
    </row>
    <row r="93" spans="2:13" ht="12.75" customHeight="1" thickBot="1" x14ac:dyDescent="0.25">
      <c r="B93" s="322"/>
      <c r="C93" s="16">
        <v>6</v>
      </c>
      <c r="D93" s="249" t="s">
        <v>8</v>
      </c>
      <c r="E93" s="250" t="s">
        <v>7</v>
      </c>
      <c r="F93" s="251">
        <v>16</v>
      </c>
      <c r="G93" s="252">
        <f>F93*0.8</f>
        <v>12.8</v>
      </c>
      <c r="H93" s="253">
        <v>2341286</v>
      </c>
      <c r="I93" s="253">
        <v>2341286</v>
      </c>
      <c r="J93" s="253">
        <v>1045</v>
      </c>
      <c r="K93" s="253">
        <v>1045</v>
      </c>
      <c r="L93" s="254">
        <f>I93-K93</f>
        <v>2340241</v>
      </c>
      <c r="M93" s="314"/>
    </row>
    <row r="94" spans="2:13" ht="12.75" customHeight="1" x14ac:dyDescent="0.2">
      <c r="B94" s="320">
        <v>44378</v>
      </c>
      <c r="C94" s="15">
        <v>1</v>
      </c>
      <c r="D94" s="5" t="s">
        <v>4</v>
      </c>
      <c r="E94" s="6" t="s">
        <v>3</v>
      </c>
      <c r="F94" s="5">
        <v>4</v>
      </c>
      <c r="G94" s="315">
        <v>4.8</v>
      </c>
      <c r="H94" s="310">
        <v>1199445</v>
      </c>
      <c r="I94" s="310">
        <v>1199445</v>
      </c>
      <c r="J94" s="310">
        <v>151</v>
      </c>
      <c r="K94" s="310">
        <v>151</v>
      </c>
      <c r="L94" s="308">
        <f>I94-K94</f>
        <v>1199294</v>
      </c>
      <c r="M94" s="312">
        <v>6624705</v>
      </c>
    </row>
    <row r="95" spans="2:13" ht="12.75" customHeight="1" x14ac:dyDescent="0.2">
      <c r="B95" s="321"/>
      <c r="C95" s="3">
        <v>2</v>
      </c>
      <c r="D95" s="1" t="s">
        <v>5</v>
      </c>
      <c r="E95" s="2" t="s">
        <v>3</v>
      </c>
      <c r="F95" s="1">
        <v>2</v>
      </c>
      <c r="G95" s="316"/>
      <c r="H95" s="311"/>
      <c r="I95" s="311"/>
      <c r="J95" s="311"/>
      <c r="K95" s="311"/>
      <c r="L95" s="309"/>
      <c r="M95" s="313"/>
    </row>
    <row r="96" spans="2:13" ht="12.75" customHeight="1" x14ac:dyDescent="0.2">
      <c r="B96" s="321"/>
      <c r="C96" s="3">
        <v>3</v>
      </c>
      <c r="D96" s="1" t="s">
        <v>4</v>
      </c>
      <c r="E96" s="2" t="s">
        <v>3</v>
      </c>
      <c r="F96" s="1">
        <v>6</v>
      </c>
      <c r="G96" s="114">
        <f>F96*0.8</f>
        <v>4.8000000000000007</v>
      </c>
      <c r="H96" s="120">
        <v>1271979</v>
      </c>
      <c r="I96" s="120">
        <v>1271979</v>
      </c>
      <c r="J96" s="120">
        <v>160</v>
      </c>
      <c r="K96" s="120">
        <v>160</v>
      </c>
      <c r="L96" s="240">
        <f>I96-K96</f>
        <v>1271819</v>
      </c>
      <c r="M96" s="313"/>
    </row>
    <row r="97" spans="2:13" ht="12.75" customHeight="1" x14ac:dyDescent="0.2">
      <c r="B97" s="321"/>
      <c r="C97" s="3">
        <v>4</v>
      </c>
      <c r="D97" s="3" t="s">
        <v>6</v>
      </c>
      <c r="E97" s="4" t="s">
        <v>3</v>
      </c>
      <c r="F97" s="3">
        <v>5</v>
      </c>
      <c r="G97" s="115">
        <f>F97*0.8</f>
        <v>4</v>
      </c>
      <c r="H97" s="120">
        <v>993925</v>
      </c>
      <c r="I97" s="120">
        <v>993925</v>
      </c>
      <c r="J97" s="120">
        <v>125</v>
      </c>
      <c r="K97" s="120">
        <v>125</v>
      </c>
      <c r="L97" s="240">
        <f>I97-K97</f>
        <v>993800</v>
      </c>
      <c r="M97" s="313"/>
    </row>
    <row r="98" spans="2:13" ht="12.75" customHeight="1" x14ac:dyDescent="0.2">
      <c r="B98" s="321"/>
      <c r="C98" s="3">
        <v>5</v>
      </c>
      <c r="D98" s="9" t="s">
        <v>9</v>
      </c>
      <c r="E98" s="10" t="s">
        <v>7</v>
      </c>
      <c r="F98" s="52">
        <v>4</v>
      </c>
      <c r="G98" s="116">
        <f>F98*0.8</f>
        <v>3.2</v>
      </c>
      <c r="H98" s="120">
        <v>587055</v>
      </c>
      <c r="I98" s="120">
        <v>587055</v>
      </c>
      <c r="J98" s="120">
        <v>200</v>
      </c>
      <c r="K98" s="120">
        <v>200</v>
      </c>
      <c r="L98" s="240">
        <f>I98-K98</f>
        <v>586855</v>
      </c>
      <c r="M98" s="313"/>
    </row>
    <row r="99" spans="2:13" ht="12.75" customHeight="1" thickBot="1" x14ac:dyDescent="0.25">
      <c r="B99" s="322"/>
      <c r="C99" s="16">
        <v>6</v>
      </c>
      <c r="D99" s="249" t="s">
        <v>8</v>
      </c>
      <c r="E99" s="250" t="s">
        <v>7</v>
      </c>
      <c r="F99" s="251">
        <v>16</v>
      </c>
      <c r="G99" s="252">
        <f>F99*0.8</f>
        <v>12.8</v>
      </c>
      <c r="H99" s="253">
        <v>2313965</v>
      </c>
      <c r="I99" s="253">
        <v>2313965</v>
      </c>
      <c r="J99" s="253">
        <v>789</v>
      </c>
      <c r="K99" s="253">
        <v>789</v>
      </c>
      <c r="L99" s="254">
        <f>I99-K99</f>
        <v>2313176</v>
      </c>
      <c r="M99" s="314"/>
    </row>
    <row r="100" spans="2:13" ht="12.75" customHeight="1" x14ac:dyDescent="0.2">
      <c r="B100" s="320">
        <v>44409</v>
      </c>
      <c r="C100" s="15">
        <v>1</v>
      </c>
      <c r="D100" s="5" t="s">
        <v>4</v>
      </c>
      <c r="E100" s="6" t="s">
        <v>3</v>
      </c>
      <c r="F100" s="5">
        <v>4</v>
      </c>
      <c r="G100" s="315">
        <v>4.8</v>
      </c>
      <c r="H100" s="310">
        <v>1212019</v>
      </c>
      <c r="I100" s="310">
        <v>1212019</v>
      </c>
      <c r="J100" s="310">
        <v>29</v>
      </c>
      <c r="K100" s="310">
        <v>29</v>
      </c>
      <c r="L100" s="308">
        <f>I100-K100</f>
        <v>1211990</v>
      </c>
      <c r="M100" s="312">
        <v>6240371</v>
      </c>
    </row>
    <row r="101" spans="2:13" ht="12.75" customHeight="1" x14ac:dyDescent="0.2">
      <c r="B101" s="321"/>
      <c r="C101" s="3">
        <v>2</v>
      </c>
      <c r="D101" s="1" t="s">
        <v>5</v>
      </c>
      <c r="E101" s="2" t="s">
        <v>3</v>
      </c>
      <c r="F101" s="1">
        <v>2</v>
      </c>
      <c r="G101" s="316"/>
      <c r="H101" s="311"/>
      <c r="I101" s="311"/>
      <c r="J101" s="311"/>
      <c r="K101" s="311"/>
      <c r="L101" s="309"/>
      <c r="M101" s="313"/>
    </row>
    <row r="102" spans="2:13" ht="12.75" customHeight="1" x14ac:dyDescent="0.2">
      <c r="B102" s="321"/>
      <c r="C102" s="3">
        <v>3</v>
      </c>
      <c r="D102" s="1" t="s">
        <v>4</v>
      </c>
      <c r="E102" s="2" t="s">
        <v>3</v>
      </c>
      <c r="F102" s="1">
        <v>6</v>
      </c>
      <c r="G102" s="114">
        <f>F102*0.8</f>
        <v>4.8000000000000007</v>
      </c>
      <c r="H102" s="120">
        <v>1224832</v>
      </c>
      <c r="I102" s="120">
        <v>1224832</v>
      </c>
      <c r="J102" s="120">
        <v>30</v>
      </c>
      <c r="K102" s="120">
        <v>30</v>
      </c>
      <c r="L102" s="240">
        <f>I102-K102</f>
        <v>1224802</v>
      </c>
      <c r="M102" s="313"/>
    </row>
    <row r="103" spans="2:13" ht="12.75" customHeight="1" x14ac:dyDescent="0.2">
      <c r="B103" s="321"/>
      <c r="C103" s="3">
        <v>4</v>
      </c>
      <c r="D103" s="3" t="s">
        <v>6</v>
      </c>
      <c r="E103" s="4" t="s">
        <v>3</v>
      </c>
      <c r="F103" s="3">
        <v>5</v>
      </c>
      <c r="G103" s="115">
        <f>F103*0.8</f>
        <v>4</v>
      </c>
      <c r="H103" s="120">
        <v>960449</v>
      </c>
      <c r="I103" s="120">
        <v>960449</v>
      </c>
      <c r="J103" s="120">
        <v>23</v>
      </c>
      <c r="K103" s="120">
        <v>23</v>
      </c>
      <c r="L103" s="240">
        <f>I103-K103</f>
        <v>960426</v>
      </c>
      <c r="M103" s="313"/>
    </row>
    <row r="104" spans="2:13" ht="12.75" customHeight="1" x14ac:dyDescent="0.2">
      <c r="B104" s="321"/>
      <c r="C104" s="3">
        <v>5</v>
      </c>
      <c r="D104" s="9" t="s">
        <v>9</v>
      </c>
      <c r="E104" s="10" t="s">
        <v>7</v>
      </c>
      <c r="F104" s="52">
        <v>4</v>
      </c>
      <c r="G104" s="116">
        <f>F104*0.8</f>
        <v>3.2</v>
      </c>
      <c r="H104" s="120">
        <v>504580</v>
      </c>
      <c r="I104" s="120">
        <v>504580</v>
      </c>
      <c r="J104" s="120">
        <v>81</v>
      </c>
      <c r="K104" s="120">
        <v>81</v>
      </c>
      <c r="L104" s="240">
        <f>I104-K104</f>
        <v>504499</v>
      </c>
      <c r="M104" s="313"/>
    </row>
    <row r="105" spans="2:13" ht="12.75" customHeight="1" thickBot="1" x14ac:dyDescent="0.25">
      <c r="B105" s="322"/>
      <c r="C105" s="16">
        <v>6</v>
      </c>
      <c r="D105" s="249" t="s">
        <v>8</v>
      </c>
      <c r="E105" s="250" t="s">
        <v>7</v>
      </c>
      <c r="F105" s="251">
        <v>16</v>
      </c>
      <c r="G105" s="252">
        <f>F105*0.8</f>
        <v>12.8</v>
      </c>
      <c r="H105" s="253">
        <v>2088453</v>
      </c>
      <c r="I105" s="253">
        <v>2088453</v>
      </c>
      <c r="J105" s="253">
        <v>335</v>
      </c>
      <c r="K105" s="253">
        <v>335</v>
      </c>
      <c r="L105" s="254">
        <f>I105-K105</f>
        <v>2088118</v>
      </c>
      <c r="M105" s="314"/>
    </row>
    <row r="106" spans="2:13" ht="12.75" customHeight="1" x14ac:dyDescent="0.2">
      <c r="B106" s="320">
        <v>44440</v>
      </c>
      <c r="C106" s="15">
        <v>1</v>
      </c>
      <c r="D106" s="5" t="s">
        <v>4</v>
      </c>
      <c r="E106" s="6" t="s">
        <v>3</v>
      </c>
      <c r="F106" s="5">
        <v>4</v>
      </c>
      <c r="G106" s="315">
        <v>4.8</v>
      </c>
      <c r="H106" s="310">
        <v>338328</v>
      </c>
      <c r="I106" s="310">
        <v>338328</v>
      </c>
      <c r="J106" s="310">
        <v>1354</v>
      </c>
      <c r="K106" s="310">
        <v>1354</v>
      </c>
      <c r="L106" s="308">
        <f>I106-K106</f>
        <v>336974</v>
      </c>
      <c r="M106" s="312">
        <v>1931124</v>
      </c>
    </row>
    <row r="107" spans="2:13" ht="12.75" customHeight="1" x14ac:dyDescent="0.2">
      <c r="B107" s="321"/>
      <c r="C107" s="3">
        <v>2</v>
      </c>
      <c r="D107" s="1" t="s">
        <v>5</v>
      </c>
      <c r="E107" s="2" t="s">
        <v>3</v>
      </c>
      <c r="F107" s="1">
        <v>2</v>
      </c>
      <c r="G107" s="316"/>
      <c r="H107" s="311"/>
      <c r="I107" s="311"/>
      <c r="J107" s="311"/>
      <c r="K107" s="311"/>
      <c r="L107" s="309"/>
      <c r="M107" s="313"/>
    </row>
    <row r="108" spans="2:13" ht="12.75" customHeight="1" x14ac:dyDescent="0.2">
      <c r="B108" s="321"/>
      <c r="C108" s="3">
        <v>3</v>
      </c>
      <c r="D108" s="1" t="s">
        <v>4</v>
      </c>
      <c r="E108" s="2" t="s">
        <v>3</v>
      </c>
      <c r="F108" s="1">
        <v>6</v>
      </c>
      <c r="G108" s="114">
        <f>F108*0.8</f>
        <v>4.8000000000000007</v>
      </c>
      <c r="H108" s="120">
        <v>325068</v>
      </c>
      <c r="I108" s="120">
        <v>325068</v>
      </c>
      <c r="J108" s="120">
        <v>1301</v>
      </c>
      <c r="K108" s="120">
        <v>1301</v>
      </c>
      <c r="L108" s="240">
        <f>I108-K108</f>
        <v>323767</v>
      </c>
      <c r="M108" s="313"/>
    </row>
    <row r="109" spans="2:13" ht="12.75" customHeight="1" x14ac:dyDescent="0.2">
      <c r="B109" s="321"/>
      <c r="C109" s="3">
        <v>4</v>
      </c>
      <c r="D109" s="3" t="s">
        <v>6</v>
      </c>
      <c r="E109" s="4" t="s">
        <v>3</v>
      </c>
      <c r="F109" s="3">
        <v>5</v>
      </c>
      <c r="G109" s="115">
        <f>F109*0.8</f>
        <v>4</v>
      </c>
      <c r="H109" s="120">
        <v>234469</v>
      </c>
      <c r="I109" s="120">
        <v>234469</v>
      </c>
      <c r="J109" s="120">
        <v>938</v>
      </c>
      <c r="K109" s="120">
        <v>938</v>
      </c>
      <c r="L109" s="240">
        <f>I109-K109</f>
        <v>233531</v>
      </c>
      <c r="M109" s="313"/>
    </row>
    <row r="110" spans="2:13" ht="12.75" customHeight="1" x14ac:dyDescent="0.2">
      <c r="B110" s="321"/>
      <c r="C110" s="3">
        <v>5</v>
      </c>
      <c r="D110" s="9" t="s">
        <v>9</v>
      </c>
      <c r="E110" s="10" t="s">
        <v>7</v>
      </c>
      <c r="F110" s="52">
        <v>4</v>
      </c>
      <c r="G110" s="116">
        <f>F110*0.8</f>
        <v>3.2</v>
      </c>
      <c r="H110" s="120">
        <v>171836</v>
      </c>
      <c r="I110" s="120">
        <v>171836</v>
      </c>
      <c r="J110" s="120">
        <v>715</v>
      </c>
      <c r="K110" s="120">
        <v>715</v>
      </c>
      <c r="L110" s="240">
        <f>I110-K110</f>
        <v>171121</v>
      </c>
      <c r="M110" s="313"/>
    </row>
    <row r="111" spans="2:13" ht="12.75" customHeight="1" thickBot="1" x14ac:dyDescent="0.25">
      <c r="B111" s="322"/>
      <c r="C111" s="16">
        <v>6</v>
      </c>
      <c r="D111" s="249" t="s">
        <v>8</v>
      </c>
      <c r="E111" s="250" t="s">
        <v>7</v>
      </c>
      <c r="F111" s="251">
        <v>16</v>
      </c>
      <c r="G111" s="252">
        <f>F111*0.8</f>
        <v>12.8</v>
      </c>
      <c r="H111" s="253">
        <v>782947</v>
      </c>
      <c r="I111" s="253">
        <v>782947</v>
      </c>
      <c r="J111" s="253">
        <v>3258</v>
      </c>
      <c r="K111" s="253">
        <v>3258</v>
      </c>
      <c r="L111" s="254">
        <f>I111-K111</f>
        <v>779689</v>
      </c>
      <c r="M111" s="314"/>
    </row>
    <row r="112" spans="2:13" ht="12.75" customHeight="1" x14ac:dyDescent="0.2">
      <c r="B112" s="320">
        <v>44470</v>
      </c>
      <c r="C112" s="15">
        <v>1</v>
      </c>
      <c r="D112" s="5" t="s">
        <v>4</v>
      </c>
      <c r="E112" s="6" t="s">
        <v>3</v>
      </c>
      <c r="F112" s="5">
        <v>4</v>
      </c>
      <c r="G112" s="315">
        <v>4.8</v>
      </c>
      <c r="H112" s="310">
        <v>418726</v>
      </c>
      <c r="I112" s="310">
        <v>418726</v>
      </c>
      <c r="J112" s="310">
        <v>1211</v>
      </c>
      <c r="K112" s="310">
        <v>1211</v>
      </c>
      <c r="L112" s="308">
        <f>I112-K112</f>
        <v>417515</v>
      </c>
      <c r="M112" s="312">
        <v>2542816</v>
      </c>
    </row>
    <row r="113" spans="2:13" ht="12.75" customHeight="1" x14ac:dyDescent="0.2">
      <c r="B113" s="321"/>
      <c r="C113" s="3">
        <v>2</v>
      </c>
      <c r="D113" s="1" t="s">
        <v>5</v>
      </c>
      <c r="E113" s="2" t="s">
        <v>3</v>
      </c>
      <c r="F113" s="1">
        <v>2</v>
      </c>
      <c r="G113" s="316"/>
      <c r="H113" s="311"/>
      <c r="I113" s="311"/>
      <c r="J113" s="311"/>
      <c r="K113" s="311"/>
      <c r="L113" s="309"/>
      <c r="M113" s="313"/>
    </row>
    <row r="114" spans="2:13" ht="12.75" customHeight="1" x14ac:dyDescent="0.2">
      <c r="B114" s="321"/>
      <c r="C114" s="3">
        <v>3</v>
      </c>
      <c r="D114" s="1" t="s">
        <v>4</v>
      </c>
      <c r="E114" s="2" t="s">
        <v>3</v>
      </c>
      <c r="F114" s="1">
        <v>6</v>
      </c>
      <c r="G114" s="114">
        <f>F114*0.8</f>
        <v>4.8000000000000007</v>
      </c>
      <c r="H114" s="120">
        <v>451869</v>
      </c>
      <c r="I114" s="120">
        <v>451869</v>
      </c>
      <c r="J114" s="120">
        <v>1307</v>
      </c>
      <c r="K114" s="120">
        <v>1307</v>
      </c>
      <c r="L114" s="240">
        <f>I114-K114</f>
        <v>450562</v>
      </c>
      <c r="M114" s="313"/>
    </row>
    <row r="115" spans="2:13" ht="12.75" customHeight="1" x14ac:dyDescent="0.2">
      <c r="B115" s="321"/>
      <c r="C115" s="3">
        <v>4</v>
      </c>
      <c r="D115" s="3" t="s">
        <v>6</v>
      </c>
      <c r="E115" s="4" t="s">
        <v>3</v>
      </c>
      <c r="F115" s="3">
        <v>5</v>
      </c>
      <c r="G115" s="115">
        <f>F115*0.8</f>
        <v>4</v>
      </c>
      <c r="H115" s="120">
        <v>322926</v>
      </c>
      <c r="I115" s="120">
        <v>322926</v>
      </c>
      <c r="J115" s="120">
        <v>934</v>
      </c>
      <c r="K115" s="120">
        <v>934</v>
      </c>
      <c r="L115" s="240">
        <f>I115-K115</f>
        <v>321992</v>
      </c>
      <c r="M115" s="313"/>
    </row>
    <row r="116" spans="2:13" ht="12.75" customHeight="1" x14ac:dyDescent="0.2">
      <c r="B116" s="321"/>
      <c r="C116" s="3">
        <v>5</v>
      </c>
      <c r="D116" s="9" t="s">
        <v>9</v>
      </c>
      <c r="E116" s="10" t="s">
        <v>7</v>
      </c>
      <c r="F116" s="52">
        <v>4</v>
      </c>
      <c r="G116" s="116">
        <f>F116*0.8</f>
        <v>3.2</v>
      </c>
      <c r="H116" s="120">
        <v>200159</v>
      </c>
      <c r="I116" s="120">
        <v>200159</v>
      </c>
      <c r="J116" s="120">
        <v>492</v>
      </c>
      <c r="K116" s="120">
        <v>492</v>
      </c>
      <c r="L116" s="240">
        <f>I116-K116</f>
        <v>199667</v>
      </c>
      <c r="M116" s="313"/>
    </row>
    <row r="117" spans="2:13" ht="12.75" customHeight="1" thickBot="1" x14ac:dyDescent="0.25">
      <c r="B117" s="322"/>
      <c r="C117" s="16">
        <v>6</v>
      </c>
      <c r="D117" s="249" t="s">
        <v>8</v>
      </c>
      <c r="E117" s="250" t="s">
        <v>7</v>
      </c>
      <c r="F117" s="251">
        <v>16</v>
      </c>
      <c r="G117" s="252">
        <f>F117*0.8</f>
        <v>12.8</v>
      </c>
      <c r="H117" s="253">
        <v>1060543</v>
      </c>
      <c r="I117" s="253">
        <v>1060543</v>
      </c>
      <c r="J117" s="253">
        <v>2607</v>
      </c>
      <c r="K117" s="253">
        <v>2607</v>
      </c>
      <c r="L117" s="254">
        <f>I117-K117</f>
        <v>1057936</v>
      </c>
      <c r="M117" s="314"/>
    </row>
    <row r="118" spans="2:13" ht="12.75" customHeight="1" x14ac:dyDescent="0.2">
      <c r="B118" s="320">
        <v>44501</v>
      </c>
      <c r="C118" s="15">
        <v>1</v>
      </c>
      <c r="D118" s="5" t="s">
        <v>4</v>
      </c>
      <c r="E118" s="6" t="s">
        <v>3</v>
      </c>
      <c r="F118" s="5">
        <v>4</v>
      </c>
      <c r="G118" s="315">
        <v>4.8</v>
      </c>
      <c r="H118" s="310">
        <v>267664</v>
      </c>
      <c r="I118" s="310">
        <v>267664</v>
      </c>
      <c r="J118" s="310">
        <v>1554</v>
      </c>
      <c r="K118" s="310">
        <v>1554</v>
      </c>
      <c r="L118" s="308">
        <f>I118-K118</f>
        <v>266110</v>
      </c>
      <c r="M118" s="312">
        <v>2063889</v>
      </c>
    </row>
    <row r="119" spans="2:13" ht="12.75" customHeight="1" x14ac:dyDescent="0.2">
      <c r="B119" s="321"/>
      <c r="C119" s="3">
        <v>2</v>
      </c>
      <c r="D119" s="1" t="s">
        <v>5</v>
      </c>
      <c r="E119" s="2" t="s">
        <v>3</v>
      </c>
      <c r="F119" s="1">
        <v>2</v>
      </c>
      <c r="G119" s="316"/>
      <c r="H119" s="311"/>
      <c r="I119" s="311"/>
      <c r="J119" s="311"/>
      <c r="K119" s="311"/>
      <c r="L119" s="309"/>
      <c r="M119" s="313"/>
    </row>
    <row r="120" spans="2:13" ht="12.75" customHeight="1" x14ac:dyDescent="0.2">
      <c r="B120" s="321"/>
      <c r="C120" s="3">
        <v>3</v>
      </c>
      <c r="D120" s="1" t="s">
        <v>4</v>
      </c>
      <c r="E120" s="2" t="s">
        <v>3</v>
      </c>
      <c r="F120" s="1">
        <v>6</v>
      </c>
      <c r="G120" s="114">
        <f>F120*0.8</f>
        <v>4.8000000000000007</v>
      </c>
      <c r="H120" s="120">
        <v>264849</v>
      </c>
      <c r="I120" s="120">
        <v>264849</v>
      </c>
      <c r="J120" s="120">
        <v>1537</v>
      </c>
      <c r="K120" s="120">
        <v>1537</v>
      </c>
      <c r="L120" s="240">
        <f>I120-K120</f>
        <v>263312</v>
      </c>
      <c r="M120" s="313"/>
    </row>
    <row r="121" spans="2:13" ht="12.75" customHeight="1" x14ac:dyDescent="0.2">
      <c r="B121" s="321"/>
      <c r="C121" s="3">
        <v>4</v>
      </c>
      <c r="D121" s="3" t="s">
        <v>6</v>
      </c>
      <c r="E121" s="4" t="s">
        <v>3</v>
      </c>
      <c r="F121" s="3">
        <v>5</v>
      </c>
      <c r="G121" s="115">
        <f>F121*0.8</f>
        <v>4</v>
      </c>
      <c r="H121" s="120">
        <v>181389</v>
      </c>
      <c r="I121" s="120">
        <v>181389</v>
      </c>
      <c r="J121" s="120">
        <v>1053</v>
      </c>
      <c r="K121" s="120">
        <v>1053</v>
      </c>
      <c r="L121" s="240">
        <f>I121-K121</f>
        <v>180336</v>
      </c>
      <c r="M121" s="313"/>
    </row>
    <row r="122" spans="2:13" ht="12.75" customHeight="1" x14ac:dyDescent="0.2">
      <c r="B122" s="321"/>
      <c r="C122" s="3">
        <v>5</v>
      </c>
      <c r="D122" s="9" t="s">
        <v>9</v>
      </c>
      <c r="E122" s="10" t="s">
        <v>7</v>
      </c>
      <c r="F122" s="52">
        <v>4</v>
      </c>
      <c r="G122" s="116">
        <f>F122*0.8</f>
        <v>3.2</v>
      </c>
      <c r="H122" s="120">
        <v>182838</v>
      </c>
      <c r="I122" s="120">
        <v>182838</v>
      </c>
      <c r="J122" s="120">
        <v>511</v>
      </c>
      <c r="K122" s="120">
        <v>511</v>
      </c>
      <c r="L122" s="240">
        <f>I122-K122</f>
        <v>182327</v>
      </c>
      <c r="M122" s="313"/>
    </row>
    <row r="123" spans="2:13" ht="12.75" customHeight="1" thickBot="1" x14ac:dyDescent="0.25">
      <c r="B123" s="322"/>
      <c r="C123" s="16">
        <v>6</v>
      </c>
      <c r="D123" s="249" t="s">
        <v>8</v>
      </c>
      <c r="E123" s="250" t="s">
        <v>7</v>
      </c>
      <c r="F123" s="251">
        <v>16</v>
      </c>
      <c r="G123" s="252">
        <f>F123*0.8</f>
        <v>12.8</v>
      </c>
      <c r="H123" s="253">
        <v>1093317</v>
      </c>
      <c r="I123" s="253">
        <v>1093317</v>
      </c>
      <c r="J123" s="253">
        <v>3057</v>
      </c>
      <c r="K123" s="253">
        <v>3057</v>
      </c>
      <c r="L123" s="254">
        <f>I123-K123</f>
        <v>1090260</v>
      </c>
      <c r="M123" s="314"/>
    </row>
    <row r="124" spans="2:13" ht="12.75" customHeight="1" x14ac:dyDescent="0.2">
      <c r="B124" s="320">
        <v>44531</v>
      </c>
      <c r="C124" s="15">
        <v>1</v>
      </c>
      <c r="D124" s="5" t="s">
        <v>4</v>
      </c>
      <c r="E124" s="6" t="s">
        <v>3</v>
      </c>
      <c r="F124" s="5">
        <v>4</v>
      </c>
      <c r="G124" s="315">
        <v>4.8</v>
      </c>
      <c r="H124" s="310">
        <v>314633</v>
      </c>
      <c r="I124" s="310">
        <v>314633</v>
      </c>
      <c r="J124" s="310">
        <v>526</v>
      </c>
      <c r="K124" s="310">
        <v>526</v>
      </c>
      <c r="L124" s="308">
        <f>I124-K124</f>
        <v>314107</v>
      </c>
      <c r="M124" s="312">
        <v>2495008</v>
      </c>
    </row>
    <row r="125" spans="2:13" ht="12.75" customHeight="1" x14ac:dyDescent="0.2">
      <c r="B125" s="321"/>
      <c r="C125" s="3">
        <v>2</v>
      </c>
      <c r="D125" s="1" t="s">
        <v>5</v>
      </c>
      <c r="E125" s="2" t="s">
        <v>3</v>
      </c>
      <c r="F125" s="1">
        <v>2</v>
      </c>
      <c r="G125" s="316"/>
      <c r="H125" s="311"/>
      <c r="I125" s="311"/>
      <c r="J125" s="311"/>
      <c r="K125" s="311"/>
      <c r="L125" s="309"/>
      <c r="M125" s="313"/>
    </row>
    <row r="126" spans="2:13" ht="12.75" customHeight="1" x14ac:dyDescent="0.2">
      <c r="B126" s="321"/>
      <c r="C126" s="3">
        <v>3</v>
      </c>
      <c r="D126" s="1" t="s">
        <v>4</v>
      </c>
      <c r="E126" s="2" t="s">
        <v>3</v>
      </c>
      <c r="F126" s="1">
        <v>6</v>
      </c>
      <c r="G126" s="114">
        <f>F126*0.8</f>
        <v>4.8000000000000007</v>
      </c>
      <c r="H126" s="120">
        <v>308743</v>
      </c>
      <c r="I126" s="120">
        <v>308743</v>
      </c>
      <c r="J126" s="120">
        <v>516</v>
      </c>
      <c r="K126" s="120">
        <v>516</v>
      </c>
      <c r="L126" s="240">
        <f>I126-K126</f>
        <v>308227</v>
      </c>
      <c r="M126" s="313"/>
    </row>
    <row r="127" spans="2:13" ht="12.75" customHeight="1" x14ac:dyDescent="0.2">
      <c r="B127" s="321"/>
      <c r="C127" s="3">
        <v>4</v>
      </c>
      <c r="D127" s="3" t="s">
        <v>6</v>
      </c>
      <c r="E127" s="4" t="s">
        <v>3</v>
      </c>
      <c r="F127" s="3">
        <v>5</v>
      </c>
      <c r="G127" s="115">
        <f>F127*0.8</f>
        <v>4</v>
      </c>
      <c r="H127" s="120">
        <v>204996</v>
      </c>
      <c r="I127" s="120">
        <v>204996</v>
      </c>
      <c r="J127" s="120">
        <v>343</v>
      </c>
      <c r="K127" s="120">
        <v>343</v>
      </c>
      <c r="L127" s="240">
        <f>I127-K127</f>
        <v>204653</v>
      </c>
      <c r="M127" s="313"/>
    </row>
    <row r="128" spans="2:13" ht="12.75" customHeight="1" x14ac:dyDescent="0.2">
      <c r="B128" s="321"/>
      <c r="C128" s="3">
        <v>5</v>
      </c>
      <c r="D128" s="9" t="s">
        <v>9</v>
      </c>
      <c r="E128" s="10" t="s">
        <v>7</v>
      </c>
      <c r="F128" s="52">
        <v>4</v>
      </c>
      <c r="G128" s="116">
        <f>F128*0.8</f>
        <v>3.2</v>
      </c>
      <c r="H128" s="120">
        <v>260241</v>
      </c>
      <c r="I128" s="120">
        <v>260241</v>
      </c>
      <c r="J128" s="120">
        <v>406</v>
      </c>
      <c r="K128" s="120">
        <v>406</v>
      </c>
      <c r="L128" s="240">
        <f>I128-K128</f>
        <v>259835</v>
      </c>
      <c r="M128" s="313"/>
    </row>
    <row r="129" spans="2:14" ht="12.75" customHeight="1" thickBot="1" x14ac:dyDescent="0.25">
      <c r="B129" s="322"/>
      <c r="C129" s="16">
        <v>6</v>
      </c>
      <c r="D129" s="249" t="s">
        <v>8</v>
      </c>
      <c r="E129" s="250" t="s">
        <v>7</v>
      </c>
      <c r="F129" s="251">
        <v>16</v>
      </c>
      <c r="G129" s="252">
        <f>F129*0.8</f>
        <v>12.8</v>
      </c>
      <c r="H129" s="253">
        <v>1333690</v>
      </c>
      <c r="I129" s="253">
        <v>1333690</v>
      </c>
      <c r="J129" s="253">
        <v>2081</v>
      </c>
      <c r="K129" s="253">
        <v>2081</v>
      </c>
      <c r="L129" s="254">
        <f>I129-K129</f>
        <v>1331609</v>
      </c>
      <c r="M129" s="314"/>
    </row>
    <row r="130" spans="2:14" ht="12.75" customHeight="1" x14ac:dyDescent="0.2">
      <c r="B130" s="320">
        <v>44562</v>
      </c>
      <c r="C130" s="15">
        <v>1</v>
      </c>
      <c r="D130" s="5" t="s">
        <v>4</v>
      </c>
      <c r="E130" s="6" t="s">
        <v>3</v>
      </c>
      <c r="F130" s="5">
        <v>4</v>
      </c>
      <c r="G130" s="315">
        <v>4.8</v>
      </c>
      <c r="H130" s="310">
        <v>284112</v>
      </c>
      <c r="I130" s="310">
        <v>284112</v>
      </c>
      <c r="J130" s="310">
        <v>1665</v>
      </c>
      <c r="K130" s="310">
        <v>1665</v>
      </c>
      <c r="L130" s="308">
        <f>I130-K130</f>
        <v>282447</v>
      </c>
      <c r="M130" s="317">
        <v>2028875</v>
      </c>
    </row>
    <row r="131" spans="2:14" ht="12.75" customHeight="1" x14ac:dyDescent="0.2">
      <c r="B131" s="321"/>
      <c r="C131" s="3">
        <v>2</v>
      </c>
      <c r="D131" s="1" t="s">
        <v>5</v>
      </c>
      <c r="E131" s="2" t="s">
        <v>3</v>
      </c>
      <c r="F131" s="1">
        <v>2</v>
      </c>
      <c r="G131" s="316"/>
      <c r="H131" s="311"/>
      <c r="I131" s="311"/>
      <c r="J131" s="311"/>
      <c r="K131" s="311"/>
      <c r="L131" s="309"/>
      <c r="M131" s="318"/>
    </row>
    <row r="132" spans="2:14" ht="12.75" customHeight="1" x14ac:dyDescent="0.2">
      <c r="B132" s="321"/>
      <c r="C132" s="3">
        <v>3</v>
      </c>
      <c r="D132" s="1" t="s">
        <v>4</v>
      </c>
      <c r="E132" s="2" t="s">
        <v>3</v>
      </c>
      <c r="F132" s="1">
        <v>6</v>
      </c>
      <c r="G132" s="114">
        <f>F132*0.8</f>
        <v>4.8000000000000007</v>
      </c>
      <c r="H132" s="120">
        <v>271590</v>
      </c>
      <c r="I132" s="120">
        <v>271590</v>
      </c>
      <c r="J132" s="120">
        <v>1592</v>
      </c>
      <c r="K132" s="120">
        <v>1592</v>
      </c>
      <c r="L132" s="240">
        <f>I132-K132</f>
        <v>269998</v>
      </c>
      <c r="M132" s="318"/>
    </row>
    <row r="133" spans="2:14" ht="12.75" customHeight="1" x14ac:dyDescent="0.2">
      <c r="B133" s="321"/>
      <c r="C133" s="3">
        <v>4</v>
      </c>
      <c r="D133" s="3" t="s">
        <v>6</v>
      </c>
      <c r="E133" s="4" t="s">
        <v>3</v>
      </c>
      <c r="F133" s="3">
        <v>5</v>
      </c>
      <c r="G133" s="115">
        <f>F133*0.8</f>
        <v>4</v>
      </c>
      <c r="H133" s="120">
        <v>196145</v>
      </c>
      <c r="I133" s="120">
        <v>196145</v>
      </c>
      <c r="J133" s="120">
        <v>1150</v>
      </c>
      <c r="K133" s="120">
        <v>1150</v>
      </c>
      <c r="L133" s="240">
        <f>I133-K133</f>
        <v>194995</v>
      </c>
      <c r="M133" s="318"/>
    </row>
    <row r="134" spans="2:14" ht="12.75" customHeight="1" x14ac:dyDescent="0.2">
      <c r="B134" s="321"/>
      <c r="C134" s="3">
        <v>5</v>
      </c>
      <c r="D134" s="9" t="s">
        <v>9</v>
      </c>
      <c r="E134" s="10" t="s">
        <v>7</v>
      </c>
      <c r="F134" s="52">
        <v>4</v>
      </c>
      <c r="G134" s="116">
        <f>F134*0.8</f>
        <v>3.2</v>
      </c>
      <c r="H134" s="120">
        <v>182673</v>
      </c>
      <c r="I134" s="120">
        <v>182673</v>
      </c>
      <c r="J134" s="120">
        <v>472</v>
      </c>
      <c r="K134" s="120">
        <v>472</v>
      </c>
      <c r="L134" s="240">
        <f>I134-K134</f>
        <v>182201</v>
      </c>
      <c r="M134" s="318"/>
    </row>
    <row r="135" spans="2:14" ht="12.75" customHeight="1" thickBot="1" x14ac:dyDescent="0.25">
      <c r="B135" s="322"/>
      <c r="C135" s="16">
        <v>6</v>
      </c>
      <c r="D135" s="249" t="s">
        <v>8</v>
      </c>
      <c r="E135" s="250" t="s">
        <v>7</v>
      </c>
      <c r="F135" s="251">
        <v>16</v>
      </c>
      <c r="G135" s="252">
        <f>F135*0.8</f>
        <v>12.8</v>
      </c>
      <c r="H135" s="253">
        <v>1022013</v>
      </c>
      <c r="I135" s="253">
        <v>1022013</v>
      </c>
      <c r="J135" s="253">
        <v>2639</v>
      </c>
      <c r="K135" s="253">
        <v>2639</v>
      </c>
      <c r="L135" s="254">
        <f>I135-K135</f>
        <v>1019374</v>
      </c>
      <c r="M135" s="319"/>
    </row>
    <row r="136" spans="2:14" ht="12.75" customHeight="1" x14ac:dyDescent="0.2">
      <c r="B136" s="320">
        <v>44593</v>
      </c>
      <c r="C136" s="15">
        <v>1</v>
      </c>
      <c r="D136" s="5" t="s">
        <v>4</v>
      </c>
      <c r="E136" s="6" t="s">
        <v>3</v>
      </c>
      <c r="F136" s="5">
        <v>4</v>
      </c>
      <c r="G136" s="315">
        <v>4.8</v>
      </c>
      <c r="H136" s="341">
        <f>(M136/'Jaisalmer Feb-22'!G72)*412064</f>
        <v>394430.18070900207</v>
      </c>
      <c r="I136" s="343">
        <f>H136</f>
        <v>394430.18070900207</v>
      </c>
      <c r="J136" s="335">
        <f>(M136/'Jaisalmer Feb-22'!G72)*770</f>
        <v>737.04870880720364</v>
      </c>
      <c r="K136" s="343">
        <f>J136</f>
        <v>737.04870880720364</v>
      </c>
      <c r="L136" s="333">
        <f>I136-K136</f>
        <v>393693.13200019486</v>
      </c>
      <c r="M136" s="350">
        <f>SUM('Till 27th Feb 22'!B11:B14)+'Till 27th Feb 22'!B21+'Till 27th Feb 22'!B22</f>
        <v>412664</v>
      </c>
    </row>
    <row r="137" spans="2:14" ht="12.75" customHeight="1" x14ac:dyDescent="0.2">
      <c r="B137" s="321"/>
      <c r="C137" s="3">
        <v>2</v>
      </c>
      <c r="D137" s="1" t="s">
        <v>5</v>
      </c>
      <c r="E137" s="2" t="s">
        <v>3</v>
      </c>
      <c r="F137" s="1">
        <v>2</v>
      </c>
      <c r="G137" s="316"/>
      <c r="H137" s="342"/>
      <c r="I137" s="344"/>
      <c r="J137" s="336"/>
      <c r="K137" s="344"/>
      <c r="L137" s="334"/>
      <c r="M137" s="351"/>
    </row>
    <row r="138" spans="2:14" ht="12.75" customHeight="1" x14ac:dyDescent="0.2">
      <c r="B138" s="321"/>
      <c r="C138" s="3">
        <v>3</v>
      </c>
      <c r="D138" s="1" t="s">
        <v>4</v>
      </c>
      <c r="E138" s="2" t="s">
        <v>3</v>
      </c>
      <c r="F138" s="1">
        <v>6</v>
      </c>
      <c r="G138" s="114">
        <f>F138*0.8</f>
        <v>4.8000000000000007</v>
      </c>
      <c r="H138" s="132">
        <f>(M138/'Jaisalmer Feb-22'!G73)*352765</f>
        <v>336869.77643928555</v>
      </c>
      <c r="I138" s="247">
        <f>H138</f>
        <v>336869.77643928555</v>
      </c>
      <c r="J138" s="120">
        <f>(M138/'Jaisalmer Feb-22'!G73)*659</f>
        <v>629.30614622621067</v>
      </c>
      <c r="K138" s="247">
        <f>J138</f>
        <v>629.30614622621067</v>
      </c>
      <c r="L138" s="240">
        <f>I138-K138</f>
        <v>336240.47029305936</v>
      </c>
      <c r="M138" s="248">
        <f>SUM('Till 27th Feb 22'!B15:B20)</f>
        <v>352442</v>
      </c>
    </row>
    <row r="139" spans="2:14" ht="12.75" customHeight="1" x14ac:dyDescent="0.2">
      <c r="B139" s="321"/>
      <c r="C139" s="3">
        <v>4</v>
      </c>
      <c r="D139" s="3" t="s">
        <v>6</v>
      </c>
      <c r="E139" s="4" t="s">
        <v>3</v>
      </c>
      <c r="F139" s="3">
        <v>5</v>
      </c>
      <c r="G139" s="115">
        <f>F139*0.8</f>
        <v>4</v>
      </c>
      <c r="H139" s="132">
        <f>(M139/'Jaisalmer Feb-22'!G67)*289506</f>
        <v>279064.67151332664</v>
      </c>
      <c r="I139" s="247">
        <f>H139</f>
        <v>279064.67151332664</v>
      </c>
      <c r="J139" s="120">
        <f>(M139/'Jaisalmer Feb-22'!G67)*541</f>
        <v>521.48828448705638</v>
      </c>
      <c r="K139" s="247">
        <f>J139</f>
        <v>521.48828448705638</v>
      </c>
      <c r="L139" s="240">
        <f>I139-K139</f>
        <v>278543.1832288396</v>
      </c>
      <c r="M139" s="248">
        <f>SUM('Till 27th Feb 22'!B6:B10)</f>
        <v>291965</v>
      </c>
    </row>
    <row r="140" spans="2:14" ht="12.75" customHeight="1" x14ac:dyDescent="0.2">
      <c r="B140" s="321"/>
      <c r="C140" s="3">
        <v>5</v>
      </c>
      <c r="D140" s="9" t="s">
        <v>9</v>
      </c>
      <c r="E140" s="10" t="s">
        <v>7</v>
      </c>
      <c r="F140" s="52">
        <v>4</v>
      </c>
      <c r="G140" s="116">
        <f>F140*0.8</f>
        <v>3.2</v>
      </c>
      <c r="H140" s="120">
        <f>(M140/'Tinwari Feb-22'!G24)*265665</f>
        <v>247679.93257600971</v>
      </c>
      <c r="I140" s="131">
        <f>247679.93257601*(1-0.2%)</f>
        <v>247184.57271085799</v>
      </c>
      <c r="J140" s="130">
        <f>(M140/'Tinwari Feb-22'!G24)*236</f>
        <v>220.0232024840995</v>
      </c>
      <c r="K140" s="131">
        <f>J140*(1+0.2%)</f>
        <v>220.4632488890677</v>
      </c>
      <c r="L140" s="283">
        <f>I140-K140</f>
        <v>246964.10946196891</v>
      </c>
      <c r="M140" s="248">
        <f>SUM('Till 27th Feb 22'!B41:B44)</f>
        <v>254909</v>
      </c>
    </row>
    <row r="141" spans="2:14" ht="12.75" customHeight="1" thickBot="1" x14ac:dyDescent="0.25">
      <c r="B141" s="322"/>
      <c r="C141" s="16">
        <v>6</v>
      </c>
      <c r="D141" s="249" t="s">
        <v>8</v>
      </c>
      <c r="E141" s="250" t="s">
        <v>7</v>
      </c>
      <c r="F141" s="251">
        <v>16</v>
      </c>
      <c r="G141" s="252">
        <f>F141*0.8</f>
        <v>12.8</v>
      </c>
      <c r="H141" s="253">
        <f>(M141/'Tinwari Feb-22'!G23)*1376528</f>
        <v>1276885.2214605168</v>
      </c>
      <c r="I141" s="259">
        <f>1276885.22146052*(1-0.2%)</f>
        <v>1274331.4510175991</v>
      </c>
      <c r="J141" s="257">
        <f>(M141/'Tinwari Feb-22'!G23)*1224</f>
        <v>1135.3982709161546</v>
      </c>
      <c r="K141" s="259">
        <f>J141*(1+0.2%)</f>
        <v>1137.669067457987</v>
      </c>
      <c r="L141" s="258">
        <f>I141-K141</f>
        <v>1273193.7819501411</v>
      </c>
      <c r="M141" s="284">
        <f>SUM('Till 27th Feb 22'!B25:B40)</f>
        <v>1314153</v>
      </c>
    </row>
    <row r="142" spans="2:14" ht="13.5" thickBot="1" x14ac:dyDescent="0.25">
      <c r="B142" s="54"/>
      <c r="C142" s="55"/>
      <c r="D142" s="55"/>
      <c r="E142" s="55"/>
      <c r="F142" s="55"/>
      <c r="G142" s="55"/>
      <c r="H142" s="255">
        <f t="shared" ref="H142:M142" si="1">SUM(H4:H141)</f>
        <v>78240983.782698154</v>
      </c>
      <c r="I142" s="255">
        <f t="shared" si="1"/>
        <v>78213480.618390068</v>
      </c>
      <c r="J142" s="255">
        <f t="shared" si="1"/>
        <v>101304.26461292071</v>
      </c>
      <c r="K142" s="255">
        <f t="shared" si="1"/>
        <v>101364.44745586751</v>
      </c>
      <c r="L142" s="255">
        <f t="shared" si="1"/>
        <v>78112116.1709342</v>
      </c>
      <c r="M142" s="256">
        <f t="shared" si="1"/>
        <v>81179425</v>
      </c>
      <c r="N142" s="56"/>
    </row>
    <row r="143" spans="2:14" x14ac:dyDescent="0.2">
      <c r="I143" s="234">
        <f>I142/1000</f>
        <v>78213.480618390066</v>
      </c>
      <c r="J143" s="234"/>
      <c r="K143" s="234">
        <f>K142/1000</f>
        <v>101.36444745586752</v>
      </c>
      <c r="L143" s="234">
        <f>L142/1000</f>
        <v>78112.116170934198</v>
      </c>
      <c r="M143" s="234">
        <f>M142/1000</f>
        <v>81179.425000000003</v>
      </c>
    </row>
    <row r="145" spans="4:9" ht="13.5" thickBot="1" x14ac:dyDescent="0.25">
      <c r="D145" s="289" t="s">
        <v>318</v>
      </c>
      <c r="E145"/>
      <c r="F145"/>
      <c r="G145"/>
      <c r="H145"/>
      <c r="I145"/>
    </row>
    <row r="146" spans="4:9" ht="36.75" thickBot="1" x14ac:dyDescent="0.25">
      <c r="D146" s="287" t="s">
        <v>319</v>
      </c>
      <c r="E146" s="288" t="s">
        <v>320</v>
      </c>
      <c r="F146" s="288" t="s">
        <v>321</v>
      </c>
      <c r="G146" s="288" t="s">
        <v>322</v>
      </c>
      <c r="H146" s="288" t="s">
        <v>323</v>
      </c>
      <c r="I146"/>
    </row>
    <row r="147" spans="4:9" ht="24" x14ac:dyDescent="0.2">
      <c r="D147" s="352" t="s">
        <v>324</v>
      </c>
      <c r="E147" s="290" t="s">
        <v>325</v>
      </c>
      <c r="F147" s="352" t="s">
        <v>327</v>
      </c>
      <c r="G147" s="352" t="s">
        <v>328</v>
      </c>
      <c r="H147" s="290" t="s">
        <v>329</v>
      </c>
      <c r="I147"/>
    </row>
    <row r="148" spans="4:9" ht="36.75" thickBot="1" x14ac:dyDescent="0.25">
      <c r="D148" s="353"/>
      <c r="E148" s="291" t="s">
        <v>326</v>
      </c>
      <c r="F148" s="353"/>
      <c r="G148" s="353"/>
      <c r="H148" s="291" t="s">
        <v>330</v>
      </c>
      <c r="I148"/>
    </row>
    <row r="149" spans="4:9" ht="24" x14ac:dyDescent="0.2">
      <c r="D149" s="352" t="s">
        <v>331</v>
      </c>
      <c r="E149" s="290" t="s">
        <v>332</v>
      </c>
      <c r="F149" s="292">
        <v>43691</v>
      </c>
      <c r="G149" s="352" t="s">
        <v>334</v>
      </c>
      <c r="H149" s="290" t="s">
        <v>335</v>
      </c>
      <c r="I149"/>
    </row>
    <row r="150" spans="4:9" ht="36.75" thickBot="1" x14ac:dyDescent="0.25">
      <c r="D150" s="354"/>
      <c r="E150" s="290" t="s">
        <v>333</v>
      </c>
      <c r="F150" s="292">
        <v>44236</v>
      </c>
      <c r="G150" s="353"/>
      <c r="H150" s="291" t="s">
        <v>336</v>
      </c>
      <c r="I150"/>
    </row>
    <row r="151" spans="4:9" ht="24" x14ac:dyDescent="0.2">
      <c r="D151" s="354"/>
      <c r="E151" s="293"/>
      <c r="F151" s="292">
        <v>44765</v>
      </c>
      <c r="G151" s="352" t="s">
        <v>337</v>
      </c>
      <c r="H151" s="290" t="s">
        <v>338</v>
      </c>
      <c r="I151"/>
    </row>
    <row r="152" spans="4:9" ht="24.75" thickBot="1" x14ac:dyDescent="0.25">
      <c r="D152" s="353"/>
      <c r="E152" s="294"/>
      <c r="F152" s="294"/>
      <c r="G152" s="353"/>
      <c r="H152" s="291" t="s">
        <v>339</v>
      </c>
      <c r="I152"/>
    </row>
    <row r="153" spans="4:9" x14ac:dyDescent="0.2">
      <c r="D153" s="295"/>
      <c r="E153" s="296"/>
      <c r="F153" s="296"/>
      <c r="G153" s="296"/>
      <c r="H153" s="296"/>
      <c r="I153"/>
    </row>
    <row r="154" spans="4:9" ht="13.5" thickBot="1" x14ac:dyDescent="0.25">
      <c r="D154" s="297" t="s">
        <v>340</v>
      </c>
      <c r="E154" s="296"/>
      <c r="F154" s="296"/>
      <c r="G154" s="296"/>
      <c r="H154" s="296"/>
      <c r="I154"/>
    </row>
    <row r="155" spans="4:9" ht="24.75" thickBot="1" x14ac:dyDescent="0.25">
      <c r="D155" s="298" t="s">
        <v>341</v>
      </c>
      <c r="E155" s="355" t="s">
        <v>342</v>
      </c>
      <c r="F155" s="356"/>
      <c r="G155" s="303" t="s">
        <v>343</v>
      </c>
      <c r="H155" s="299"/>
      <c r="I155" s="286"/>
    </row>
    <row r="156" spans="4:9" ht="15" x14ac:dyDescent="0.2">
      <c r="D156" s="357" t="s">
        <v>344</v>
      </c>
      <c r="E156" s="359">
        <v>15197055</v>
      </c>
      <c r="F156" s="360"/>
      <c r="G156" s="304">
        <v>43850</v>
      </c>
      <c r="H156" s="299"/>
      <c r="I156" s="286"/>
    </row>
    <row r="157" spans="4:9" ht="15.75" thickBot="1" x14ac:dyDescent="0.25">
      <c r="D157" s="358"/>
      <c r="E157" s="361"/>
      <c r="F157" s="362"/>
      <c r="G157" s="305">
        <v>44270</v>
      </c>
      <c r="H157" s="296"/>
      <c r="I157" s="286"/>
    </row>
    <row r="158" spans="4:9" x14ac:dyDescent="0.2">
      <c r="D158" s="363" t="s">
        <v>345</v>
      </c>
      <c r="E158" s="363" t="s">
        <v>346</v>
      </c>
      <c r="F158" s="365" t="s">
        <v>347</v>
      </c>
      <c r="G158" s="300">
        <v>43691</v>
      </c>
      <c r="H158" s="367"/>
      <c r="I158" s="368"/>
    </row>
    <row r="159" spans="4:9" ht="13.5" thickBot="1" x14ac:dyDescent="0.25">
      <c r="D159" s="364"/>
      <c r="E159" s="364"/>
      <c r="F159" s="366"/>
      <c r="G159" s="301">
        <v>44236</v>
      </c>
      <c r="H159" s="367"/>
      <c r="I159" s="368"/>
    </row>
    <row r="160" spans="4:9" ht="14.25" x14ac:dyDescent="0.2">
      <c r="D160" s="302"/>
      <c r="E160" s="302"/>
      <c r="F160" s="302"/>
      <c r="G160" s="302"/>
      <c r="H160" s="302"/>
      <c r="I160" s="285"/>
    </row>
    <row r="161" spans="4:9" ht="13.5" thickBot="1" x14ac:dyDescent="0.25">
      <c r="D161" s="289" t="s">
        <v>348</v>
      </c>
      <c r="E161" s="296"/>
      <c r="F161" s="296"/>
      <c r="G161" s="296"/>
      <c r="H161" s="296"/>
      <c r="I161"/>
    </row>
    <row r="162" spans="4:9" ht="36.75" thickBot="1" x14ac:dyDescent="0.25">
      <c r="D162" s="287" t="s">
        <v>319</v>
      </c>
      <c r="E162" s="288" t="s">
        <v>320</v>
      </c>
      <c r="F162" s="288" t="s">
        <v>321</v>
      </c>
      <c r="G162" s="288" t="s">
        <v>322</v>
      </c>
      <c r="H162" s="288" t="s">
        <v>323</v>
      </c>
      <c r="I162"/>
    </row>
    <row r="163" spans="4:9" x14ac:dyDescent="0.2">
      <c r="D163" s="352" t="s">
        <v>349</v>
      </c>
      <c r="E163" s="352" t="s">
        <v>350</v>
      </c>
      <c r="F163" s="292">
        <v>43850</v>
      </c>
      <c r="G163" s="352" t="s">
        <v>328</v>
      </c>
      <c r="H163" s="369">
        <v>-1E-4</v>
      </c>
      <c r="I163"/>
    </row>
    <row r="164" spans="4:9" ht="24.75" thickBot="1" x14ac:dyDescent="0.25">
      <c r="D164" s="353"/>
      <c r="E164" s="353"/>
      <c r="F164" s="291" t="s">
        <v>351</v>
      </c>
      <c r="G164" s="353"/>
      <c r="H164" s="370"/>
      <c r="I164"/>
    </row>
    <row r="165" spans="4:9" ht="24" x14ac:dyDescent="0.2">
      <c r="D165" s="352" t="s">
        <v>352</v>
      </c>
      <c r="E165" s="290" t="s">
        <v>353</v>
      </c>
      <c r="F165" s="292">
        <v>43691</v>
      </c>
      <c r="G165" s="352" t="s">
        <v>334</v>
      </c>
      <c r="H165" s="290" t="s">
        <v>355</v>
      </c>
      <c r="I165"/>
    </row>
    <row r="166" spans="4:9" ht="36.75" thickBot="1" x14ac:dyDescent="0.25">
      <c r="D166" s="354"/>
      <c r="E166" s="290" t="s">
        <v>354</v>
      </c>
      <c r="F166" s="292">
        <v>44236</v>
      </c>
      <c r="G166" s="353"/>
      <c r="H166" s="291" t="s">
        <v>336</v>
      </c>
      <c r="I166"/>
    </row>
    <row r="167" spans="4:9" ht="24" x14ac:dyDescent="0.2">
      <c r="D167" s="354"/>
      <c r="E167" s="293"/>
      <c r="F167" s="292">
        <v>44765</v>
      </c>
      <c r="G167" s="352" t="s">
        <v>337</v>
      </c>
      <c r="H167" s="290" t="s">
        <v>356</v>
      </c>
      <c r="I167"/>
    </row>
    <row r="168" spans="4:9" ht="24.75" thickBot="1" x14ac:dyDescent="0.25">
      <c r="D168" s="353"/>
      <c r="E168" s="294"/>
      <c r="F168" s="294"/>
      <c r="G168" s="353"/>
      <c r="H168" s="291" t="s">
        <v>357</v>
      </c>
      <c r="I168"/>
    </row>
  </sheetData>
  <mergeCells count="211">
    <mergeCell ref="D158:D159"/>
    <mergeCell ref="E158:E159"/>
    <mergeCell ref="F158:F159"/>
    <mergeCell ref="D165:D168"/>
    <mergeCell ref="G165:G166"/>
    <mergeCell ref="G167:G168"/>
    <mergeCell ref="H158:H159"/>
    <mergeCell ref="I158:I159"/>
    <mergeCell ref="D163:D164"/>
    <mergeCell ref="E163:E164"/>
    <mergeCell ref="G163:G164"/>
    <mergeCell ref="H163:H164"/>
    <mergeCell ref="D147:D148"/>
    <mergeCell ref="F147:F148"/>
    <mergeCell ref="G147:G148"/>
    <mergeCell ref="D149:D152"/>
    <mergeCell ref="G149:G150"/>
    <mergeCell ref="G151:G152"/>
    <mergeCell ref="E155:F155"/>
    <mergeCell ref="D156:D157"/>
    <mergeCell ref="E156:F157"/>
    <mergeCell ref="K136:K137"/>
    <mergeCell ref="M136:M137"/>
    <mergeCell ref="K52:K53"/>
    <mergeCell ref="K58:K59"/>
    <mergeCell ref="K64:K65"/>
    <mergeCell ref="K70:K71"/>
    <mergeCell ref="L136:L137"/>
    <mergeCell ref="L64:L65"/>
    <mergeCell ref="L70:L71"/>
    <mergeCell ref="M82:M87"/>
    <mergeCell ref="K76:K77"/>
    <mergeCell ref="K82:K83"/>
    <mergeCell ref="I22:I23"/>
    <mergeCell ref="I28:I29"/>
    <mergeCell ref="I34:I35"/>
    <mergeCell ref="I40:I41"/>
    <mergeCell ref="I46:I47"/>
    <mergeCell ref="I52:I53"/>
    <mergeCell ref="I58:I59"/>
    <mergeCell ref="I64:I65"/>
    <mergeCell ref="I70:I71"/>
    <mergeCell ref="O1:R1"/>
    <mergeCell ref="L76:L77"/>
    <mergeCell ref="J64:J65"/>
    <mergeCell ref="L22:L23"/>
    <mergeCell ref="L82:L83"/>
    <mergeCell ref="M46:M51"/>
    <mergeCell ref="L46:L47"/>
    <mergeCell ref="L28:L29"/>
    <mergeCell ref="L4:L5"/>
    <mergeCell ref="L10:L11"/>
    <mergeCell ref="K4:K5"/>
    <mergeCell ref="K10:K11"/>
    <mergeCell ref="K16:K17"/>
    <mergeCell ref="K22:K23"/>
    <mergeCell ref="K28:K29"/>
    <mergeCell ref="B82:B87"/>
    <mergeCell ref="B136:B141"/>
    <mergeCell ref="H82:H83"/>
    <mergeCell ref="J82:J83"/>
    <mergeCell ref="H136:H137"/>
    <mergeCell ref="G76:G77"/>
    <mergeCell ref="G136:G137"/>
    <mergeCell ref="B76:B81"/>
    <mergeCell ref="G82:G83"/>
    <mergeCell ref="I136:I137"/>
    <mergeCell ref="I76:I77"/>
    <mergeCell ref="I82:I83"/>
    <mergeCell ref="H64:H65"/>
    <mergeCell ref="H58:H59"/>
    <mergeCell ref="G70:G71"/>
    <mergeCell ref="J58:J59"/>
    <mergeCell ref="L58:L59"/>
    <mergeCell ref="B58:B63"/>
    <mergeCell ref="B64:B69"/>
    <mergeCell ref="B70:B75"/>
    <mergeCell ref="G58:G59"/>
    <mergeCell ref="G64:G65"/>
    <mergeCell ref="L34:L35"/>
    <mergeCell ref="G40:G41"/>
    <mergeCell ref="H40:H41"/>
    <mergeCell ref="J40:J41"/>
    <mergeCell ref="L40:L41"/>
    <mergeCell ref="G34:G35"/>
    <mergeCell ref="K34:K35"/>
    <mergeCell ref="K40:K41"/>
    <mergeCell ref="H52:H53"/>
    <mergeCell ref="J52:J53"/>
    <mergeCell ref="L52:L53"/>
    <mergeCell ref="H46:H47"/>
    <mergeCell ref="J46:J47"/>
    <mergeCell ref="G46:G47"/>
    <mergeCell ref="G52:G53"/>
    <mergeCell ref="K46:K47"/>
    <mergeCell ref="J136:J137"/>
    <mergeCell ref="B16:B21"/>
    <mergeCell ref="B22:B27"/>
    <mergeCell ref="G22:G23"/>
    <mergeCell ref="G16:G17"/>
    <mergeCell ref="H22:H23"/>
    <mergeCell ref="J22:J23"/>
    <mergeCell ref="G94:G95"/>
    <mergeCell ref="G100:G101"/>
    <mergeCell ref="G106:G107"/>
    <mergeCell ref="B28:B33"/>
    <mergeCell ref="G28:G29"/>
    <mergeCell ref="H28:H29"/>
    <mergeCell ref="H76:H77"/>
    <mergeCell ref="J76:J77"/>
    <mergeCell ref="J28:J29"/>
    <mergeCell ref="B40:B45"/>
    <mergeCell ref="H70:H71"/>
    <mergeCell ref="J70:J71"/>
    <mergeCell ref="B34:B39"/>
    <mergeCell ref="H34:H35"/>
    <mergeCell ref="J34:J35"/>
    <mergeCell ref="B52:B57"/>
    <mergeCell ref="B46:B51"/>
    <mergeCell ref="C2:C3"/>
    <mergeCell ref="E2:E3"/>
    <mergeCell ref="F2:F3"/>
    <mergeCell ref="D2:D3"/>
    <mergeCell ref="B2:B3"/>
    <mergeCell ref="L16:L17"/>
    <mergeCell ref="H10:H11"/>
    <mergeCell ref="H16:H17"/>
    <mergeCell ref="J16:J17"/>
    <mergeCell ref="B10:B15"/>
    <mergeCell ref="B4:B9"/>
    <mergeCell ref="G4:G5"/>
    <mergeCell ref="H4:H5"/>
    <mergeCell ref="J4:J5"/>
    <mergeCell ref="G10:G11"/>
    <mergeCell ref="J10:J11"/>
    <mergeCell ref="I4:I5"/>
    <mergeCell ref="I10:I11"/>
    <mergeCell ref="I16:I17"/>
    <mergeCell ref="M40:M45"/>
    <mergeCell ref="M52:M57"/>
    <mergeCell ref="M58:M63"/>
    <mergeCell ref="M64:M69"/>
    <mergeCell ref="M70:M75"/>
    <mergeCell ref="M76:M81"/>
    <mergeCell ref="M4:M9"/>
    <mergeCell ref="M10:M15"/>
    <mergeCell ref="M16:M21"/>
    <mergeCell ref="M22:M27"/>
    <mergeCell ref="M28:M33"/>
    <mergeCell ref="M34:M39"/>
    <mergeCell ref="B88:B93"/>
    <mergeCell ref="B118:B123"/>
    <mergeCell ref="B94:B99"/>
    <mergeCell ref="B100:B105"/>
    <mergeCell ref="B112:B117"/>
    <mergeCell ref="B106:B111"/>
    <mergeCell ref="B124:B129"/>
    <mergeCell ref="B130:B135"/>
    <mergeCell ref="G88:G89"/>
    <mergeCell ref="G112:G113"/>
    <mergeCell ref="G118:G119"/>
    <mergeCell ref="G124:G125"/>
    <mergeCell ref="G130:G131"/>
    <mergeCell ref="L88:L89"/>
    <mergeCell ref="M124:M129"/>
    <mergeCell ref="M118:M123"/>
    <mergeCell ref="M112:M117"/>
    <mergeCell ref="M106:M111"/>
    <mergeCell ref="M100:M105"/>
    <mergeCell ref="M130:M135"/>
    <mergeCell ref="M88:M93"/>
    <mergeCell ref="H88:H89"/>
    <mergeCell ref="I88:I89"/>
    <mergeCell ref="J88:J89"/>
    <mergeCell ref="K88:K89"/>
    <mergeCell ref="H112:H113"/>
    <mergeCell ref="I112:I113"/>
    <mergeCell ref="J112:J113"/>
    <mergeCell ref="K112:K113"/>
    <mergeCell ref="L112:L113"/>
    <mergeCell ref="M94:M99"/>
    <mergeCell ref="H100:H101"/>
    <mergeCell ref="I100:I101"/>
    <mergeCell ref="J100:J101"/>
    <mergeCell ref="K100:K101"/>
    <mergeCell ref="L100:L101"/>
    <mergeCell ref="H94:H95"/>
    <mergeCell ref="I94:I95"/>
    <mergeCell ref="J94:J95"/>
    <mergeCell ref="K94:K95"/>
    <mergeCell ref="L94:L95"/>
    <mergeCell ref="H124:H125"/>
    <mergeCell ref="I124:I125"/>
    <mergeCell ref="J124:J125"/>
    <mergeCell ref="K124:K125"/>
    <mergeCell ref="L124:L125"/>
    <mergeCell ref="H106:H107"/>
    <mergeCell ref="I106:I107"/>
    <mergeCell ref="J106:J107"/>
    <mergeCell ref="K106:K107"/>
    <mergeCell ref="L118:L119"/>
    <mergeCell ref="L106:L107"/>
    <mergeCell ref="H130:H131"/>
    <mergeCell ref="I130:I131"/>
    <mergeCell ref="J130:J131"/>
    <mergeCell ref="K130:K131"/>
    <mergeCell ref="L130:L131"/>
    <mergeCell ref="H118:H119"/>
    <mergeCell ref="I118:I119"/>
    <mergeCell ref="J118:J119"/>
    <mergeCell ref="K118:K119"/>
  </mergeCells>
  <pageMargins left="0.70866141732283472" right="0.70866141732283472" top="0.74803149606299213" bottom="0.74803149606299213" header="0.31496062992125984" footer="0.31496062992125984"/>
  <pageSetup scale="70" orientation="landscape" r:id="rId1"/>
  <ignoredErrors>
    <ignoredError sqref="R2:R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42"/>
  <sheetViews>
    <sheetView tabSelected="1" zoomScaleNormal="100" workbookViewId="0">
      <pane xSplit="7" ySplit="5" topLeftCell="H30" activePane="bottomRight" state="frozen"/>
      <selection pane="topRight" activeCell="H1" sqref="H1"/>
      <selection pane="bottomLeft" activeCell="A6" sqref="A6"/>
      <selection pane="bottomRight" activeCell="I36" sqref="I36"/>
    </sheetView>
  </sheetViews>
  <sheetFormatPr defaultRowHeight="12.75" x14ac:dyDescent="0.2"/>
  <cols>
    <col min="1" max="1" width="3.85546875" style="66" customWidth="1"/>
    <col min="2" max="2" width="12.5703125" style="66" customWidth="1"/>
    <col min="3" max="3" width="15.7109375" style="66" customWidth="1"/>
    <col min="4" max="5" width="14.7109375" style="66" customWidth="1"/>
    <col min="6" max="6" width="13.42578125" style="66" customWidth="1"/>
    <col min="7" max="7" width="20.5703125" style="66" customWidth="1"/>
    <col min="8" max="8" width="12.28515625" style="66" customWidth="1"/>
    <col min="9" max="9" width="18" style="66" customWidth="1"/>
    <col min="10" max="10" width="9.140625" style="66"/>
    <col min="11" max="11" width="13.28515625" style="66" bestFit="1" customWidth="1"/>
    <col min="12" max="12" width="15.28515625" style="66" customWidth="1"/>
    <col min="13" max="16384" width="9.140625" style="66"/>
  </cols>
  <sheetData>
    <row r="1" spans="2:15" s="58" customFormat="1" ht="19.5" customHeight="1" x14ac:dyDescent="0.2">
      <c r="B1" s="57"/>
    </row>
    <row r="2" spans="2:15" s="59" customFormat="1" ht="33.75" customHeight="1" thickBot="1" x14ac:dyDescent="0.25">
      <c r="B2" s="383" t="s">
        <v>16</v>
      </c>
      <c r="C2" s="383"/>
      <c r="D2" s="383"/>
      <c r="E2" s="383"/>
      <c r="F2" s="383"/>
      <c r="G2" s="383"/>
      <c r="H2" s="383"/>
      <c r="I2" s="383"/>
    </row>
    <row r="3" spans="2:15" ht="63.75" x14ac:dyDescent="0.2">
      <c r="B3" s="384" t="s">
        <v>49</v>
      </c>
      <c r="C3" s="60" t="s">
        <v>46</v>
      </c>
      <c r="D3" s="61" t="s">
        <v>51</v>
      </c>
      <c r="E3" s="62" t="s">
        <v>47</v>
      </c>
      <c r="F3" s="63" t="s">
        <v>42</v>
      </c>
      <c r="G3" s="64" t="s">
        <v>43</v>
      </c>
      <c r="H3" s="63" t="s">
        <v>44</v>
      </c>
      <c r="I3" s="65" t="s">
        <v>45</v>
      </c>
    </row>
    <row r="4" spans="2:15" x14ac:dyDescent="0.2">
      <c r="B4" s="385"/>
      <c r="C4" s="67" t="s">
        <v>55</v>
      </c>
      <c r="D4" s="68" t="s">
        <v>55</v>
      </c>
      <c r="E4" s="69" t="s">
        <v>55</v>
      </c>
      <c r="F4" s="70" t="s">
        <v>41</v>
      </c>
      <c r="G4" s="71" t="s">
        <v>40</v>
      </c>
      <c r="H4" s="70" t="s">
        <v>40</v>
      </c>
      <c r="I4" s="72" t="s">
        <v>40</v>
      </c>
      <c r="N4" s="53"/>
    </row>
    <row r="5" spans="2:15" ht="30" customHeight="1" thickBot="1" x14ac:dyDescent="0.25">
      <c r="B5" s="386"/>
      <c r="C5" s="74" t="s">
        <v>32</v>
      </c>
      <c r="D5" s="75" t="s">
        <v>31</v>
      </c>
      <c r="E5" s="76" t="s">
        <v>33</v>
      </c>
      <c r="F5" s="73" t="s">
        <v>17</v>
      </c>
      <c r="G5" s="77" t="s">
        <v>34</v>
      </c>
      <c r="H5" s="73" t="s">
        <v>18</v>
      </c>
      <c r="I5" s="78" t="s">
        <v>19</v>
      </c>
      <c r="O5" s="53"/>
    </row>
    <row r="6" spans="2:15" x14ac:dyDescent="0.2">
      <c r="B6" s="79">
        <v>43922</v>
      </c>
      <c r="C6" s="241">
        <f>SUM(Calculation!I4:I9)/1000</f>
        <v>3546.6880000000001</v>
      </c>
      <c r="D6" s="235">
        <f>SUM(Calculation!K4:K9)/1000</f>
        <v>4.1390000000000002</v>
      </c>
      <c r="E6" s="235">
        <f>SUM(Calculation!L4:L9)/1000</f>
        <v>3542.549</v>
      </c>
      <c r="F6" s="125">
        <f>'Emission Factor'!D19</f>
        <v>0.92249999999999999</v>
      </c>
      <c r="G6" s="80">
        <f>ROUNDDOWN(E6*F6,0)</f>
        <v>3268</v>
      </c>
      <c r="H6" s="63">
        <v>0</v>
      </c>
      <c r="I6" s="126">
        <f t="shared" ref="I6:I28" si="0">G6-H6</f>
        <v>3268</v>
      </c>
    </row>
    <row r="7" spans="2:15" x14ac:dyDescent="0.2">
      <c r="B7" s="244">
        <f>B6+31</f>
        <v>43953</v>
      </c>
      <c r="C7" s="242">
        <f>SUM(Calculation!I10:I15)/1000</f>
        <v>4803.9430000000002</v>
      </c>
      <c r="D7" s="236">
        <f>SUM(Calculation!K10:K15)/1000</f>
        <v>1.976</v>
      </c>
      <c r="E7" s="236">
        <f>SUM(Calculation!L10:L15)/1000</f>
        <v>4801.9669999999996</v>
      </c>
      <c r="F7" s="123">
        <f>'Emission Factor'!D19</f>
        <v>0.92249999999999999</v>
      </c>
      <c r="G7" s="81">
        <f>ROUNDDOWN(E7*F7,0)</f>
        <v>4429</v>
      </c>
      <c r="H7" s="70">
        <v>0</v>
      </c>
      <c r="I7" s="127">
        <f t="shared" si="0"/>
        <v>4429</v>
      </c>
      <c r="N7" s="53"/>
    </row>
    <row r="8" spans="2:15" x14ac:dyDescent="0.2">
      <c r="B8" s="244">
        <f t="shared" ref="B8:B28" si="1">B7+31</f>
        <v>43984</v>
      </c>
      <c r="C8" s="242">
        <f>SUM(Calculation!I16:I21)/1000</f>
        <v>5439.665</v>
      </c>
      <c r="D8" s="236">
        <f>SUM(Calculation!K16:K21)/1000</f>
        <v>1.6850000000000001</v>
      </c>
      <c r="E8" s="236">
        <f>SUM(Calculation!L16:L21)/1000</f>
        <v>5437.98</v>
      </c>
      <c r="F8" s="123">
        <f>'Emission Factor'!D19</f>
        <v>0.92249999999999999</v>
      </c>
      <c r="G8" s="81">
        <f t="shared" ref="G8:G27" si="2">ROUNDDOWN(E8*F8,0)</f>
        <v>5016</v>
      </c>
      <c r="H8" s="70">
        <v>0</v>
      </c>
      <c r="I8" s="127">
        <f t="shared" si="0"/>
        <v>5016</v>
      </c>
    </row>
    <row r="9" spans="2:15" x14ac:dyDescent="0.2">
      <c r="B9" s="244">
        <f t="shared" si="1"/>
        <v>44015</v>
      </c>
      <c r="C9" s="242">
        <f>SUM(Calculation!I22:I27)/1000</f>
        <v>4437.3530000000001</v>
      </c>
      <c r="D9" s="236">
        <f>SUM(Calculation!K22:K27)/1000</f>
        <v>1.7110000000000001</v>
      </c>
      <c r="E9" s="236">
        <f>SUM(Calculation!L22:L27)/1000</f>
        <v>4435.6419999999998</v>
      </c>
      <c r="F9" s="123">
        <f>'Emission Factor'!D19</f>
        <v>0.92249999999999999</v>
      </c>
      <c r="G9" s="81">
        <f t="shared" si="2"/>
        <v>4091</v>
      </c>
      <c r="H9" s="70">
        <v>0</v>
      </c>
      <c r="I9" s="127">
        <f t="shared" si="0"/>
        <v>4091</v>
      </c>
    </row>
    <row r="10" spans="2:15" x14ac:dyDescent="0.2">
      <c r="B10" s="244">
        <f t="shared" si="1"/>
        <v>44046</v>
      </c>
      <c r="C10" s="242">
        <f>SUM(Calculation!I28:I33)/1000</f>
        <v>3281.9247939999996</v>
      </c>
      <c r="D10" s="236">
        <f>SUM(Calculation!K28:K33)/1000</f>
        <v>3.6764080000000003</v>
      </c>
      <c r="E10" s="236">
        <f>SUM(Calculation!L28:L33)/1000</f>
        <v>3278.2483859999998</v>
      </c>
      <c r="F10" s="123">
        <f>'Emission Factor'!D19</f>
        <v>0.92249999999999999</v>
      </c>
      <c r="G10" s="81">
        <f>ROUNDDOWN(E10*F10,0)</f>
        <v>3024</v>
      </c>
      <c r="H10" s="70">
        <v>0</v>
      </c>
      <c r="I10" s="127">
        <f t="shared" si="0"/>
        <v>3024</v>
      </c>
    </row>
    <row r="11" spans="2:15" x14ac:dyDescent="0.2">
      <c r="B11" s="244">
        <f t="shared" si="1"/>
        <v>44077</v>
      </c>
      <c r="C11" s="242">
        <f>SUM(Calculation!I34:I39)/1000</f>
        <v>1781.1099939999999</v>
      </c>
      <c r="D11" s="236">
        <f>SUM(Calculation!K34:K39)/1000</f>
        <v>6.9606519999999996</v>
      </c>
      <c r="E11" s="236">
        <f>SUM(Calculation!L34:L39)/1000</f>
        <v>1774.1493420000002</v>
      </c>
      <c r="F11" s="123">
        <f>'Emission Factor'!D19</f>
        <v>0.92249999999999999</v>
      </c>
      <c r="G11" s="81">
        <f t="shared" si="2"/>
        <v>1636</v>
      </c>
      <c r="H11" s="70">
        <v>0</v>
      </c>
      <c r="I11" s="127">
        <f t="shared" si="0"/>
        <v>1636</v>
      </c>
    </row>
    <row r="12" spans="2:15" x14ac:dyDescent="0.2">
      <c r="B12" s="244">
        <f t="shared" si="1"/>
        <v>44108</v>
      </c>
      <c r="C12" s="242">
        <f>SUM(Calculation!I40:I45)/1000</f>
        <v>1881.9143700000002</v>
      </c>
      <c r="D12" s="236">
        <f>SUM(Calculation!K40:K45)/1000</f>
        <v>9.5899399999999986</v>
      </c>
      <c r="E12" s="236">
        <f>SUM(Calculation!L40:L45)/1000</f>
        <v>1872.3244299999999</v>
      </c>
      <c r="F12" s="123">
        <f>'Emission Factor'!D19</f>
        <v>0.92249999999999999</v>
      </c>
      <c r="G12" s="81">
        <f>ROUNDDOWN(E12*F12,0)</f>
        <v>1727</v>
      </c>
      <c r="H12" s="70">
        <v>0</v>
      </c>
      <c r="I12" s="127">
        <f t="shared" si="0"/>
        <v>1727</v>
      </c>
    </row>
    <row r="13" spans="2:15" x14ac:dyDescent="0.2">
      <c r="B13" s="244">
        <f t="shared" si="1"/>
        <v>44139</v>
      </c>
      <c r="C13" s="242">
        <f>SUM(Calculation!I46:I51)/1000</f>
        <v>1996.855352</v>
      </c>
      <c r="D13" s="236">
        <f>SUM(Calculation!K46:K51)/1000</f>
        <v>8.7273439999999987</v>
      </c>
      <c r="E13" s="236">
        <f>SUM(Calculation!L46:L51)/1000</f>
        <v>1988.1280079999999</v>
      </c>
      <c r="F13" s="123">
        <f>'Emission Factor'!D19</f>
        <v>0.92249999999999999</v>
      </c>
      <c r="G13" s="81">
        <f t="shared" si="2"/>
        <v>1834</v>
      </c>
      <c r="H13" s="70">
        <v>0</v>
      </c>
      <c r="I13" s="127">
        <f t="shared" si="0"/>
        <v>1834</v>
      </c>
    </row>
    <row r="14" spans="2:15" x14ac:dyDescent="0.2">
      <c r="B14" s="244">
        <f t="shared" si="1"/>
        <v>44170</v>
      </c>
      <c r="C14" s="242">
        <f>SUM(Calculation!I52:I57)/1000</f>
        <v>3000.6615319999996</v>
      </c>
      <c r="D14" s="236">
        <f>SUM(Calculation!K52:K57)/1000</f>
        <v>3.3362600000000002</v>
      </c>
      <c r="E14" s="236">
        <f>SUM(Calculation!L52:L57)/1000</f>
        <v>2997.325272</v>
      </c>
      <c r="F14" s="123">
        <f>'Emission Factor'!D19</f>
        <v>0.92249999999999999</v>
      </c>
      <c r="G14" s="81">
        <f t="shared" si="2"/>
        <v>2765</v>
      </c>
      <c r="H14" s="70">
        <v>0</v>
      </c>
      <c r="I14" s="127">
        <f t="shared" si="0"/>
        <v>2765</v>
      </c>
      <c r="J14" s="96"/>
    </row>
    <row r="15" spans="2:15" x14ac:dyDescent="0.2">
      <c r="B15" s="244">
        <f t="shared" si="1"/>
        <v>44201</v>
      </c>
      <c r="C15" s="242">
        <f>SUM(Calculation!I58:I63)/1000</f>
        <v>2782.2663160000002</v>
      </c>
      <c r="D15" s="236">
        <f>SUM(Calculation!K58:K63)/1000</f>
        <v>4.5921659999999997</v>
      </c>
      <c r="E15" s="236">
        <f>SUM(Calculation!L58:L63)/1000</f>
        <v>2777.6741500000003</v>
      </c>
      <c r="F15" s="123">
        <f>'Emission Factor'!D19</f>
        <v>0.92249999999999999</v>
      </c>
      <c r="G15" s="81">
        <f>ROUNDDOWN(E15*F15,0)</f>
        <v>2562</v>
      </c>
      <c r="H15" s="70">
        <v>0</v>
      </c>
      <c r="I15" s="127">
        <f t="shared" si="0"/>
        <v>2562</v>
      </c>
    </row>
    <row r="16" spans="2:15" x14ac:dyDescent="0.2">
      <c r="B16" s="244">
        <f t="shared" si="1"/>
        <v>44232</v>
      </c>
      <c r="C16" s="242">
        <f>SUM(Calculation!I64:I69)/1000</f>
        <v>1664.3486320000002</v>
      </c>
      <c r="D16" s="236">
        <f>SUM(Calculation!K64:K69)/1000</f>
        <v>5.6502780000000001</v>
      </c>
      <c r="E16" s="236">
        <f>SUM(Calculation!L64:L69)/1000</f>
        <v>1658.6983540000003</v>
      </c>
      <c r="F16" s="123">
        <f>'Emission Factor'!D19</f>
        <v>0.92249999999999999</v>
      </c>
      <c r="G16" s="81">
        <f t="shared" si="2"/>
        <v>1530</v>
      </c>
      <c r="H16" s="70">
        <v>0</v>
      </c>
      <c r="I16" s="127">
        <f t="shared" si="0"/>
        <v>1530</v>
      </c>
    </row>
    <row r="17" spans="2:14" x14ac:dyDescent="0.2">
      <c r="B17" s="244">
        <f t="shared" si="1"/>
        <v>44263</v>
      </c>
      <c r="C17" s="242">
        <f>SUM(Calculation!I70:I75)/1000</f>
        <v>3306.6139759999996</v>
      </c>
      <c r="D17" s="236">
        <f>SUM(Calculation!K70:K75)/1000</f>
        <v>4.1604239999999999</v>
      </c>
      <c r="E17" s="236">
        <f>SUM(Calculation!L70:L75)/1000</f>
        <v>3302.4535519999999</v>
      </c>
      <c r="F17" s="123">
        <f>'Emission Factor'!D19</f>
        <v>0.92249999999999999</v>
      </c>
      <c r="G17" s="81">
        <f t="shared" si="2"/>
        <v>3046</v>
      </c>
      <c r="H17" s="70">
        <v>0</v>
      </c>
      <c r="I17" s="127">
        <f t="shared" si="0"/>
        <v>3046</v>
      </c>
    </row>
    <row r="18" spans="2:14" x14ac:dyDescent="0.2">
      <c r="B18" s="244">
        <f t="shared" si="1"/>
        <v>44294</v>
      </c>
      <c r="C18" s="242">
        <f>SUM(Calculation!I76:I81)/1000</f>
        <v>3398.2170000000001</v>
      </c>
      <c r="D18" s="236">
        <f>SUM(Calculation!K76:K81)/1000</f>
        <v>2.9420000000000002</v>
      </c>
      <c r="E18" s="236">
        <f>SUM(Calculation!L76:L81)/1000</f>
        <v>3395.2750000000001</v>
      </c>
      <c r="F18" s="123">
        <f>'Emission Factor'!D19</f>
        <v>0.92249999999999999</v>
      </c>
      <c r="G18" s="81">
        <f>ROUNDDOWN(E18*F18,0)</f>
        <v>3132</v>
      </c>
      <c r="H18" s="70">
        <v>0</v>
      </c>
      <c r="I18" s="127">
        <f t="shared" si="0"/>
        <v>3132</v>
      </c>
    </row>
    <row r="19" spans="2:14" x14ac:dyDescent="0.2">
      <c r="B19" s="244">
        <f t="shared" si="1"/>
        <v>44325</v>
      </c>
      <c r="C19" s="242">
        <f>SUM(Calculation!I82:I87)/1000</f>
        <v>5047.4219999999996</v>
      </c>
      <c r="D19" s="236">
        <f>SUM(Calculation!K82:K87)/1000</f>
        <v>1.7470000000000001</v>
      </c>
      <c r="E19" s="236">
        <f>SUM(Calculation!L82:L87)/1000</f>
        <v>5045.6750000000002</v>
      </c>
      <c r="F19" s="123">
        <f>'Emission Factor'!D19</f>
        <v>0.92249999999999999</v>
      </c>
      <c r="G19" s="81">
        <f t="shared" si="2"/>
        <v>4654</v>
      </c>
      <c r="H19" s="70">
        <v>0</v>
      </c>
      <c r="I19" s="127">
        <f t="shared" si="0"/>
        <v>4654</v>
      </c>
    </row>
    <row r="20" spans="2:14" x14ac:dyDescent="0.2">
      <c r="B20" s="244">
        <f t="shared" si="1"/>
        <v>44356</v>
      </c>
      <c r="C20" s="242">
        <f>SUM(Calculation!I88:I93)/1000</f>
        <v>6280.1509999999998</v>
      </c>
      <c r="D20" s="236">
        <f>SUM(Calculation!K88:K93)/1000</f>
        <v>2.0830000000000002</v>
      </c>
      <c r="E20" s="236">
        <f>SUM(Calculation!L88:L93)/1000</f>
        <v>6278.0680000000002</v>
      </c>
      <c r="F20" s="123">
        <f>'Emission Factor'!D19</f>
        <v>0.92249999999999999</v>
      </c>
      <c r="G20" s="81">
        <f t="shared" si="2"/>
        <v>5791</v>
      </c>
      <c r="H20" s="70">
        <v>0</v>
      </c>
      <c r="I20" s="127">
        <f t="shared" si="0"/>
        <v>5791</v>
      </c>
    </row>
    <row r="21" spans="2:14" x14ac:dyDescent="0.2">
      <c r="B21" s="244">
        <f t="shared" si="1"/>
        <v>44387</v>
      </c>
      <c r="C21" s="242">
        <f>SUM(Calculation!I94:I99)/1000</f>
        <v>6366.3689999999997</v>
      </c>
      <c r="D21" s="236">
        <f>SUM(Calculation!K94:K99)/1000</f>
        <v>1.425</v>
      </c>
      <c r="E21" s="236">
        <f>SUM(Calculation!L94:L99)/1000</f>
        <v>6364.9440000000004</v>
      </c>
      <c r="F21" s="123">
        <f>'Emission Factor'!D19</f>
        <v>0.92249999999999999</v>
      </c>
      <c r="G21" s="81">
        <f t="shared" si="2"/>
        <v>5871</v>
      </c>
      <c r="H21" s="83">
        <v>0</v>
      </c>
      <c r="I21" s="128">
        <f t="shared" si="0"/>
        <v>5871</v>
      </c>
    </row>
    <row r="22" spans="2:14" x14ac:dyDescent="0.2">
      <c r="B22" s="244">
        <f t="shared" si="1"/>
        <v>44418</v>
      </c>
      <c r="C22" s="242">
        <f>SUM(Calculation!I100:I105)/1000</f>
        <v>5990.3329999999996</v>
      </c>
      <c r="D22" s="236">
        <f>SUM(Calculation!K100:K105)/1000</f>
        <v>0.498</v>
      </c>
      <c r="E22" s="236">
        <f>SUM(Calculation!L100:L105)/1000</f>
        <v>5989.835</v>
      </c>
      <c r="F22" s="123">
        <f>'Emission Factor'!D19</f>
        <v>0.92249999999999999</v>
      </c>
      <c r="G22" s="81">
        <f t="shared" si="2"/>
        <v>5525</v>
      </c>
      <c r="H22" s="83">
        <v>0</v>
      </c>
      <c r="I22" s="128">
        <f t="shared" si="0"/>
        <v>5525</v>
      </c>
    </row>
    <row r="23" spans="2:14" x14ac:dyDescent="0.2">
      <c r="B23" s="244">
        <f t="shared" si="1"/>
        <v>44449</v>
      </c>
      <c r="C23" s="242">
        <f>SUM(Calculation!I106:I111)/1000</f>
        <v>1852.6479999999999</v>
      </c>
      <c r="D23" s="236">
        <f>SUM(Calculation!K106:K111)/1000</f>
        <v>7.5659999999999998</v>
      </c>
      <c r="E23" s="236">
        <f>SUM(Calculation!L106:L111)/1000</f>
        <v>1845.0820000000001</v>
      </c>
      <c r="F23" s="123">
        <f>'Emission Factor'!D19</f>
        <v>0.92249999999999999</v>
      </c>
      <c r="G23" s="82">
        <f t="shared" si="2"/>
        <v>1702</v>
      </c>
      <c r="H23" s="83">
        <v>0</v>
      </c>
      <c r="I23" s="128">
        <f t="shared" si="0"/>
        <v>1702</v>
      </c>
    </row>
    <row r="24" spans="2:14" x14ac:dyDescent="0.2">
      <c r="B24" s="244">
        <f t="shared" si="1"/>
        <v>44480</v>
      </c>
      <c r="C24" s="242">
        <f>SUM(Calculation!I112:I117)/1000</f>
        <v>2454.223</v>
      </c>
      <c r="D24" s="236">
        <f>SUM(Calculation!K112:K117)/1000</f>
        <v>6.5510000000000002</v>
      </c>
      <c r="E24" s="236">
        <f>SUM(Calculation!L112:L117)/1000</f>
        <v>2447.672</v>
      </c>
      <c r="F24" s="123">
        <f>'Emission Factor'!D19</f>
        <v>0.92249999999999999</v>
      </c>
      <c r="G24" s="81">
        <f t="shared" si="2"/>
        <v>2257</v>
      </c>
      <c r="H24" s="70">
        <v>0</v>
      </c>
      <c r="I24" s="127">
        <f t="shared" si="0"/>
        <v>2257</v>
      </c>
    </row>
    <row r="25" spans="2:14" x14ac:dyDescent="0.2">
      <c r="B25" s="244">
        <f t="shared" si="1"/>
        <v>44511</v>
      </c>
      <c r="C25" s="242">
        <f>SUM(Calculation!I118:I123)/1000</f>
        <v>1990.057</v>
      </c>
      <c r="D25" s="236">
        <f>SUM(Calculation!K118:K123)/1000</f>
        <v>7.7119999999999997</v>
      </c>
      <c r="E25" s="236">
        <f>SUM(Calculation!L118:L123)/1000</f>
        <v>1982.345</v>
      </c>
      <c r="F25" s="123">
        <f>'Emission Factor'!D19</f>
        <v>0.92249999999999999</v>
      </c>
      <c r="G25" s="81">
        <f t="shared" si="2"/>
        <v>1828</v>
      </c>
      <c r="H25" s="70">
        <v>0</v>
      </c>
      <c r="I25" s="127">
        <f t="shared" si="0"/>
        <v>1828</v>
      </c>
    </row>
    <row r="26" spans="2:14" x14ac:dyDescent="0.2">
      <c r="B26" s="244">
        <f t="shared" si="1"/>
        <v>44542</v>
      </c>
      <c r="C26" s="242">
        <f>SUM(Calculation!I124:I129)/1000</f>
        <v>2422.3029999999999</v>
      </c>
      <c r="D26" s="236">
        <f>SUM(Calculation!K124:K129)/1000</f>
        <v>3.8719999999999999</v>
      </c>
      <c r="E26" s="236">
        <f>SUM(Calculation!L124:L129)/1000</f>
        <v>2418.431</v>
      </c>
      <c r="F26" s="123">
        <f>'Emission Factor'!D19</f>
        <v>0.92249999999999999</v>
      </c>
      <c r="G26" s="81">
        <f t="shared" si="2"/>
        <v>2231</v>
      </c>
      <c r="H26" s="70">
        <v>0</v>
      </c>
      <c r="I26" s="127">
        <f t="shared" si="0"/>
        <v>2231</v>
      </c>
      <c r="J26" s="96"/>
    </row>
    <row r="27" spans="2:14" x14ac:dyDescent="0.2">
      <c r="B27" s="244">
        <f t="shared" si="1"/>
        <v>44573</v>
      </c>
      <c r="C27" s="242">
        <f>SUM(Calculation!I130:I135)/1000</f>
        <v>1956.5329999999999</v>
      </c>
      <c r="D27" s="236">
        <f>SUM(Calculation!K130:K135)/1000</f>
        <v>7.5179999999999998</v>
      </c>
      <c r="E27" s="236">
        <f>SUM(Calculation!L130:L135)/1000</f>
        <v>1949.0150000000001</v>
      </c>
      <c r="F27" s="123">
        <f>'Emission Factor'!D19</f>
        <v>0.92249999999999999</v>
      </c>
      <c r="G27" s="81">
        <f t="shared" si="2"/>
        <v>1797</v>
      </c>
      <c r="H27" s="70">
        <v>0</v>
      </c>
      <c r="I27" s="127">
        <f t="shared" si="0"/>
        <v>1797</v>
      </c>
    </row>
    <row r="28" spans="2:14" ht="13.5" thickBot="1" x14ac:dyDescent="0.25">
      <c r="B28" s="245">
        <f t="shared" si="1"/>
        <v>44604</v>
      </c>
      <c r="C28" s="242">
        <f>SUM(Calculation!I136:I141)/1000</f>
        <v>2531.8806523900712</v>
      </c>
      <c r="D28" s="237">
        <f>SUM(Calculation!K136:K141)/1000</f>
        <v>3.2459754558675251</v>
      </c>
      <c r="E28" s="237">
        <f>SUM(Calculation!L136:L141)/1000</f>
        <v>2528.634676934204</v>
      </c>
      <c r="F28" s="123">
        <f>'Emission Factor'!D19</f>
        <v>0.92249999999999999</v>
      </c>
      <c r="G28" s="121">
        <f>ROUNDDOWN(E28*F28,0)</f>
        <v>2332</v>
      </c>
      <c r="H28" s="122">
        <v>0</v>
      </c>
      <c r="I28" s="233">
        <f t="shared" si="0"/>
        <v>2332</v>
      </c>
      <c r="J28" s="96"/>
    </row>
    <row r="29" spans="2:14" ht="13.5" thickBot="1" x14ac:dyDescent="0.25">
      <c r="B29" s="243" t="s">
        <v>20</v>
      </c>
      <c r="C29" s="306">
        <f>SUM(C6:C28)</f>
        <v>78213.480618390051</v>
      </c>
      <c r="D29" s="306">
        <f>SUM(D6:D28)</f>
        <v>101.36444745586753</v>
      </c>
      <c r="E29" s="306">
        <f>SUM(E6:E28)</f>
        <v>78112.116170934212</v>
      </c>
      <c r="F29" s="84"/>
      <c r="G29" s="124">
        <f>SUM(G6:G28)</f>
        <v>72048</v>
      </c>
      <c r="H29" s="85">
        <f>SUM(H6:H28)</f>
        <v>0</v>
      </c>
      <c r="I29" s="124">
        <f>SUM(I6:I28)</f>
        <v>72048</v>
      </c>
      <c r="J29" s="246"/>
      <c r="L29" s="86"/>
      <c r="N29" s="87"/>
    </row>
    <row r="30" spans="2:14" x14ac:dyDescent="0.2">
      <c r="L30" s="86"/>
    </row>
    <row r="31" spans="2:14" ht="13.5" thickBot="1" x14ac:dyDescent="0.25">
      <c r="B31" s="88"/>
      <c r="C31" s="88"/>
      <c r="D31" s="89"/>
      <c r="E31" s="90"/>
      <c r="G31" s="91"/>
      <c r="L31" s="86"/>
    </row>
    <row r="32" spans="2:14" ht="13.5" thickBot="1" x14ac:dyDescent="0.25">
      <c r="B32" s="387" t="s">
        <v>52</v>
      </c>
      <c r="C32" s="388"/>
      <c r="D32" s="129">
        <v>48988</v>
      </c>
      <c r="F32" s="106" t="s">
        <v>62</v>
      </c>
      <c r="G32" s="109"/>
      <c r="H32" s="428" t="s">
        <v>358</v>
      </c>
      <c r="I32" s="429" t="s">
        <v>359</v>
      </c>
      <c r="L32" s="86"/>
    </row>
    <row r="33" spans="2:12" x14ac:dyDescent="0.2">
      <c r="B33" s="389" t="s">
        <v>53</v>
      </c>
      <c r="C33" s="390"/>
      <c r="D33" s="92">
        <v>365</v>
      </c>
      <c r="F33" s="107">
        <v>43922</v>
      </c>
      <c r="G33" s="110"/>
      <c r="H33" s="430">
        <v>2020</v>
      </c>
      <c r="I33" s="431">
        <f>SUM(I6:I14)</f>
        <v>27790</v>
      </c>
      <c r="L33" s="86"/>
    </row>
    <row r="34" spans="2:12" ht="13.5" thickBot="1" x14ac:dyDescent="0.25">
      <c r="B34" s="389" t="s">
        <v>54</v>
      </c>
      <c r="C34" s="390"/>
      <c r="D34" s="93">
        <f>D32/D33</f>
        <v>134.21369863013697</v>
      </c>
      <c r="F34" s="108">
        <v>44619</v>
      </c>
      <c r="G34" s="110"/>
      <c r="H34" s="432">
        <v>2021</v>
      </c>
      <c r="I34" s="97">
        <f>SUM(I15:I26)</f>
        <v>40129</v>
      </c>
      <c r="L34" s="86"/>
    </row>
    <row r="35" spans="2:12" ht="13.5" thickBot="1" x14ac:dyDescent="0.25">
      <c r="B35" s="389" t="s">
        <v>60</v>
      </c>
      <c r="C35" s="390"/>
      <c r="D35" s="92">
        <f>F35</f>
        <v>698</v>
      </c>
      <c r="F35" s="106">
        <f>F34-F33+1</f>
        <v>698</v>
      </c>
      <c r="G35" s="111"/>
      <c r="H35" s="433">
        <v>2022</v>
      </c>
      <c r="I35" s="434">
        <f>SUM(I27:I28)</f>
        <v>4129</v>
      </c>
    </row>
    <row r="36" spans="2:12" ht="13.5" customHeight="1" thickBot="1" x14ac:dyDescent="0.25">
      <c r="B36" s="375" t="s">
        <v>59</v>
      </c>
      <c r="C36" s="376"/>
      <c r="D36" s="94">
        <f>ROUNDDOWN(D34*D35,0)</f>
        <v>93681</v>
      </c>
      <c r="H36" s="426" t="s">
        <v>217</v>
      </c>
      <c r="I36" s="427">
        <f>SUM(I33:I35)</f>
        <v>72048</v>
      </c>
    </row>
    <row r="37" spans="2:12" ht="15" customHeight="1" x14ac:dyDescent="0.2">
      <c r="B37" s="375" t="s">
        <v>58</v>
      </c>
      <c r="C37" s="376"/>
      <c r="D37" s="95">
        <f>I29</f>
        <v>72048</v>
      </c>
      <c r="E37" s="96"/>
    </row>
    <row r="38" spans="2:12" x14ac:dyDescent="0.2">
      <c r="B38" s="377" t="s">
        <v>56</v>
      </c>
      <c r="C38" s="378"/>
      <c r="D38" s="97">
        <f>D37-D36</f>
        <v>-21633</v>
      </c>
      <c r="E38" s="96"/>
      <c r="G38" s="91"/>
    </row>
    <row r="39" spans="2:12" x14ac:dyDescent="0.2">
      <c r="B39" s="379" t="s">
        <v>57</v>
      </c>
      <c r="C39" s="380"/>
      <c r="D39" s="98">
        <f>D38/D36</f>
        <v>-0.23092195856150127</v>
      </c>
      <c r="G39" s="91"/>
    </row>
    <row r="40" spans="2:12" ht="15" hidden="1" x14ac:dyDescent="0.2">
      <c r="B40" s="381"/>
      <c r="C40" s="382"/>
      <c r="D40" s="99"/>
      <c r="G40" s="100"/>
    </row>
    <row r="41" spans="2:12" ht="15" hidden="1" x14ac:dyDescent="0.25">
      <c r="B41" s="371"/>
      <c r="C41" s="372"/>
      <c r="D41" s="101"/>
      <c r="G41" s="102"/>
      <c r="H41" s="103"/>
      <c r="I41" s="104"/>
    </row>
    <row r="42" spans="2:12" ht="13.5" thickBot="1" x14ac:dyDescent="0.25">
      <c r="B42" s="373"/>
      <c r="C42" s="374"/>
      <c r="D42" s="105"/>
    </row>
  </sheetData>
  <mergeCells count="13">
    <mergeCell ref="B35:C35"/>
    <mergeCell ref="B2:I2"/>
    <mergeCell ref="B3:B5"/>
    <mergeCell ref="B32:C32"/>
    <mergeCell ref="B33:C33"/>
    <mergeCell ref="B34:C34"/>
    <mergeCell ref="B41:C41"/>
    <mergeCell ref="B42:C42"/>
    <mergeCell ref="B36:C36"/>
    <mergeCell ref="B37:C37"/>
    <mergeCell ref="B38:C38"/>
    <mergeCell ref="B39:C39"/>
    <mergeCell ref="B40:C40"/>
  </mergeCells>
  <pageMargins left="0.7" right="0.7" top="0.75" bottom="0.75" header="0.3" footer="0.3"/>
  <pageSetup scale="73" orientation="portrait" r:id="rId1"/>
  <ignoredErrors>
    <ignoredError sqref="C6:C19 D6:D1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workbookViewId="0">
      <selection activeCell="G16" sqref="G16"/>
    </sheetView>
  </sheetViews>
  <sheetFormatPr defaultRowHeight="12.75" x14ac:dyDescent="0.2"/>
  <cols>
    <col min="1" max="1" width="19.85546875" customWidth="1"/>
    <col min="2" max="2" width="10.7109375" customWidth="1"/>
    <col min="3" max="3" width="11.85546875" customWidth="1"/>
    <col min="4" max="4" width="14.7109375" customWidth="1"/>
    <col min="5" max="5" width="10.7109375" customWidth="1"/>
    <col min="6" max="6" width="11.7109375" customWidth="1"/>
    <col min="7" max="7" width="9.5703125" customWidth="1"/>
    <col min="8" max="8" width="11.7109375" customWidth="1"/>
    <col min="9" max="9" width="11.85546875" customWidth="1"/>
    <col min="10" max="10" width="25.85546875" customWidth="1"/>
    <col min="11" max="11" width="20.5703125" customWidth="1"/>
    <col min="12" max="12" width="22" customWidth="1"/>
  </cols>
  <sheetData>
    <row r="1" spans="1:12" ht="15" customHeight="1" x14ac:dyDescent="0.25">
      <c r="A1" s="214" t="s">
        <v>202</v>
      </c>
      <c r="B1" s="393" t="s">
        <v>203</v>
      </c>
      <c r="C1" s="394"/>
      <c r="D1" s="395"/>
      <c r="E1" s="396" t="s">
        <v>204</v>
      </c>
      <c r="F1" s="397"/>
      <c r="G1" s="397"/>
      <c r="H1" s="397"/>
      <c r="I1" s="398"/>
      <c r="J1" s="393" t="s">
        <v>205</v>
      </c>
      <c r="K1" s="394"/>
      <c r="L1" s="395"/>
    </row>
    <row r="2" spans="1:12" ht="15" customHeight="1" x14ac:dyDescent="0.25">
      <c r="A2" s="391" t="s">
        <v>206</v>
      </c>
      <c r="B2" s="393" t="s">
        <v>207</v>
      </c>
      <c r="C2" s="395"/>
      <c r="D2" s="391" t="s">
        <v>208</v>
      </c>
      <c r="E2" s="393" t="s">
        <v>209</v>
      </c>
      <c r="F2" s="394"/>
      <c r="G2" s="394"/>
      <c r="H2" s="394"/>
      <c r="I2" s="395"/>
      <c r="J2" s="391" t="s">
        <v>210</v>
      </c>
      <c r="K2" s="391" t="s">
        <v>211</v>
      </c>
      <c r="L2" s="391" t="s">
        <v>212</v>
      </c>
    </row>
    <row r="3" spans="1:12" ht="15" customHeight="1" x14ac:dyDescent="0.25">
      <c r="A3" s="399"/>
      <c r="B3" s="391" t="s">
        <v>213</v>
      </c>
      <c r="C3" s="391" t="s">
        <v>214</v>
      </c>
      <c r="D3" s="399"/>
      <c r="E3" s="393" t="s">
        <v>215</v>
      </c>
      <c r="F3" s="395"/>
      <c r="G3" s="393" t="s">
        <v>216</v>
      </c>
      <c r="H3" s="395"/>
      <c r="I3" s="391" t="s">
        <v>217</v>
      </c>
      <c r="J3" s="399"/>
      <c r="K3" s="399"/>
      <c r="L3" s="399"/>
    </row>
    <row r="4" spans="1:12" ht="15" x14ac:dyDescent="0.25">
      <c r="A4" s="392"/>
      <c r="B4" s="392"/>
      <c r="C4" s="392"/>
      <c r="D4" s="392"/>
      <c r="E4" s="214" t="s">
        <v>218</v>
      </c>
      <c r="F4" s="214" t="s">
        <v>219</v>
      </c>
      <c r="G4" s="214" t="s">
        <v>218</v>
      </c>
      <c r="H4" s="214" t="s">
        <v>219</v>
      </c>
      <c r="I4" s="392"/>
      <c r="J4" s="392"/>
      <c r="K4" s="392"/>
      <c r="L4" s="392"/>
    </row>
    <row r="5" spans="1:12" s="215" customFormat="1" ht="15" customHeight="1" x14ac:dyDescent="0.25">
      <c r="A5" s="396" t="s">
        <v>220</v>
      </c>
      <c r="B5" s="397"/>
      <c r="C5" s="398"/>
      <c r="D5" s="396" t="s">
        <v>221</v>
      </c>
      <c r="E5" s="397"/>
      <c r="F5" s="397"/>
      <c r="G5" s="397"/>
      <c r="H5" s="397"/>
      <c r="I5" s="397"/>
      <c r="J5" s="398"/>
      <c r="K5" s="396" t="s">
        <v>222</v>
      </c>
      <c r="L5" s="398"/>
    </row>
    <row r="6" spans="1:12" x14ac:dyDescent="0.2">
      <c r="A6" s="226" t="s">
        <v>223</v>
      </c>
      <c r="B6" s="217">
        <v>53731</v>
      </c>
      <c r="C6" s="218">
        <v>21.75</v>
      </c>
      <c r="D6" s="218">
        <v>4.584027777777778</v>
      </c>
      <c r="E6" s="219">
        <v>8.0555555555555561E-2</v>
      </c>
      <c r="F6" s="219">
        <v>8.1250000000000003E-2</v>
      </c>
      <c r="G6" s="219">
        <v>0</v>
      </c>
      <c r="H6" s="219">
        <v>0.50416666666666665</v>
      </c>
      <c r="I6" s="218">
        <v>5.2749999999999995</v>
      </c>
      <c r="J6" s="216">
        <v>99.4</v>
      </c>
      <c r="K6" s="216">
        <v>10.37</v>
      </c>
      <c r="L6" s="216">
        <v>98.04</v>
      </c>
    </row>
    <row r="7" spans="1:12" x14ac:dyDescent="0.2">
      <c r="A7" s="226" t="s">
        <v>224</v>
      </c>
      <c r="B7" s="217">
        <v>61916</v>
      </c>
      <c r="C7" s="218">
        <v>22.208333333333332</v>
      </c>
      <c r="D7" s="218">
        <v>4.3631944444444448</v>
      </c>
      <c r="E7" s="219">
        <v>0</v>
      </c>
      <c r="F7" s="219">
        <v>0</v>
      </c>
      <c r="G7" s="219">
        <v>1.9444444444444445E-2</v>
      </c>
      <c r="H7" s="219">
        <v>0.35833333333333334</v>
      </c>
      <c r="I7" s="218">
        <v>4.8458333333333332</v>
      </c>
      <c r="J7" s="216">
        <v>100</v>
      </c>
      <c r="K7" s="216">
        <v>11.94</v>
      </c>
      <c r="L7" s="216">
        <v>98.4</v>
      </c>
    </row>
    <row r="8" spans="1:12" x14ac:dyDescent="0.2">
      <c r="A8" s="226" t="s">
        <v>225</v>
      </c>
      <c r="B8" s="217">
        <v>58952</v>
      </c>
      <c r="C8" s="218">
        <v>22.375</v>
      </c>
      <c r="D8" s="218">
        <v>3.7145833333333336</v>
      </c>
      <c r="E8" s="219">
        <v>0</v>
      </c>
      <c r="F8" s="219">
        <v>0.55208333333333337</v>
      </c>
      <c r="G8" s="219">
        <v>0</v>
      </c>
      <c r="H8" s="219">
        <v>0.35833333333333334</v>
      </c>
      <c r="I8" s="218">
        <v>4.6499999999999995</v>
      </c>
      <c r="J8" s="216">
        <v>97.96</v>
      </c>
      <c r="K8" s="216">
        <v>11.37</v>
      </c>
      <c r="L8" s="216">
        <v>98.58</v>
      </c>
    </row>
    <row r="9" spans="1:12" x14ac:dyDescent="0.2">
      <c r="A9" s="226" t="s">
        <v>226</v>
      </c>
      <c r="B9" s="217">
        <v>62818</v>
      </c>
      <c r="C9" s="218">
        <v>22.75</v>
      </c>
      <c r="D9" s="218">
        <v>3.8444444444444446</v>
      </c>
      <c r="E9" s="219">
        <v>0</v>
      </c>
      <c r="F9" s="219">
        <v>4.7222222222222221E-2</v>
      </c>
      <c r="G9" s="219">
        <v>0</v>
      </c>
      <c r="H9" s="219">
        <v>0.35833333333333334</v>
      </c>
      <c r="I9" s="218">
        <v>4.2749999999999995</v>
      </c>
      <c r="J9" s="216">
        <v>99.83</v>
      </c>
      <c r="K9" s="216">
        <v>12.12</v>
      </c>
      <c r="L9" s="216">
        <v>98.58</v>
      </c>
    </row>
    <row r="10" spans="1:12" x14ac:dyDescent="0.2">
      <c r="A10" s="226" t="s">
        <v>227</v>
      </c>
      <c r="B10" s="217">
        <v>54548</v>
      </c>
      <c r="C10" s="218">
        <v>21.416666666666668</v>
      </c>
      <c r="D10" s="218">
        <v>4.2340277777777775</v>
      </c>
      <c r="E10" s="219">
        <v>0.94513888888888886</v>
      </c>
      <c r="F10" s="219">
        <v>3.3333333333333333E-2</v>
      </c>
      <c r="G10" s="219">
        <v>0</v>
      </c>
      <c r="H10" s="219">
        <v>0.35833333333333334</v>
      </c>
      <c r="I10" s="218">
        <v>5.5958333333333341</v>
      </c>
      <c r="J10" s="216">
        <v>96.38</v>
      </c>
      <c r="K10" s="216">
        <v>10.52</v>
      </c>
      <c r="L10" s="216">
        <v>98.58</v>
      </c>
    </row>
    <row r="11" spans="1:12" x14ac:dyDescent="0.2">
      <c r="A11" s="229" t="s">
        <v>228</v>
      </c>
      <c r="B11" s="217">
        <v>65278</v>
      </c>
      <c r="C11" s="218">
        <v>23</v>
      </c>
      <c r="D11" s="218">
        <v>3.6416666666666671</v>
      </c>
      <c r="E11" s="219">
        <v>0</v>
      </c>
      <c r="F11" s="219">
        <v>0</v>
      </c>
      <c r="G11" s="219">
        <v>0</v>
      </c>
      <c r="H11" s="219">
        <v>0.35833333333333334</v>
      </c>
      <c r="I11" s="218">
        <v>4.0249999999999995</v>
      </c>
      <c r="J11" s="216">
        <v>100</v>
      </c>
      <c r="K11" s="216">
        <v>12.59</v>
      </c>
      <c r="L11" s="216">
        <v>98.58</v>
      </c>
    </row>
    <row r="12" spans="1:12" x14ac:dyDescent="0.2">
      <c r="A12" s="229" t="s">
        <v>229</v>
      </c>
      <c r="B12" s="217">
        <v>74295</v>
      </c>
      <c r="C12" s="218">
        <v>23.416666666666668</v>
      </c>
      <c r="D12" s="218">
        <v>3.2250000000000001</v>
      </c>
      <c r="E12" s="219">
        <v>0</v>
      </c>
      <c r="F12" s="219">
        <v>0</v>
      </c>
      <c r="G12" s="219">
        <v>0</v>
      </c>
      <c r="H12" s="219">
        <v>0.35833333333333334</v>
      </c>
      <c r="I12" s="218">
        <v>3.6083333333333329</v>
      </c>
      <c r="J12" s="216">
        <v>100</v>
      </c>
      <c r="K12" s="216">
        <v>14.33</v>
      </c>
      <c r="L12" s="216">
        <v>98.58</v>
      </c>
    </row>
    <row r="13" spans="1:12" x14ac:dyDescent="0.2">
      <c r="A13" s="229" t="s">
        <v>230</v>
      </c>
      <c r="B13" s="217">
        <v>74012</v>
      </c>
      <c r="C13" s="218">
        <v>23.583333333333332</v>
      </c>
      <c r="D13" s="218">
        <v>3.0583333333333336</v>
      </c>
      <c r="E13" s="219">
        <v>0</v>
      </c>
      <c r="F13" s="219">
        <v>0</v>
      </c>
      <c r="G13" s="219">
        <v>0</v>
      </c>
      <c r="H13" s="219">
        <v>0.35833333333333334</v>
      </c>
      <c r="I13" s="218">
        <v>3.4416666666666664</v>
      </c>
      <c r="J13" s="216">
        <v>100</v>
      </c>
      <c r="K13" s="216">
        <v>14.28</v>
      </c>
      <c r="L13" s="216">
        <v>98.58</v>
      </c>
    </row>
    <row r="14" spans="1:12" x14ac:dyDescent="0.2">
      <c r="A14" s="229" t="s">
        <v>231</v>
      </c>
      <c r="B14" s="217">
        <v>68100</v>
      </c>
      <c r="C14" s="218">
        <v>23.458333333333332</v>
      </c>
      <c r="D14" s="218">
        <v>3.1833333333333336</v>
      </c>
      <c r="E14" s="219">
        <v>0</v>
      </c>
      <c r="F14" s="219">
        <v>0</v>
      </c>
      <c r="G14" s="219">
        <v>0</v>
      </c>
      <c r="H14" s="219">
        <v>0.35833333333333334</v>
      </c>
      <c r="I14" s="218">
        <v>3.5666666666666664</v>
      </c>
      <c r="J14" s="216">
        <v>100</v>
      </c>
      <c r="K14" s="216">
        <v>13.14</v>
      </c>
      <c r="L14" s="216">
        <v>98.58</v>
      </c>
    </row>
    <row r="15" spans="1:12" x14ac:dyDescent="0.2">
      <c r="A15" s="230" t="s">
        <v>232</v>
      </c>
      <c r="B15" s="217">
        <v>66517</v>
      </c>
      <c r="C15" s="218">
        <v>22.625</v>
      </c>
      <c r="D15" s="218">
        <v>3.4624999999999999</v>
      </c>
      <c r="E15" s="219">
        <v>0</v>
      </c>
      <c r="F15" s="219">
        <v>0.52916666666666667</v>
      </c>
      <c r="G15" s="219">
        <v>0</v>
      </c>
      <c r="H15" s="219">
        <v>0.35833333333333334</v>
      </c>
      <c r="I15" s="218">
        <v>4.375</v>
      </c>
      <c r="J15" s="216">
        <v>98.04</v>
      </c>
      <c r="K15" s="216">
        <v>12.83</v>
      </c>
      <c r="L15" s="216">
        <v>98.58</v>
      </c>
    </row>
    <row r="16" spans="1:12" x14ac:dyDescent="0.2">
      <c r="A16" s="230" t="s">
        <v>233</v>
      </c>
      <c r="B16" s="217">
        <v>66787</v>
      </c>
      <c r="C16" s="218">
        <v>22.875</v>
      </c>
      <c r="D16" s="218">
        <v>3.7666666666666671</v>
      </c>
      <c r="E16" s="219">
        <v>0</v>
      </c>
      <c r="F16" s="219">
        <v>0</v>
      </c>
      <c r="G16" s="219">
        <v>0</v>
      </c>
      <c r="H16" s="219">
        <v>0.35833333333333334</v>
      </c>
      <c r="I16" s="218">
        <v>4.1499999999999995</v>
      </c>
      <c r="J16" s="216">
        <v>100</v>
      </c>
      <c r="K16" s="216">
        <v>12.88</v>
      </c>
      <c r="L16" s="216">
        <v>98.58</v>
      </c>
    </row>
    <row r="17" spans="1:12" x14ac:dyDescent="0.2">
      <c r="A17" s="230" t="s">
        <v>234</v>
      </c>
      <c r="B17" s="217">
        <v>46561</v>
      </c>
      <c r="C17" s="218">
        <v>20.916666666666668</v>
      </c>
      <c r="D17" s="218">
        <v>3.5451388888888888</v>
      </c>
      <c r="E17" s="218">
        <v>2.0215277777777776</v>
      </c>
      <c r="F17" s="219">
        <v>0.21319444444444444</v>
      </c>
      <c r="G17" s="219">
        <v>0</v>
      </c>
      <c r="H17" s="219">
        <v>0.35833333333333334</v>
      </c>
      <c r="I17" s="218">
        <v>6.1631944444444438</v>
      </c>
      <c r="J17" s="216">
        <v>91.72</v>
      </c>
      <c r="K17" s="216">
        <v>8.98</v>
      </c>
      <c r="L17" s="216">
        <v>98.58</v>
      </c>
    </row>
    <row r="18" spans="1:12" x14ac:dyDescent="0.2">
      <c r="A18" s="230" t="s">
        <v>235</v>
      </c>
      <c r="B18" s="217">
        <v>58249</v>
      </c>
      <c r="C18" s="218">
        <v>22.416666666666668</v>
      </c>
      <c r="D18" s="218">
        <v>3.9277777777777776</v>
      </c>
      <c r="E18" s="219">
        <v>0.2722222222222222</v>
      </c>
      <c r="F18" s="219">
        <v>0</v>
      </c>
      <c r="G18" s="219">
        <v>0</v>
      </c>
      <c r="H18" s="219">
        <v>0.35833333333333334</v>
      </c>
      <c r="I18" s="218">
        <v>4.583333333333333</v>
      </c>
      <c r="J18" s="216">
        <v>98.99</v>
      </c>
      <c r="K18" s="216">
        <v>11.24</v>
      </c>
      <c r="L18" s="216">
        <v>98.58</v>
      </c>
    </row>
    <row r="19" spans="1:12" x14ac:dyDescent="0.2">
      <c r="A19" s="230" t="s">
        <v>236</v>
      </c>
      <c r="B19" s="217">
        <v>55803</v>
      </c>
      <c r="C19" s="218">
        <v>22.125</v>
      </c>
      <c r="D19" s="218">
        <v>3.9333333333333336</v>
      </c>
      <c r="E19" s="219">
        <v>0.58819444444444446</v>
      </c>
      <c r="F19" s="219">
        <v>0</v>
      </c>
      <c r="G19" s="219">
        <v>0</v>
      </c>
      <c r="H19" s="219">
        <v>0.35833333333333334</v>
      </c>
      <c r="I19" s="218">
        <v>4.9048611111111109</v>
      </c>
      <c r="J19" s="216">
        <v>97.82</v>
      </c>
      <c r="K19" s="216">
        <v>10.76</v>
      </c>
      <c r="L19" s="216">
        <v>98.58</v>
      </c>
    </row>
    <row r="20" spans="1:12" x14ac:dyDescent="0.2">
      <c r="A20" s="230" t="s">
        <v>237</v>
      </c>
      <c r="B20" s="217">
        <v>58525</v>
      </c>
      <c r="C20" s="218">
        <v>22.041666666666668</v>
      </c>
      <c r="D20" s="218">
        <v>3.6361111111111111</v>
      </c>
      <c r="E20" s="219">
        <v>0.29166666666666669</v>
      </c>
      <c r="F20" s="219">
        <v>0.64722222222222225</v>
      </c>
      <c r="G20" s="219">
        <v>0</v>
      </c>
      <c r="H20" s="219">
        <v>0.35833333333333334</v>
      </c>
      <c r="I20" s="218">
        <v>4.958333333333333</v>
      </c>
      <c r="J20" s="216">
        <v>96.52</v>
      </c>
      <c r="K20" s="216">
        <v>11.29</v>
      </c>
      <c r="L20" s="216">
        <v>98.58</v>
      </c>
    </row>
    <row r="21" spans="1:12" x14ac:dyDescent="0.2">
      <c r="A21" s="225" t="s">
        <v>238</v>
      </c>
      <c r="B21" s="217">
        <v>64236</v>
      </c>
      <c r="C21" s="218">
        <v>22.541666666666668</v>
      </c>
      <c r="D21" s="218">
        <v>4.0513888888888889</v>
      </c>
      <c r="E21" s="219">
        <v>0</v>
      </c>
      <c r="F21" s="219">
        <v>0</v>
      </c>
      <c r="G21" s="219">
        <v>2.361111111111111E-2</v>
      </c>
      <c r="H21" s="219">
        <v>0.35833333333333334</v>
      </c>
      <c r="I21" s="218">
        <v>4.458333333333333</v>
      </c>
      <c r="J21" s="216">
        <v>100</v>
      </c>
      <c r="K21" s="216">
        <v>12.39</v>
      </c>
      <c r="L21" s="216">
        <v>98.49</v>
      </c>
    </row>
    <row r="22" spans="1:12" x14ac:dyDescent="0.2">
      <c r="A22" s="225" t="s">
        <v>239</v>
      </c>
      <c r="B22" s="217">
        <v>66743</v>
      </c>
      <c r="C22" s="218">
        <v>22.958333333333332</v>
      </c>
      <c r="D22" s="218">
        <v>3.6701388888888888</v>
      </c>
      <c r="E22" s="219">
        <v>0</v>
      </c>
      <c r="F22" s="219">
        <v>0</v>
      </c>
      <c r="G22" s="219">
        <v>2.361111111111111E-2</v>
      </c>
      <c r="H22" s="219">
        <v>0.35833333333333334</v>
      </c>
      <c r="I22" s="218">
        <v>4.0770833333333334</v>
      </c>
      <c r="J22" s="216">
        <v>100</v>
      </c>
      <c r="K22" s="216">
        <v>12.88</v>
      </c>
      <c r="L22" s="216">
        <v>98.49</v>
      </c>
    </row>
    <row r="23" spans="1:12" ht="15" x14ac:dyDescent="0.25">
      <c r="A23" s="214" t="s">
        <v>217</v>
      </c>
      <c r="B23" s="220">
        <v>1057071</v>
      </c>
      <c r="C23" s="221">
        <v>382.45833333333331</v>
      </c>
      <c r="D23" s="221">
        <v>63.841666666666669</v>
      </c>
      <c r="E23" s="221">
        <v>4.1993055555555552</v>
      </c>
      <c r="F23" s="221">
        <v>2.1034722222222224</v>
      </c>
      <c r="G23" s="222">
        <v>6.6666666666666666E-2</v>
      </c>
      <c r="H23" s="221">
        <v>6.2374999999999998</v>
      </c>
      <c r="I23" s="221">
        <v>76.953472222222231</v>
      </c>
      <c r="J23" s="214">
        <v>98.63</v>
      </c>
      <c r="K23" s="214">
        <v>11.99</v>
      </c>
      <c r="L23" s="214">
        <v>98.53</v>
      </c>
    </row>
    <row r="24" spans="1:12" s="215" customFormat="1" ht="15" customHeight="1" x14ac:dyDescent="0.25">
      <c r="A24" s="396" t="s">
        <v>240</v>
      </c>
      <c r="B24" s="397"/>
      <c r="C24" s="398"/>
      <c r="D24" s="396" t="s">
        <v>221</v>
      </c>
      <c r="E24" s="397"/>
      <c r="F24" s="397"/>
      <c r="G24" s="397"/>
      <c r="H24" s="397"/>
      <c r="I24" s="397"/>
      <c r="J24" s="398"/>
      <c r="K24" s="396" t="s">
        <v>241</v>
      </c>
      <c r="L24" s="398"/>
    </row>
    <row r="25" spans="1:12" x14ac:dyDescent="0.2">
      <c r="A25" s="224" t="s">
        <v>242</v>
      </c>
      <c r="B25" s="217">
        <v>74649</v>
      </c>
      <c r="C25" s="218">
        <v>23.458333333333332</v>
      </c>
      <c r="D25" s="218">
        <v>3.3333333333333335</v>
      </c>
      <c r="E25" s="219">
        <v>0</v>
      </c>
      <c r="F25" s="219">
        <v>5.347222222222222E-2</v>
      </c>
      <c r="G25" s="219">
        <v>0.12638888888888888</v>
      </c>
      <c r="H25" s="219">
        <v>2.8472222222222222E-2</v>
      </c>
      <c r="I25" s="218">
        <v>3.5416666666666665</v>
      </c>
      <c r="J25" s="216">
        <v>99.8</v>
      </c>
      <c r="K25" s="216">
        <v>14.4</v>
      </c>
      <c r="L25" s="216">
        <v>99.43</v>
      </c>
    </row>
    <row r="26" spans="1:12" x14ac:dyDescent="0.2">
      <c r="A26" s="224" t="s">
        <v>243</v>
      </c>
      <c r="B26" s="217">
        <v>75170</v>
      </c>
      <c r="C26" s="218">
        <v>23.333333333333332</v>
      </c>
      <c r="D26" s="218">
        <v>3.0472222222222225</v>
      </c>
      <c r="E26" s="219">
        <v>0.46458333333333335</v>
      </c>
      <c r="F26" s="219">
        <v>0</v>
      </c>
      <c r="G26" s="219">
        <v>0.12638888888888888</v>
      </c>
      <c r="H26" s="219">
        <v>2.8472222222222222E-2</v>
      </c>
      <c r="I26" s="218">
        <v>3.6666666666666665</v>
      </c>
      <c r="J26" s="216">
        <v>98.28</v>
      </c>
      <c r="K26" s="216">
        <v>14.5</v>
      </c>
      <c r="L26" s="216">
        <v>99.43</v>
      </c>
    </row>
    <row r="27" spans="1:12" x14ac:dyDescent="0.2">
      <c r="A27" s="224" t="s">
        <v>244</v>
      </c>
      <c r="B27" s="217">
        <v>65543</v>
      </c>
      <c r="C27" s="218">
        <v>20.833333333333332</v>
      </c>
      <c r="D27" s="218">
        <v>2.8465277777777778</v>
      </c>
      <c r="E27" s="218">
        <v>3.213888888888889</v>
      </c>
      <c r="F27" s="219">
        <v>2.7083333333333334E-2</v>
      </c>
      <c r="G27" s="219">
        <v>0.12638888888888888</v>
      </c>
      <c r="H27" s="219">
        <v>2.8472222222222222E-2</v>
      </c>
      <c r="I27" s="218">
        <v>6.2423611111111112</v>
      </c>
      <c r="J27" s="216">
        <v>88</v>
      </c>
      <c r="K27" s="216">
        <v>12.64</v>
      </c>
      <c r="L27" s="216">
        <v>99.43</v>
      </c>
    </row>
    <row r="28" spans="1:12" x14ac:dyDescent="0.2">
      <c r="A28" s="224" t="s">
        <v>245</v>
      </c>
      <c r="B28" s="217">
        <v>76052</v>
      </c>
      <c r="C28" s="218">
        <v>23.416666666666668</v>
      </c>
      <c r="D28" s="218">
        <v>3.1854166666666668</v>
      </c>
      <c r="E28" s="219">
        <v>0.24305555555555555</v>
      </c>
      <c r="F28" s="219">
        <v>0</v>
      </c>
      <c r="G28" s="219">
        <v>0.12638888888888888</v>
      </c>
      <c r="H28" s="219">
        <v>2.8472222222222222E-2</v>
      </c>
      <c r="I28" s="218">
        <v>3.5833333333333335</v>
      </c>
      <c r="J28" s="216">
        <v>99.1</v>
      </c>
      <c r="K28" s="216">
        <v>14.67</v>
      </c>
      <c r="L28" s="216">
        <v>99.43</v>
      </c>
    </row>
    <row r="29" spans="1:12" x14ac:dyDescent="0.2">
      <c r="A29" s="224" t="s">
        <v>246</v>
      </c>
      <c r="B29" s="217">
        <v>76395</v>
      </c>
      <c r="C29" s="218">
        <v>23.5</v>
      </c>
      <c r="D29" s="218">
        <v>2.8736111111111113</v>
      </c>
      <c r="E29" s="219">
        <v>0.47291666666666665</v>
      </c>
      <c r="F29" s="219">
        <v>0</v>
      </c>
      <c r="G29" s="219">
        <v>0.12638888888888888</v>
      </c>
      <c r="H29" s="219">
        <v>2.8472222222222222E-2</v>
      </c>
      <c r="I29" s="218">
        <v>3.5013888888888887</v>
      </c>
      <c r="J29" s="216">
        <v>98.25</v>
      </c>
      <c r="K29" s="216">
        <v>14.74</v>
      </c>
      <c r="L29" s="216">
        <v>99.43</v>
      </c>
    </row>
    <row r="30" spans="1:12" x14ac:dyDescent="0.2">
      <c r="A30" s="224" t="s">
        <v>247</v>
      </c>
      <c r="B30" s="217">
        <v>76834</v>
      </c>
      <c r="C30" s="218">
        <v>23.291666666666668</v>
      </c>
      <c r="D30" s="218">
        <v>2.9645833333333336</v>
      </c>
      <c r="E30" s="219">
        <v>0.59027777777777779</v>
      </c>
      <c r="F30" s="219">
        <v>0</v>
      </c>
      <c r="G30" s="219">
        <v>0.12638888888888888</v>
      </c>
      <c r="H30" s="219">
        <v>2.8472222222222222E-2</v>
      </c>
      <c r="I30" s="218">
        <v>3.7097222222222221</v>
      </c>
      <c r="J30" s="216">
        <v>97.81</v>
      </c>
      <c r="K30" s="216">
        <v>14.82</v>
      </c>
      <c r="L30" s="216">
        <v>99.43</v>
      </c>
    </row>
    <row r="31" spans="1:12" x14ac:dyDescent="0.2">
      <c r="A31" s="224" t="s">
        <v>248</v>
      </c>
      <c r="B31" s="217">
        <v>78714</v>
      </c>
      <c r="C31" s="218">
        <v>23.833333333333332</v>
      </c>
      <c r="D31" s="218">
        <v>2.9611111111111108</v>
      </c>
      <c r="E31" s="219">
        <v>0</v>
      </c>
      <c r="F31" s="219">
        <v>5.0694444444444452E-2</v>
      </c>
      <c r="G31" s="219">
        <v>0.12638888888888888</v>
      </c>
      <c r="H31" s="219">
        <v>2.8472222222222222E-2</v>
      </c>
      <c r="I31" s="218">
        <v>3.1666666666666665</v>
      </c>
      <c r="J31" s="216">
        <v>99.81</v>
      </c>
      <c r="K31" s="216">
        <v>15.18</v>
      </c>
      <c r="L31" s="216">
        <v>99.43</v>
      </c>
    </row>
    <row r="32" spans="1:12" x14ac:dyDescent="0.2">
      <c r="A32" s="224" t="s">
        <v>249</v>
      </c>
      <c r="B32" s="217">
        <v>79246</v>
      </c>
      <c r="C32" s="218">
        <v>23.458333333333332</v>
      </c>
      <c r="D32" s="218">
        <v>2.9055555555555554</v>
      </c>
      <c r="E32" s="219">
        <v>0.4826388888888889</v>
      </c>
      <c r="F32" s="219">
        <v>0</v>
      </c>
      <c r="G32" s="219">
        <v>0.12638888888888888</v>
      </c>
      <c r="H32" s="219">
        <v>2.8472222222222222E-2</v>
      </c>
      <c r="I32" s="218">
        <v>3.5430555555555556</v>
      </c>
      <c r="J32" s="216">
        <v>98.21</v>
      </c>
      <c r="K32" s="216">
        <v>15.29</v>
      </c>
      <c r="L32" s="216">
        <v>99.43</v>
      </c>
    </row>
    <row r="33" spans="1:12" x14ac:dyDescent="0.2">
      <c r="A33" s="224" t="s">
        <v>250</v>
      </c>
      <c r="B33" s="217">
        <v>89194</v>
      </c>
      <c r="C33" s="218">
        <v>24.083333333333332</v>
      </c>
      <c r="D33" s="218">
        <v>2.7631944444444443</v>
      </c>
      <c r="E33" s="219">
        <v>0</v>
      </c>
      <c r="F33" s="219">
        <v>0</v>
      </c>
      <c r="G33" s="219">
        <v>0.12638888888888888</v>
      </c>
      <c r="H33" s="219">
        <v>2.8472222222222222E-2</v>
      </c>
      <c r="I33" s="218">
        <v>2.9180555555555556</v>
      </c>
      <c r="J33" s="216">
        <v>100</v>
      </c>
      <c r="K33" s="216">
        <v>17.21</v>
      </c>
      <c r="L33" s="216">
        <v>99.43</v>
      </c>
    </row>
    <row r="34" spans="1:12" x14ac:dyDescent="0.2">
      <c r="A34" s="224" t="s">
        <v>251</v>
      </c>
      <c r="B34" s="217">
        <v>93751</v>
      </c>
      <c r="C34" s="218">
        <v>23.958333333333332</v>
      </c>
      <c r="D34" s="218">
        <v>2.817361111111111</v>
      </c>
      <c r="E34" s="219">
        <v>6.805555555555555E-2</v>
      </c>
      <c r="F34" s="219">
        <v>2.7777777777777779E-3</v>
      </c>
      <c r="G34" s="219">
        <v>0.12638888888888888</v>
      </c>
      <c r="H34" s="219">
        <v>2.8472222222222222E-2</v>
      </c>
      <c r="I34" s="218">
        <v>3.0430555555555556</v>
      </c>
      <c r="J34" s="216">
        <v>99.74</v>
      </c>
      <c r="K34" s="216">
        <v>18.079999999999998</v>
      </c>
      <c r="L34" s="216">
        <v>99.43</v>
      </c>
    </row>
    <row r="35" spans="1:12" x14ac:dyDescent="0.2">
      <c r="A35" s="224" t="s">
        <v>252</v>
      </c>
      <c r="B35" s="217">
        <v>88896</v>
      </c>
      <c r="C35" s="218">
        <v>23.5</v>
      </c>
      <c r="D35" s="218">
        <v>2.9923611111111108</v>
      </c>
      <c r="E35" s="219">
        <v>0.34375</v>
      </c>
      <c r="F35" s="219">
        <v>1.0416666666666666E-2</v>
      </c>
      <c r="G35" s="219">
        <v>0.12638888888888888</v>
      </c>
      <c r="H35" s="219">
        <v>2.8472222222222222E-2</v>
      </c>
      <c r="I35" s="218">
        <v>3.5013888888888887</v>
      </c>
      <c r="J35" s="216">
        <v>98.69</v>
      </c>
      <c r="K35" s="216">
        <v>17.149999999999999</v>
      </c>
      <c r="L35" s="216">
        <v>99.43</v>
      </c>
    </row>
    <row r="36" spans="1:12" x14ac:dyDescent="0.2">
      <c r="A36" s="224" t="s">
        <v>253</v>
      </c>
      <c r="B36" s="217">
        <v>95422</v>
      </c>
      <c r="C36" s="218">
        <v>24.166666666666668</v>
      </c>
      <c r="D36" s="218">
        <v>2.6784722222222221</v>
      </c>
      <c r="E36" s="219">
        <v>0</v>
      </c>
      <c r="F36" s="219">
        <v>0</v>
      </c>
      <c r="G36" s="219">
        <v>0.12638888888888888</v>
      </c>
      <c r="H36" s="219">
        <v>2.8472222222222222E-2</v>
      </c>
      <c r="I36" s="218">
        <v>2.8333333333333335</v>
      </c>
      <c r="J36" s="216">
        <v>100</v>
      </c>
      <c r="K36" s="216">
        <v>18.41</v>
      </c>
      <c r="L36" s="216">
        <v>99.43</v>
      </c>
    </row>
    <row r="37" spans="1:12" x14ac:dyDescent="0.2">
      <c r="A37" s="224" t="s">
        <v>254</v>
      </c>
      <c r="B37" s="217">
        <v>89035</v>
      </c>
      <c r="C37" s="218">
        <v>23.791666666666668</v>
      </c>
      <c r="D37" s="218">
        <v>2.6902777777777778</v>
      </c>
      <c r="E37" s="219">
        <v>7.1527777777777787E-2</v>
      </c>
      <c r="F37" s="219">
        <v>0.32222222222222224</v>
      </c>
      <c r="G37" s="219">
        <v>0.12638888888888888</v>
      </c>
      <c r="H37" s="219">
        <v>2.8472222222222222E-2</v>
      </c>
      <c r="I37" s="218">
        <v>3.2388888888888889</v>
      </c>
      <c r="J37" s="216">
        <v>98.54</v>
      </c>
      <c r="K37" s="216">
        <v>17.18</v>
      </c>
      <c r="L37" s="216">
        <v>99.43</v>
      </c>
    </row>
    <row r="38" spans="1:12" x14ac:dyDescent="0.2">
      <c r="A38" s="224" t="s">
        <v>255</v>
      </c>
      <c r="B38" s="217">
        <v>81522</v>
      </c>
      <c r="C38" s="218">
        <v>23.708333333333332</v>
      </c>
      <c r="D38" s="218">
        <v>2.6979166666666665</v>
      </c>
      <c r="E38" s="219">
        <v>0</v>
      </c>
      <c r="F38" s="219">
        <v>0.4465277777777778</v>
      </c>
      <c r="G38" s="219">
        <v>0.12638888888888888</v>
      </c>
      <c r="H38" s="219">
        <v>2.8472222222222222E-2</v>
      </c>
      <c r="I38" s="218">
        <v>3.2993055555555557</v>
      </c>
      <c r="J38" s="216">
        <v>98.35</v>
      </c>
      <c r="K38" s="216">
        <v>15.73</v>
      </c>
      <c r="L38" s="216">
        <v>99.43</v>
      </c>
    </row>
    <row r="39" spans="1:12" x14ac:dyDescent="0.2">
      <c r="A39" s="224" t="s">
        <v>256</v>
      </c>
      <c r="B39" s="217">
        <v>87596</v>
      </c>
      <c r="C39" s="218">
        <v>23.541666666666668</v>
      </c>
      <c r="D39" s="218">
        <v>2.5166666666666666</v>
      </c>
      <c r="E39" s="219">
        <v>0.32708333333333334</v>
      </c>
      <c r="F39" s="219">
        <v>0.46111111111111108</v>
      </c>
      <c r="G39" s="219">
        <v>0.12638888888888888</v>
      </c>
      <c r="H39" s="219">
        <v>2.8472222222222222E-2</v>
      </c>
      <c r="I39" s="218">
        <v>3.4597222222222221</v>
      </c>
      <c r="J39" s="216">
        <v>97.08</v>
      </c>
      <c r="K39" s="216">
        <v>16.899999999999999</v>
      </c>
      <c r="L39" s="216">
        <v>99.43</v>
      </c>
    </row>
    <row r="40" spans="1:12" x14ac:dyDescent="0.2">
      <c r="A40" s="224" t="s">
        <v>257</v>
      </c>
      <c r="B40" s="217">
        <v>86134</v>
      </c>
      <c r="C40" s="218">
        <v>23.125</v>
      </c>
      <c r="D40" s="218">
        <v>2.7645833333333329</v>
      </c>
      <c r="E40" s="219">
        <v>0.48888888888888887</v>
      </c>
      <c r="F40" s="219">
        <v>0.46666666666666662</v>
      </c>
      <c r="G40" s="219">
        <v>0.12638888888888888</v>
      </c>
      <c r="H40" s="219">
        <v>2.8472222222222222E-2</v>
      </c>
      <c r="I40" s="218">
        <v>3.875</v>
      </c>
      <c r="J40" s="216">
        <v>96.46</v>
      </c>
      <c r="K40" s="216">
        <v>16.62</v>
      </c>
      <c r="L40" s="216">
        <v>99.43</v>
      </c>
    </row>
    <row r="41" spans="1:12" x14ac:dyDescent="0.2">
      <c r="A41" s="223" t="s">
        <v>258</v>
      </c>
      <c r="B41" s="217">
        <v>58579</v>
      </c>
      <c r="C41" s="218">
        <v>22.666666666666668</v>
      </c>
      <c r="D41" s="218">
        <v>3.9729166666666664</v>
      </c>
      <c r="E41" s="219">
        <v>0</v>
      </c>
      <c r="F41" s="219">
        <v>0</v>
      </c>
      <c r="G41" s="219">
        <v>4.4444444444444446E-2</v>
      </c>
      <c r="H41" s="219">
        <v>0.33958333333333335</v>
      </c>
      <c r="I41" s="218">
        <v>4.3569444444444443</v>
      </c>
      <c r="J41" s="216">
        <v>100</v>
      </c>
      <c r="K41" s="216">
        <v>11.3</v>
      </c>
      <c r="L41" s="216">
        <v>98.58</v>
      </c>
    </row>
    <row r="42" spans="1:12" x14ac:dyDescent="0.2">
      <c r="A42" s="223" t="s">
        <v>259</v>
      </c>
      <c r="B42" s="217">
        <v>64270</v>
      </c>
      <c r="C42" s="218">
        <v>22.916666666666668</v>
      </c>
      <c r="D42" s="218">
        <v>3.5354166666666664</v>
      </c>
      <c r="E42" s="219">
        <v>0.16388888888888889</v>
      </c>
      <c r="F42" s="219">
        <v>0</v>
      </c>
      <c r="G42" s="219">
        <v>4.4444444444444446E-2</v>
      </c>
      <c r="H42" s="219">
        <v>0.33958333333333335</v>
      </c>
      <c r="I42" s="218">
        <v>4.083333333333333</v>
      </c>
      <c r="J42" s="216">
        <v>99.39</v>
      </c>
      <c r="K42" s="216">
        <v>12.4</v>
      </c>
      <c r="L42" s="216">
        <v>98.58</v>
      </c>
    </row>
    <row r="43" spans="1:12" x14ac:dyDescent="0.2">
      <c r="A43" s="223" t="s">
        <v>260</v>
      </c>
      <c r="B43" s="217">
        <v>62375</v>
      </c>
      <c r="C43" s="218">
        <v>22.916666666666668</v>
      </c>
      <c r="D43" s="218">
        <v>3.2527777777777778</v>
      </c>
      <c r="E43" s="219">
        <v>0.41041666666666665</v>
      </c>
      <c r="F43" s="219">
        <v>0.25277777777777777</v>
      </c>
      <c r="G43" s="219">
        <v>8.1250000000000003E-2</v>
      </c>
      <c r="H43" s="219">
        <v>0.1111111111111111</v>
      </c>
      <c r="I43" s="218">
        <v>4.1083333333333334</v>
      </c>
      <c r="J43" s="216">
        <v>97.54</v>
      </c>
      <c r="K43" s="216">
        <v>12.03</v>
      </c>
      <c r="L43" s="216">
        <v>99.29</v>
      </c>
    </row>
    <row r="44" spans="1:12" x14ac:dyDescent="0.2">
      <c r="A44" s="223" t="s">
        <v>261</v>
      </c>
      <c r="B44" s="217">
        <v>69685</v>
      </c>
      <c r="C44" s="218">
        <v>23.25</v>
      </c>
      <c r="D44" s="218">
        <v>3.5090277777777779</v>
      </c>
      <c r="E44" s="219">
        <v>0</v>
      </c>
      <c r="F44" s="219">
        <v>4.8611111111111112E-2</v>
      </c>
      <c r="G44" s="219">
        <v>8.1250000000000003E-2</v>
      </c>
      <c r="H44" s="219">
        <v>0.1111111111111111</v>
      </c>
      <c r="I44" s="218">
        <v>3.75</v>
      </c>
      <c r="J44" s="216">
        <v>99.82</v>
      </c>
      <c r="K44" s="216">
        <v>13.44</v>
      </c>
      <c r="L44" s="216">
        <v>99.29</v>
      </c>
    </row>
    <row r="45" spans="1:12" ht="15" x14ac:dyDescent="0.25">
      <c r="A45" s="214" t="s">
        <v>217</v>
      </c>
      <c r="B45" s="220">
        <v>1569062</v>
      </c>
      <c r="C45" s="214" t="s">
        <v>262</v>
      </c>
      <c r="D45" s="221">
        <v>60.308333333333337</v>
      </c>
      <c r="E45" s="221">
        <v>7.3409722222222227</v>
      </c>
      <c r="F45" s="221">
        <v>2.1423611111111112</v>
      </c>
      <c r="G45" s="221">
        <v>2.2736111111111112</v>
      </c>
      <c r="H45" s="221">
        <v>1.3569444444444445</v>
      </c>
      <c r="I45" s="221">
        <v>73.422222222222231</v>
      </c>
      <c r="J45" s="214">
        <v>98.24</v>
      </c>
      <c r="K45" s="214">
        <v>15.13</v>
      </c>
      <c r="L45" s="214">
        <v>99.33</v>
      </c>
    </row>
  </sheetData>
  <mergeCells count="21">
    <mergeCell ref="A24:C24"/>
    <mergeCell ref="D24:J24"/>
    <mergeCell ref="K24:L24"/>
    <mergeCell ref="B3:B4"/>
    <mergeCell ref="C3:C4"/>
    <mergeCell ref="E3:F3"/>
    <mergeCell ref="A2:A4"/>
    <mergeCell ref="G3:H3"/>
    <mergeCell ref="D2:D4"/>
    <mergeCell ref="D5:J5"/>
    <mergeCell ref="I3:I4"/>
    <mergeCell ref="B1:D1"/>
    <mergeCell ref="E1:I1"/>
    <mergeCell ref="J1:L1"/>
    <mergeCell ref="A5:C5"/>
    <mergeCell ref="K2:K4"/>
    <mergeCell ref="K5:L5"/>
    <mergeCell ref="L2:L4"/>
    <mergeCell ref="B2:C2"/>
    <mergeCell ref="J2:J4"/>
    <mergeCell ref="E2:I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48"/>
  <sheetViews>
    <sheetView workbookViewId="0">
      <selection activeCell="B1" sqref="B1"/>
    </sheetView>
  </sheetViews>
  <sheetFormatPr defaultRowHeight="12.75" x14ac:dyDescent="0.2"/>
  <cols>
    <col min="1" max="1" width="4.7109375" style="173" bestFit="1" customWidth="1"/>
    <col min="2" max="2" width="58" style="42" bestFit="1" customWidth="1"/>
    <col min="3" max="3" width="6.28515625" style="42" bestFit="1" customWidth="1"/>
    <col min="4" max="4" width="8.85546875" style="42" customWidth="1"/>
    <col min="5" max="5" width="16.42578125" style="44" customWidth="1"/>
    <col min="6" max="6" width="17" style="44" customWidth="1"/>
    <col min="7" max="7" width="11.42578125" style="44" bestFit="1" customWidth="1"/>
    <col min="8" max="8" width="13.42578125" style="42" bestFit="1" customWidth="1"/>
    <col min="9" max="9" width="8.85546875" style="42" bestFit="1" customWidth="1"/>
    <col min="10" max="10" width="10.5703125" style="42" bestFit="1" customWidth="1"/>
    <col min="11" max="11" width="6.7109375" style="42" customWidth="1"/>
    <col min="12" max="12" width="11.7109375" style="42" bestFit="1" customWidth="1"/>
    <col min="13" max="13" width="12" style="42" bestFit="1" customWidth="1"/>
    <col min="14" max="14" width="4.140625" style="42" customWidth="1"/>
    <col min="15" max="16384" width="9.140625" style="42"/>
  </cols>
  <sheetData>
    <row r="2" spans="1:14" s="134" customFormat="1" ht="28.5" customHeight="1" x14ac:dyDescent="0.15">
      <c r="A2" s="410" t="s">
        <v>83</v>
      </c>
      <c r="B2" s="411"/>
      <c r="C2" s="411"/>
      <c r="D2" s="411"/>
      <c r="E2" s="411"/>
      <c r="F2" s="411"/>
      <c r="G2" s="412"/>
      <c r="H2" s="400" t="s">
        <v>84</v>
      </c>
      <c r="I2" s="400" t="s">
        <v>85</v>
      </c>
      <c r="J2" s="400" t="s">
        <v>86</v>
      </c>
    </row>
    <row r="3" spans="1:14" s="135" customFormat="1" ht="30" customHeight="1" x14ac:dyDescent="0.2">
      <c r="A3" s="400" t="s">
        <v>87</v>
      </c>
      <c r="B3" s="400" t="s">
        <v>88</v>
      </c>
      <c r="C3" s="400" t="s">
        <v>89</v>
      </c>
      <c r="D3" s="400" t="s">
        <v>90</v>
      </c>
      <c r="E3" s="404" t="s">
        <v>91</v>
      </c>
      <c r="F3" s="405"/>
      <c r="G3" s="133" t="s">
        <v>92</v>
      </c>
      <c r="H3" s="401"/>
      <c r="I3" s="401"/>
      <c r="J3" s="401"/>
    </row>
    <row r="4" spans="1:14" s="135" customFormat="1" ht="11.25" customHeight="1" x14ac:dyDescent="0.2">
      <c r="A4" s="403"/>
      <c r="B4" s="402"/>
      <c r="C4" s="403"/>
      <c r="D4" s="403"/>
      <c r="E4" s="136" t="s">
        <v>93</v>
      </c>
      <c r="F4" s="136" t="s">
        <v>94</v>
      </c>
      <c r="G4" s="137" t="s">
        <v>91</v>
      </c>
      <c r="H4" s="402"/>
      <c r="I4" s="402"/>
      <c r="J4" s="402"/>
    </row>
    <row r="5" spans="1:14" ht="18" customHeight="1" x14ac:dyDescent="0.2">
      <c r="A5" s="138">
        <v>1</v>
      </c>
      <c r="B5" s="139" t="s">
        <v>95</v>
      </c>
      <c r="C5" s="140">
        <v>2</v>
      </c>
      <c r="D5" s="140">
        <v>1.6</v>
      </c>
      <c r="E5" s="141">
        <v>30202995</v>
      </c>
      <c r="F5" s="141">
        <v>30340640</v>
      </c>
      <c r="G5" s="142">
        <f t="shared" ref="G5:G25" si="0">+F5-E5</f>
        <v>137645</v>
      </c>
      <c r="H5" s="142">
        <f>ROUND((G5*M31),)</f>
        <v>133742</v>
      </c>
      <c r="I5" s="142">
        <f>ROUND((G5*M32),)</f>
        <v>119</v>
      </c>
      <c r="J5" s="142">
        <f t="shared" ref="J5:J25" si="1">+H5-I5</f>
        <v>133623</v>
      </c>
      <c r="M5" s="143"/>
      <c r="N5" s="144"/>
    </row>
    <row r="6" spans="1:14" ht="25.5" x14ac:dyDescent="0.2">
      <c r="A6" s="406">
        <v>2</v>
      </c>
      <c r="B6" s="145" t="s">
        <v>96</v>
      </c>
      <c r="C6" s="140">
        <v>19</v>
      </c>
      <c r="D6" s="140">
        <v>15.2</v>
      </c>
      <c r="E6" s="141">
        <v>312745611</v>
      </c>
      <c r="F6" s="141">
        <v>314272546</v>
      </c>
      <c r="G6" s="142">
        <f t="shared" si="0"/>
        <v>1526935</v>
      </c>
      <c r="H6" s="142">
        <f>ROUND((G6*M31),)</f>
        <v>1483633</v>
      </c>
      <c r="I6" s="142">
        <f>ROUND((G6*M32),)</f>
        <v>1319</v>
      </c>
      <c r="J6" s="142">
        <f t="shared" si="1"/>
        <v>1482314</v>
      </c>
      <c r="M6" s="143"/>
      <c r="N6" s="144"/>
    </row>
    <row r="7" spans="1:14" ht="25.5" x14ac:dyDescent="0.2">
      <c r="A7" s="407"/>
      <c r="B7" s="145" t="s">
        <v>97</v>
      </c>
      <c r="C7" s="140">
        <v>1</v>
      </c>
      <c r="D7" s="140">
        <v>0.8</v>
      </c>
      <c r="E7" s="141">
        <v>13816326</v>
      </c>
      <c r="F7" s="141">
        <v>13890566</v>
      </c>
      <c r="G7" s="142">
        <f t="shared" si="0"/>
        <v>74240</v>
      </c>
      <c r="H7" s="142">
        <f>ROUND((G7*M31),)</f>
        <v>72135</v>
      </c>
      <c r="I7" s="141">
        <f>ROUND((G7*M32),)</f>
        <v>64</v>
      </c>
      <c r="J7" s="142">
        <f t="shared" si="1"/>
        <v>72071</v>
      </c>
      <c r="M7" s="143"/>
      <c r="N7" s="144"/>
    </row>
    <row r="8" spans="1:14" ht="25.5" x14ac:dyDescent="0.2">
      <c r="A8" s="408"/>
      <c r="B8" s="145" t="s">
        <v>98</v>
      </c>
      <c r="C8" s="140">
        <v>5</v>
      </c>
      <c r="D8" s="140">
        <v>4</v>
      </c>
      <c r="E8" s="141">
        <v>68493789</v>
      </c>
      <c r="F8" s="141">
        <v>68830830</v>
      </c>
      <c r="G8" s="142">
        <f t="shared" si="0"/>
        <v>337041</v>
      </c>
      <c r="H8" s="142">
        <f>ROUND((G8*M31),)</f>
        <v>327483</v>
      </c>
      <c r="I8" s="142">
        <f>ROUND((G8*M32),)</f>
        <v>291</v>
      </c>
      <c r="J8" s="142">
        <f t="shared" si="1"/>
        <v>327192</v>
      </c>
      <c r="M8" s="143"/>
      <c r="N8" s="144"/>
    </row>
    <row r="9" spans="1:14" ht="18" customHeight="1" x14ac:dyDescent="0.2">
      <c r="A9" s="138">
        <v>3</v>
      </c>
      <c r="B9" s="146" t="s">
        <v>99</v>
      </c>
      <c r="C9" s="140">
        <v>10</v>
      </c>
      <c r="D9" s="140">
        <v>8</v>
      </c>
      <c r="E9" s="141">
        <v>158750054</v>
      </c>
      <c r="F9" s="141">
        <v>159575794</v>
      </c>
      <c r="G9" s="147">
        <f t="shared" si="0"/>
        <v>825740</v>
      </c>
      <c r="H9" s="147">
        <f>ROUND((G9*M31),)</f>
        <v>802323</v>
      </c>
      <c r="I9" s="147">
        <f>ROUND((G9*M32),)</f>
        <v>713</v>
      </c>
      <c r="J9" s="147">
        <f t="shared" si="1"/>
        <v>801610</v>
      </c>
      <c r="M9" s="143"/>
      <c r="N9" s="144"/>
    </row>
    <row r="10" spans="1:14" ht="18" customHeight="1" x14ac:dyDescent="0.2">
      <c r="A10" s="138">
        <v>4</v>
      </c>
      <c r="B10" s="139" t="s">
        <v>100</v>
      </c>
      <c r="C10" s="140">
        <v>5</v>
      </c>
      <c r="D10" s="140">
        <v>4</v>
      </c>
      <c r="E10" s="141">
        <v>84566946</v>
      </c>
      <c r="F10" s="141">
        <v>84958790</v>
      </c>
      <c r="G10" s="142">
        <f t="shared" si="0"/>
        <v>391844</v>
      </c>
      <c r="H10" s="142">
        <f>ROUND((G10*M31),)</f>
        <v>380732</v>
      </c>
      <c r="I10" s="142">
        <f>ROUND((G10*M32),)</f>
        <v>338</v>
      </c>
      <c r="J10" s="142">
        <f t="shared" si="1"/>
        <v>380394</v>
      </c>
      <c r="M10" s="143"/>
      <c r="N10" s="144"/>
    </row>
    <row r="11" spans="1:14" ht="18" customHeight="1" x14ac:dyDescent="0.2">
      <c r="A11" s="138">
        <v>5</v>
      </c>
      <c r="B11" s="139" t="s">
        <v>101</v>
      </c>
      <c r="C11" s="140">
        <v>2</v>
      </c>
      <c r="D11" s="140">
        <v>1.6</v>
      </c>
      <c r="E11" s="141">
        <v>32377222</v>
      </c>
      <c r="F11" s="141">
        <v>32527450</v>
      </c>
      <c r="G11" s="142">
        <f t="shared" si="0"/>
        <v>150228</v>
      </c>
      <c r="H11" s="227">
        <f>ROUND((G11*M31),)-1</f>
        <v>145967</v>
      </c>
      <c r="I11" s="142">
        <f>ROUND((G11*M32),)</f>
        <v>130</v>
      </c>
      <c r="J11" s="142">
        <f t="shared" si="1"/>
        <v>145837</v>
      </c>
      <c r="M11" s="143"/>
      <c r="N11" s="144"/>
    </row>
    <row r="12" spans="1:14" ht="18" customHeight="1" x14ac:dyDescent="0.2">
      <c r="A12" s="138">
        <v>6</v>
      </c>
      <c r="B12" s="139" t="s">
        <v>102</v>
      </c>
      <c r="C12" s="140">
        <v>11</v>
      </c>
      <c r="D12" s="140">
        <v>8.8000000000000007</v>
      </c>
      <c r="E12" s="141">
        <v>166940039</v>
      </c>
      <c r="F12" s="141">
        <v>167825615</v>
      </c>
      <c r="G12" s="142">
        <f t="shared" si="0"/>
        <v>885576</v>
      </c>
      <c r="H12" s="228">
        <f>ROUND((G12*M31),)</f>
        <v>860462</v>
      </c>
      <c r="I12" s="142">
        <f>ROUND((G12*M32),)</f>
        <v>765</v>
      </c>
      <c r="J12" s="142">
        <f t="shared" si="1"/>
        <v>859697</v>
      </c>
      <c r="M12" s="143"/>
      <c r="N12" s="144"/>
    </row>
    <row r="13" spans="1:14" ht="18" customHeight="1" x14ac:dyDescent="0.2">
      <c r="A13" s="138">
        <v>7</v>
      </c>
      <c r="B13" s="139" t="s">
        <v>103</v>
      </c>
      <c r="C13" s="140">
        <v>2</v>
      </c>
      <c r="D13" s="140">
        <v>1.6</v>
      </c>
      <c r="E13" s="141">
        <v>30991048</v>
      </c>
      <c r="F13" s="141">
        <v>31160881</v>
      </c>
      <c r="G13" s="142">
        <f t="shared" si="0"/>
        <v>169833</v>
      </c>
      <c r="H13" s="228">
        <f>ROUND((G13*M31),)</f>
        <v>165017</v>
      </c>
      <c r="I13" s="142">
        <f>ROUND((G13*M32),)</f>
        <v>147</v>
      </c>
      <c r="J13" s="142">
        <f t="shared" si="1"/>
        <v>164870</v>
      </c>
      <c r="M13" s="143"/>
      <c r="N13" s="144"/>
    </row>
    <row r="14" spans="1:14" ht="18" customHeight="1" x14ac:dyDescent="0.2">
      <c r="A14" s="138">
        <v>8</v>
      </c>
      <c r="B14" s="139" t="s">
        <v>104</v>
      </c>
      <c r="C14" s="140">
        <v>1</v>
      </c>
      <c r="D14" s="140">
        <v>0.8</v>
      </c>
      <c r="E14" s="141">
        <v>12634822</v>
      </c>
      <c r="F14" s="141">
        <v>12694249</v>
      </c>
      <c r="G14" s="142">
        <f t="shared" si="0"/>
        <v>59427</v>
      </c>
      <c r="H14" s="228">
        <f>ROUND((G14*M31),)-1</f>
        <v>57741</v>
      </c>
      <c r="I14" s="142">
        <f>ROUND((G14*M32),)</f>
        <v>51</v>
      </c>
      <c r="J14" s="142">
        <f t="shared" si="1"/>
        <v>57690</v>
      </c>
      <c r="M14" s="143"/>
      <c r="N14" s="144"/>
    </row>
    <row r="15" spans="1:14" ht="18" customHeight="1" x14ac:dyDescent="0.2">
      <c r="A15" s="138">
        <v>9</v>
      </c>
      <c r="B15" s="139" t="s">
        <v>105</v>
      </c>
      <c r="C15" s="140">
        <v>2</v>
      </c>
      <c r="D15" s="140">
        <v>1.6</v>
      </c>
      <c r="E15" s="141">
        <v>33267239</v>
      </c>
      <c r="F15" s="141">
        <v>33466744</v>
      </c>
      <c r="G15" s="142">
        <f t="shared" si="0"/>
        <v>199505</v>
      </c>
      <c r="H15" s="228">
        <f>ROUND((G15*M31),)</f>
        <v>193847</v>
      </c>
      <c r="I15" s="142">
        <f>ROUND((G15*M32),)</f>
        <v>172</v>
      </c>
      <c r="J15" s="142">
        <f t="shared" si="1"/>
        <v>193675</v>
      </c>
      <c r="M15" s="143"/>
      <c r="N15" s="144"/>
    </row>
    <row r="16" spans="1:14" ht="18" customHeight="1" x14ac:dyDescent="0.2">
      <c r="A16" s="138">
        <v>10</v>
      </c>
      <c r="B16" s="139" t="s">
        <v>106</v>
      </c>
      <c r="C16" s="140">
        <v>2</v>
      </c>
      <c r="D16" s="140">
        <v>1.6</v>
      </c>
      <c r="E16" s="141">
        <v>29738086</v>
      </c>
      <c r="F16" s="141">
        <v>29893674</v>
      </c>
      <c r="G16" s="142">
        <f t="shared" si="0"/>
        <v>155588</v>
      </c>
      <c r="H16" s="228">
        <f>ROUND((G16*M31),)</f>
        <v>151176</v>
      </c>
      <c r="I16" s="142">
        <f>ROUND((G16*M32),)</f>
        <v>134</v>
      </c>
      <c r="J16" s="142">
        <f t="shared" si="1"/>
        <v>151042</v>
      </c>
      <c r="M16" s="143"/>
      <c r="N16" s="144"/>
    </row>
    <row r="17" spans="1:14" ht="18" customHeight="1" x14ac:dyDescent="0.2">
      <c r="A17" s="138">
        <v>11</v>
      </c>
      <c r="B17" s="139" t="s">
        <v>107</v>
      </c>
      <c r="C17" s="140">
        <v>1</v>
      </c>
      <c r="D17" s="140">
        <v>0.8</v>
      </c>
      <c r="E17" s="141">
        <v>15803197</v>
      </c>
      <c r="F17" s="141">
        <v>15887700</v>
      </c>
      <c r="G17" s="142">
        <f t="shared" si="0"/>
        <v>84503</v>
      </c>
      <c r="H17" s="228">
        <f>ROUND((G17*M31),)-1</f>
        <v>82106</v>
      </c>
      <c r="I17" s="142">
        <f>ROUND((G17*M32),)</f>
        <v>73</v>
      </c>
      <c r="J17" s="142">
        <f t="shared" si="1"/>
        <v>82033</v>
      </c>
      <c r="M17" s="143"/>
      <c r="N17" s="144"/>
    </row>
    <row r="18" spans="1:14" s="151" customFormat="1" ht="18" customHeight="1" x14ac:dyDescent="0.2">
      <c r="A18" s="149">
        <v>12</v>
      </c>
      <c r="B18" s="150" t="s">
        <v>108</v>
      </c>
      <c r="C18" s="140">
        <v>1</v>
      </c>
      <c r="D18" s="140">
        <v>0.8</v>
      </c>
      <c r="E18" s="141">
        <v>15652119</v>
      </c>
      <c r="F18" s="141">
        <v>15739828</v>
      </c>
      <c r="G18" s="147">
        <f t="shared" si="0"/>
        <v>87709</v>
      </c>
      <c r="H18" s="147">
        <f>ROUND((G18*M31),)</f>
        <v>85222</v>
      </c>
      <c r="I18" s="147">
        <f>ROUND((G18*M32),)</f>
        <v>76</v>
      </c>
      <c r="J18" s="147">
        <f t="shared" si="1"/>
        <v>85146</v>
      </c>
      <c r="M18" s="143"/>
      <c r="N18" s="152"/>
    </row>
    <row r="19" spans="1:14" s="151" customFormat="1" ht="18" customHeight="1" x14ac:dyDescent="0.2">
      <c r="A19" s="149">
        <v>13</v>
      </c>
      <c r="B19" s="150" t="s">
        <v>109</v>
      </c>
      <c r="C19" s="140">
        <v>1</v>
      </c>
      <c r="D19" s="140">
        <v>0.8</v>
      </c>
      <c r="E19" s="141">
        <v>14439353</v>
      </c>
      <c r="F19" s="141">
        <v>14521400</v>
      </c>
      <c r="G19" s="147">
        <f t="shared" si="0"/>
        <v>82047</v>
      </c>
      <c r="H19" s="147">
        <f>ROUND((G19*M31),)</f>
        <v>79720</v>
      </c>
      <c r="I19" s="147">
        <f>ROUND((G19*M32),)</f>
        <v>71</v>
      </c>
      <c r="J19" s="147">
        <f t="shared" si="1"/>
        <v>79649</v>
      </c>
      <c r="M19" s="143"/>
      <c r="N19" s="152"/>
    </row>
    <row r="20" spans="1:14" s="151" customFormat="1" ht="18" customHeight="1" x14ac:dyDescent="0.2">
      <c r="A20" s="149">
        <v>14</v>
      </c>
      <c r="B20" s="150" t="s">
        <v>110</v>
      </c>
      <c r="C20" s="140">
        <v>1</v>
      </c>
      <c r="D20" s="140">
        <v>0.8</v>
      </c>
      <c r="E20" s="141">
        <v>13061324</v>
      </c>
      <c r="F20" s="141">
        <v>13139905</v>
      </c>
      <c r="G20" s="147">
        <f t="shared" si="0"/>
        <v>78581</v>
      </c>
      <c r="H20" s="147">
        <f>ROUND((G20*M31),)</f>
        <v>76353</v>
      </c>
      <c r="I20" s="147">
        <f>ROUND((G20*M32),)</f>
        <v>68</v>
      </c>
      <c r="J20" s="147">
        <f t="shared" si="1"/>
        <v>76285</v>
      </c>
      <c r="M20" s="143"/>
      <c r="N20" s="152"/>
    </row>
    <row r="21" spans="1:14" s="151" customFormat="1" ht="18" customHeight="1" x14ac:dyDescent="0.2">
      <c r="A21" s="149">
        <v>15</v>
      </c>
      <c r="B21" s="150" t="s">
        <v>111</v>
      </c>
      <c r="C21" s="140">
        <v>7</v>
      </c>
      <c r="D21" s="140">
        <v>5.6</v>
      </c>
      <c r="E21" s="141">
        <v>97580474</v>
      </c>
      <c r="F21" s="141">
        <v>98124182</v>
      </c>
      <c r="G21" s="147">
        <f t="shared" si="0"/>
        <v>543708</v>
      </c>
      <c r="H21" s="147">
        <f>ROUND((G21*M31),)</f>
        <v>528289</v>
      </c>
      <c r="I21" s="147">
        <f>ROUND((G21*M32),)</f>
        <v>470</v>
      </c>
      <c r="J21" s="147">
        <f t="shared" si="1"/>
        <v>527819</v>
      </c>
      <c r="M21" s="143"/>
      <c r="N21" s="152"/>
    </row>
    <row r="22" spans="1:14" s="151" customFormat="1" ht="18" customHeight="1" x14ac:dyDescent="0.2">
      <c r="A22" s="149">
        <v>16</v>
      </c>
      <c r="B22" s="150" t="s">
        <v>111</v>
      </c>
      <c r="C22" s="140">
        <v>5</v>
      </c>
      <c r="D22" s="140">
        <f>C22*0.8</f>
        <v>4</v>
      </c>
      <c r="E22" s="141">
        <v>60166369</v>
      </c>
      <c r="F22" s="141">
        <v>60531628</v>
      </c>
      <c r="G22" s="147">
        <f t="shared" si="0"/>
        <v>365259</v>
      </c>
      <c r="H22" s="147">
        <f>ROUND((G22*M31),)</f>
        <v>354901</v>
      </c>
      <c r="I22" s="147">
        <f>ROUND((G22*M32),)</f>
        <v>315</v>
      </c>
      <c r="J22" s="147">
        <f t="shared" si="1"/>
        <v>354586</v>
      </c>
      <c r="M22" s="143"/>
      <c r="N22" s="152"/>
    </row>
    <row r="23" spans="1:14" s="151" customFormat="1" ht="18" customHeight="1" x14ac:dyDescent="0.2">
      <c r="A23" s="149">
        <v>17</v>
      </c>
      <c r="B23" s="150" t="s">
        <v>112</v>
      </c>
      <c r="C23" s="140">
        <v>16</v>
      </c>
      <c r="D23" s="140">
        <v>12.8</v>
      </c>
      <c r="E23" s="141">
        <v>216583002</v>
      </c>
      <c r="F23" s="141">
        <v>217999706</v>
      </c>
      <c r="G23" s="147">
        <f t="shared" si="0"/>
        <v>1416704</v>
      </c>
      <c r="H23" s="148">
        <f>ROUND((G23*M31),)</f>
        <v>1376528</v>
      </c>
      <c r="I23" s="147">
        <f>ROUND((G23*M32),)</f>
        <v>1224</v>
      </c>
      <c r="J23" s="147">
        <f t="shared" si="1"/>
        <v>1375304</v>
      </c>
      <c r="M23" s="143"/>
      <c r="N23" s="152"/>
    </row>
    <row r="24" spans="1:14" s="151" customFormat="1" ht="18" customHeight="1" x14ac:dyDescent="0.2">
      <c r="A24" s="149">
        <v>18</v>
      </c>
      <c r="B24" s="150" t="s">
        <v>112</v>
      </c>
      <c r="C24" s="140">
        <v>4</v>
      </c>
      <c r="D24" s="140">
        <v>3.2</v>
      </c>
      <c r="E24" s="141">
        <v>43601834</v>
      </c>
      <c r="F24" s="141">
        <v>43875253</v>
      </c>
      <c r="G24" s="147">
        <f t="shared" si="0"/>
        <v>273419</v>
      </c>
      <c r="H24" s="148">
        <f>ROUND((G24*M31),)</f>
        <v>265665</v>
      </c>
      <c r="I24" s="147">
        <f>ROUND((G24*M32),)</f>
        <v>236</v>
      </c>
      <c r="J24" s="147">
        <f t="shared" si="1"/>
        <v>265429</v>
      </c>
      <c r="M24" s="143"/>
      <c r="N24" s="152"/>
    </row>
    <row r="25" spans="1:14" s="151" customFormat="1" ht="18" customHeight="1" x14ac:dyDescent="0.2">
      <c r="A25" s="149">
        <v>19</v>
      </c>
      <c r="B25" s="153" t="s">
        <v>113</v>
      </c>
      <c r="C25" s="154">
        <v>25</v>
      </c>
      <c r="D25" s="155">
        <f>+C25*0.8</f>
        <v>20</v>
      </c>
      <c r="E25" s="141">
        <v>315649763</v>
      </c>
      <c r="F25" s="141">
        <v>317808479</v>
      </c>
      <c r="G25" s="147">
        <f t="shared" si="0"/>
        <v>2158716</v>
      </c>
      <c r="H25" s="147">
        <f>ROUND((G25*M31),)</f>
        <v>2097498</v>
      </c>
      <c r="I25" s="147">
        <f>ROUND((G25*M32),)</f>
        <v>1864</v>
      </c>
      <c r="J25" s="147">
        <f t="shared" si="1"/>
        <v>2095634</v>
      </c>
      <c r="M25" s="143"/>
      <c r="N25" s="152"/>
    </row>
    <row r="26" spans="1:14" s="158" customFormat="1" x14ac:dyDescent="0.2">
      <c r="A26" s="409"/>
      <c r="B26" s="409"/>
      <c r="C26" s="156">
        <f>SUM(C5:C25)</f>
        <v>123</v>
      </c>
      <c r="D26" s="156">
        <f t="shared" ref="D26:J26" si="2">SUM(D5:D25)</f>
        <v>98.399999999999991</v>
      </c>
      <c r="E26" s="156">
        <f t="shared" si="2"/>
        <v>1767061612</v>
      </c>
      <c r="F26" s="156">
        <f t="shared" si="2"/>
        <v>1777065860</v>
      </c>
      <c r="G26" s="156">
        <f t="shared" si="2"/>
        <v>10004248</v>
      </c>
      <c r="H26" s="157">
        <f>SUM(H5:H25)</f>
        <v>9720540</v>
      </c>
      <c r="I26" s="156">
        <f t="shared" si="2"/>
        <v>8640</v>
      </c>
      <c r="J26" s="156">
        <f t="shared" si="2"/>
        <v>9711900</v>
      </c>
      <c r="L26" s="159" t="s">
        <v>114</v>
      </c>
      <c r="M26" s="160">
        <f>+G26</f>
        <v>10004248</v>
      </c>
      <c r="N26" s="161"/>
    </row>
    <row r="27" spans="1:14" ht="15" x14ac:dyDescent="0.25">
      <c r="A27" s="162"/>
      <c r="B27" s="163"/>
      <c r="C27" s="162"/>
      <c r="D27" s="162"/>
      <c r="E27" s="164"/>
      <c r="F27" s="164"/>
      <c r="G27" s="164"/>
      <c r="H27" s="112"/>
      <c r="I27" s="112"/>
      <c r="J27" s="112"/>
      <c r="L27" s="165" t="s">
        <v>115</v>
      </c>
      <c r="M27" s="166">
        <v>9720540</v>
      </c>
      <c r="N27" s="144"/>
    </row>
    <row r="28" spans="1:14" ht="15" x14ac:dyDescent="0.25">
      <c r="A28" s="162"/>
      <c r="B28" s="163"/>
      <c r="C28" s="162"/>
      <c r="D28" s="162"/>
      <c r="E28" s="164"/>
      <c r="F28" s="164"/>
      <c r="G28" s="164"/>
      <c r="H28" s="161"/>
      <c r="I28" s="144"/>
      <c r="J28" s="164"/>
      <c r="L28" s="167" t="s">
        <v>116</v>
      </c>
      <c r="M28" s="160">
        <v>8640</v>
      </c>
      <c r="N28" s="168"/>
    </row>
    <row r="29" spans="1:14" ht="15" x14ac:dyDescent="0.25">
      <c r="A29" s="162"/>
      <c r="B29" s="163"/>
      <c r="C29" s="162"/>
      <c r="D29" s="162"/>
      <c r="E29" s="164"/>
      <c r="F29" s="164"/>
      <c r="G29" s="164"/>
      <c r="H29" s="161"/>
      <c r="I29" s="161"/>
      <c r="J29" s="161"/>
      <c r="L29" s="167" t="s">
        <v>117</v>
      </c>
      <c r="M29" s="160">
        <f>+M27-M28</f>
        <v>9711900</v>
      </c>
      <c r="N29" s="44"/>
    </row>
    <row r="30" spans="1:14" ht="15" x14ac:dyDescent="0.25">
      <c r="A30" s="162"/>
      <c r="B30" s="163"/>
      <c r="C30" s="162"/>
      <c r="D30" s="162"/>
      <c r="E30" s="164"/>
      <c r="F30" s="164"/>
      <c r="G30" s="164"/>
      <c r="H30" s="169"/>
      <c r="I30" s="169"/>
      <c r="J30" s="161"/>
      <c r="M30" s="44"/>
      <c r="N30" s="168"/>
    </row>
    <row r="31" spans="1:14" ht="15" x14ac:dyDescent="0.25">
      <c r="A31" s="162"/>
      <c r="B31" s="163"/>
      <c r="C31" s="162"/>
      <c r="D31" s="162"/>
      <c r="E31" s="164"/>
      <c r="F31" s="164"/>
      <c r="G31" s="164"/>
      <c r="H31" s="169"/>
      <c r="I31" s="169"/>
      <c r="J31" s="169"/>
      <c r="L31" s="170" t="s">
        <v>118</v>
      </c>
      <c r="M31" s="171">
        <f>M27/M26</f>
        <v>0.97164124679836006</v>
      </c>
      <c r="N31" s="168"/>
    </row>
    <row r="32" spans="1:14" ht="14.25" x14ac:dyDescent="0.2">
      <c r="A32" s="162"/>
      <c r="B32" s="172"/>
      <c r="C32" s="162"/>
      <c r="D32" s="162"/>
      <c r="E32" s="164"/>
      <c r="F32" s="164"/>
      <c r="G32" s="164"/>
      <c r="H32" s="169"/>
      <c r="I32" s="169"/>
      <c r="J32" s="164"/>
      <c r="L32" s="170" t="s">
        <v>119</v>
      </c>
      <c r="M32" s="171">
        <f>M28/M26</f>
        <v>8.6363312864695077E-4</v>
      </c>
    </row>
    <row r="33" spans="1:14" ht="14.25" x14ac:dyDescent="0.2">
      <c r="A33" s="162"/>
      <c r="B33" s="172"/>
      <c r="C33" s="162"/>
      <c r="D33" s="162"/>
      <c r="E33" s="164"/>
      <c r="F33" s="164"/>
      <c r="G33" s="164"/>
      <c r="H33" s="169"/>
      <c r="I33" s="169"/>
      <c r="J33" s="169"/>
    </row>
    <row r="34" spans="1:14" ht="14.25" x14ac:dyDescent="0.2">
      <c r="F34" s="164"/>
      <c r="K34" s="174"/>
      <c r="L34" s="174"/>
      <c r="M34" s="174"/>
      <c r="N34" s="174"/>
    </row>
    <row r="35" spans="1:14" ht="14.25" x14ac:dyDescent="0.2">
      <c r="F35" s="164"/>
    </row>
    <row r="36" spans="1:14" ht="14.25" x14ac:dyDescent="0.2">
      <c r="F36" s="164"/>
      <c r="H36" s="175">
        <f>+M27</f>
        <v>9720540</v>
      </c>
      <c r="I36" s="175">
        <f>+M28</f>
        <v>8640</v>
      </c>
      <c r="J36" s="175">
        <f>+H36-I36</f>
        <v>9711900</v>
      </c>
    </row>
    <row r="37" spans="1:14" ht="14.25" x14ac:dyDescent="0.2">
      <c r="F37" s="164"/>
    </row>
    <row r="38" spans="1:14" ht="14.25" x14ac:dyDescent="0.2">
      <c r="F38" s="164"/>
      <c r="H38" s="176">
        <f>+H36-H26</f>
        <v>0</v>
      </c>
      <c r="I38" s="176">
        <f>+I36-I26</f>
        <v>0</v>
      </c>
      <c r="J38" s="176">
        <f>+J36-J26</f>
        <v>0</v>
      </c>
    </row>
    <row r="39" spans="1:14" ht="14.25" x14ac:dyDescent="0.2">
      <c r="F39" s="164"/>
    </row>
    <row r="40" spans="1:14" ht="14.25" x14ac:dyDescent="0.2">
      <c r="F40" s="164"/>
      <c r="G40" s="177"/>
    </row>
    <row r="41" spans="1:14" ht="14.25" x14ac:dyDescent="0.2">
      <c r="F41" s="164"/>
      <c r="G41" s="177"/>
    </row>
    <row r="42" spans="1:14" ht="14.25" x14ac:dyDescent="0.2">
      <c r="F42" s="164"/>
    </row>
    <row r="43" spans="1:14" ht="14.25" x14ac:dyDescent="0.2">
      <c r="F43" s="164"/>
    </row>
    <row r="44" spans="1:14" ht="14.25" x14ac:dyDescent="0.2">
      <c r="F44" s="164"/>
    </row>
    <row r="45" spans="1:14" ht="14.25" x14ac:dyDescent="0.2">
      <c r="F45" s="164"/>
    </row>
    <row r="46" spans="1:14" ht="14.25" x14ac:dyDescent="0.2">
      <c r="F46" s="164"/>
    </row>
    <row r="47" spans="1:14" ht="14.25" x14ac:dyDescent="0.2">
      <c r="F47" s="164"/>
    </row>
    <row r="48" spans="1:14" ht="14.25" x14ac:dyDescent="0.2">
      <c r="F48" s="164"/>
    </row>
  </sheetData>
  <mergeCells count="11">
    <mergeCell ref="A6:A8"/>
    <mergeCell ref="A26:B26"/>
    <mergeCell ref="A2:G2"/>
    <mergeCell ref="H2:H4"/>
    <mergeCell ref="I2:I4"/>
    <mergeCell ref="J2:J4"/>
    <mergeCell ref="A3:A4"/>
    <mergeCell ref="B3:B4"/>
    <mergeCell ref="C3:C4"/>
    <mergeCell ref="D3:D4"/>
    <mergeCell ref="E3:F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13"/>
  <sheetViews>
    <sheetView topLeftCell="A55" workbookViewId="0">
      <selection activeCell="L69" sqref="L69"/>
    </sheetView>
  </sheetViews>
  <sheetFormatPr defaultRowHeight="12.75" x14ac:dyDescent="0.2"/>
  <cols>
    <col min="1" max="1" width="5.7109375" style="173" customWidth="1"/>
    <col min="2" max="2" width="48.5703125" style="209" bestFit="1" customWidth="1"/>
    <col min="3" max="3" width="7.7109375" style="42" bestFit="1" customWidth="1"/>
    <col min="4" max="4" width="8.42578125" style="42" customWidth="1"/>
    <col min="5" max="6" width="12.5703125" style="173" bestFit="1" customWidth="1"/>
    <col min="7" max="7" width="12" style="173" bestFit="1" customWidth="1"/>
    <col min="8" max="8" width="10" style="173" bestFit="1" customWidth="1"/>
    <col min="9" max="9" width="7.85546875" style="173" bestFit="1" customWidth="1"/>
    <col min="10" max="10" width="10.42578125" style="173" bestFit="1" customWidth="1"/>
    <col min="11" max="11" width="7.85546875" style="42" customWidth="1"/>
    <col min="12" max="12" width="11.7109375" style="42" bestFit="1" customWidth="1"/>
    <col min="13" max="13" width="12.28515625" style="42" bestFit="1" customWidth="1"/>
    <col min="14" max="14" width="9.42578125" style="42" customWidth="1"/>
    <col min="15" max="16384" width="9.140625" style="42"/>
  </cols>
  <sheetData>
    <row r="2" spans="1:18" s="134" customFormat="1" ht="28.5" customHeight="1" x14ac:dyDescent="0.15">
      <c r="A2" s="410" t="s">
        <v>83</v>
      </c>
      <c r="B2" s="411"/>
      <c r="C2" s="411"/>
      <c r="D2" s="411"/>
      <c r="E2" s="411"/>
      <c r="F2" s="411"/>
      <c r="G2" s="412"/>
      <c r="H2" s="400" t="s">
        <v>84</v>
      </c>
      <c r="I2" s="400" t="s">
        <v>85</v>
      </c>
      <c r="J2" s="400" t="s">
        <v>86</v>
      </c>
    </row>
    <row r="3" spans="1:18" s="135" customFormat="1" ht="30" customHeight="1" x14ac:dyDescent="0.2">
      <c r="A3" s="400" t="s">
        <v>87</v>
      </c>
      <c r="B3" s="400" t="s">
        <v>88</v>
      </c>
      <c r="C3" s="400" t="s">
        <v>89</v>
      </c>
      <c r="D3" s="400" t="s">
        <v>90</v>
      </c>
      <c r="E3" s="404" t="s">
        <v>91</v>
      </c>
      <c r="F3" s="413"/>
      <c r="G3" s="137" t="s">
        <v>120</v>
      </c>
      <c r="H3" s="401"/>
      <c r="I3" s="401"/>
      <c r="J3" s="401"/>
      <c r="N3" s="178" t="s">
        <v>121</v>
      </c>
    </row>
    <row r="4" spans="1:18" s="135" customFormat="1" ht="11.25" customHeight="1" x14ac:dyDescent="0.2">
      <c r="A4" s="403"/>
      <c r="B4" s="402"/>
      <c r="C4" s="403"/>
      <c r="D4" s="403"/>
      <c r="E4" s="136">
        <v>44593</v>
      </c>
      <c r="F4" s="136">
        <v>44621</v>
      </c>
      <c r="G4" s="137" t="s">
        <v>91</v>
      </c>
      <c r="H4" s="402"/>
      <c r="I4" s="402"/>
      <c r="J4" s="402"/>
    </row>
    <row r="5" spans="1:18" ht="14.25" x14ac:dyDescent="0.2">
      <c r="A5" s="138">
        <v>1</v>
      </c>
      <c r="B5" s="179" t="s">
        <v>122</v>
      </c>
      <c r="C5" s="140">
        <v>5</v>
      </c>
      <c r="D5" s="149">
        <v>4</v>
      </c>
      <c r="E5" s="180">
        <v>77464070</v>
      </c>
      <c r="F5" s="180">
        <v>77709208</v>
      </c>
      <c r="G5" s="181">
        <f t="shared" ref="G5:G68" si="0">+F5-E5</f>
        <v>245138</v>
      </c>
      <c r="H5" s="182">
        <f>ROUND((G5*M10),0)</f>
        <v>234307</v>
      </c>
      <c r="I5" s="182">
        <f>ROUND((G5*M11),0)</f>
        <v>438</v>
      </c>
      <c r="J5" s="182">
        <f>+H5-I5</f>
        <v>233869</v>
      </c>
      <c r="L5" s="183" t="s">
        <v>114</v>
      </c>
      <c r="M5" s="184">
        <f>+G105</f>
        <v>34579412</v>
      </c>
      <c r="N5" s="143"/>
      <c r="O5" s="185"/>
      <c r="R5" s="143"/>
    </row>
    <row r="6" spans="1:18" ht="24" x14ac:dyDescent="0.2">
      <c r="A6" s="138">
        <v>2</v>
      </c>
      <c r="B6" s="179" t="s">
        <v>123</v>
      </c>
      <c r="C6" s="140">
        <v>36</v>
      </c>
      <c r="D6" s="149">
        <v>28.8</v>
      </c>
      <c r="E6" s="180">
        <v>622555500</v>
      </c>
      <c r="F6" s="186">
        <v>624598672</v>
      </c>
      <c r="G6" s="181">
        <f t="shared" si="0"/>
        <v>2043172</v>
      </c>
      <c r="H6" s="182">
        <f>ROUND((G6*M10),0)</f>
        <v>1952894</v>
      </c>
      <c r="I6" s="182">
        <f>ROUND((G6*M11),0)</f>
        <v>3649</v>
      </c>
      <c r="J6" s="182">
        <f>+H6-I6</f>
        <v>1949245</v>
      </c>
      <c r="L6" s="187" t="s">
        <v>115</v>
      </c>
      <c r="M6" s="188">
        <v>33051520.000000112</v>
      </c>
      <c r="R6" s="143"/>
    </row>
    <row r="7" spans="1:18" ht="24" x14ac:dyDescent="0.2">
      <c r="A7" s="138">
        <v>3</v>
      </c>
      <c r="B7" s="179" t="s">
        <v>123</v>
      </c>
      <c r="C7" s="140">
        <v>39</v>
      </c>
      <c r="D7" s="149">
        <v>31.2</v>
      </c>
      <c r="E7" s="180">
        <v>650941139</v>
      </c>
      <c r="F7" s="186">
        <v>653011091</v>
      </c>
      <c r="G7" s="181">
        <f t="shared" si="0"/>
        <v>2069952</v>
      </c>
      <c r="H7" s="182">
        <f>ROUND((G7*M10),0)</f>
        <v>1978491</v>
      </c>
      <c r="I7" s="182">
        <f>ROUND((G7*M11),0)</f>
        <v>3697</v>
      </c>
      <c r="J7" s="182">
        <f>+H7-I7</f>
        <v>1974794</v>
      </c>
      <c r="L7" s="187" t="s">
        <v>116</v>
      </c>
      <c r="M7" s="188">
        <v>61759.999999999854</v>
      </c>
      <c r="R7" s="143"/>
    </row>
    <row r="8" spans="1:18" ht="14.25" x14ac:dyDescent="0.2">
      <c r="A8" s="138">
        <v>4</v>
      </c>
      <c r="B8" s="179" t="s">
        <v>124</v>
      </c>
      <c r="C8" s="140">
        <v>2</v>
      </c>
      <c r="D8" s="149">
        <v>1.6</v>
      </c>
      <c r="E8" s="180">
        <v>33098286</v>
      </c>
      <c r="F8" s="180">
        <v>33212494</v>
      </c>
      <c r="G8" s="181">
        <f t="shared" si="0"/>
        <v>114208</v>
      </c>
      <c r="H8" s="189">
        <f>ROUND((G8*M10),0)-1</f>
        <v>109161</v>
      </c>
      <c r="I8" s="176">
        <f>ROUND((G8*M11),0)</f>
        <v>204</v>
      </c>
      <c r="J8" s="180">
        <f t="shared" ref="J8:J71" si="1">H8-I8</f>
        <v>108957</v>
      </c>
      <c r="L8" s="187" t="s">
        <v>117</v>
      </c>
      <c r="M8" s="188">
        <f>+M6-M7</f>
        <v>32989760.000000112</v>
      </c>
      <c r="R8" s="143"/>
    </row>
    <row r="9" spans="1:18" ht="14.25" x14ac:dyDescent="0.2">
      <c r="A9" s="138">
        <v>5</v>
      </c>
      <c r="B9" s="179" t="s">
        <v>125</v>
      </c>
      <c r="C9" s="140">
        <v>2</v>
      </c>
      <c r="D9" s="149">
        <v>1.6</v>
      </c>
      <c r="E9" s="180">
        <v>31399990</v>
      </c>
      <c r="F9" s="180">
        <v>31513429</v>
      </c>
      <c r="G9" s="181">
        <f t="shared" si="0"/>
        <v>113439</v>
      </c>
      <c r="H9" s="176">
        <f>ROUND((G9*M10),0)</f>
        <v>108427</v>
      </c>
      <c r="I9" s="176">
        <f>ROUND((G9*M11),0)</f>
        <v>203</v>
      </c>
      <c r="J9" s="180">
        <f t="shared" si="1"/>
        <v>108224</v>
      </c>
      <c r="M9" s="44"/>
      <c r="R9" s="143"/>
    </row>
    <row r="10" spans="1:18" ht="14.25" x14ac:dyDescent="0.2">
      <c r="A10" s="138">
        <v>6</v>
      </c>
      <c r="B10" s="190" t="s">
        <v>126</v>
      </c>
      <c r="C10" s="140">
        <v>5</v>
      </c>
      <c r="D10" s="149">
        <v>4</v>
      </c>
      <c r="E10" s="180">
        <v>82445927</v>
      </c>
      <c r="F10" s="180">
        <v>82714524</v>
      </c>
      <c r="G10" s="181">
        <f t="shared" si="0"/>
        <v>268597</v>
      </c>
      <c r="H10" s="189">
        <f>ROUND((G10*M10),0)-1</f>
        <v>256728</v>
      </c>
      <c r="I10" s="176">
        <f>ROUND((G10*M11),0)</f>
        <v>480</v>
      </c>
      <c r="J10" s="180">
        <f t="shared" si="1"/>
        <v>256248</v>
      </c>
      <c r="L10" s="170" t="s">
        <v>118</v>
      </c>
      <c r="M10" s="171">
        <f>+M6/M5</f>
        <v>0.95581498031256606</v>
      </c>
      <c r="R10" s="143"/>
    </row>
    <row r="11" spans="1:18" ht="14.25" x14ac:dyDescent="0.2">
      <c r="A11" s="138">
        <v>7</v>
      </c>
      <c r="B11" s="179" t="s">
        <v>127</v>
      </c>
      <c r="C11" s="140">
        <v>2</v>
      </c>
      <c r="D11" s="149">
        <v>1.6</v>
      </c>
      <c r="E11" s="180">
        <v>34221272</v>
      </c>
      <c r="F11" s="180">
        <v>34333115</v>
      </c>
      <c r="G11" s="181">
        <f t="shared" si="0"/>
        <v>111843</v>
      </c>
      <c r="H11" s="176">
        <f>ROUND((G11*M10),0)</f>
        <v>106901</v>
      </c>
      <c r="I11" s="176">
        <f>ROUND((G11*M11),0)</f>
        <v>200</v>
      </c>
      <c r="J11" s="180">
        <f t="shared" si="1"/>
        <v>106701</v>
      </c>
      <c r="L11" s="170" t="s">
        <v>119</v>
      </c>
      <c r="M11" s="171">
        <f>+M7/M5</f>
        <v>1.7860338400201789E-3</v>
      </c>
      <c r="R11" s="143"/>
    </row>
    <row r="12" spans="1:18" ht="14.25" x14ac:dyDescent="0.2">
      <c r="A12" s="138">
        <v>8</v>
      </c>
      <c r="B12" s="191" t="s">
        <v>128</v>
      </c>
      <c r="C12" s="140">
        <v>1</v>
      </c>
      <c r="D12" s="149">
        <v>0.8</v>
      </c>
      <c r="E12" s="180">
        <v>15432764</v>
      </c>
      <c r="F12" s="180">
        <v>15484396</v>
      </c>
      <c r="G12" s="181">
        <f t="shared" si="0"/>
        <v>51632</v>
      </c>
      <c r="H12" s="176">
        <f>ROUND((G12*M10),0)</f>
        <v>49351</v>
      </c>
      <c r="I12" s="176">
        <f>ROUND((G12*M11),0)</f>
        <v>92</v>
      </c>
      <c r="J12" s="180">
        <f t="shared" si="1"/>
        <v>49259</v>
      </c>
      <c r="R12" s="143"/>
    </row>
    <row r="13" spans="1:18" ht="14.25" x14ac:dyDescent="0.2">
      <c r="A13" s="138">
        <v>9</v>
      </c>
      <c r="B13" s="191" t="s">
        <v>129</v>
      </c>
      <c r="C13" s="140">
        <v>1</v>
      </c>
      <c r="D13" s="149">
        <v>0.8</v>
      </c>
      <c r="E13" s="180">
        <v>15629891</v>
      </c>
      <c r="F13" s="180">
        <v>15686658</v>
      </c>
      <c r="G13" s="181">
        <f t="shared" si="0"/>
        <v>56767</v>
      </c>
      <c r="H13" s="176">
        <f>ROUND((G13*M10),0)</f>
        <v>54259</v>
      </c>
      <c r="I13" s="189">
        <f>ROUND((G13*M11),0)-1</f>
        <v>100</v>
      </c>
      <c r="J13" s="180">
        <f t="shared" si="1"/>
        <v>54159</v>
      </c>
      <c r="R13" s="143"/>
    </row>
    <row r="14" spans="1:18" x14ac:dyDescent="0.2">
      <c r="A14" s="138">
        <v>10</v>
      </c>
      <c r="B14" s="191" t="s">
        <v>127</v>
      </c>
      <c r="C14" s="140">
        <v>3</v>
      </c>
      <c r="D14" s="149">
        <v>2.4</v>
      </c>
      <c r="E14" s="182">
        <v>36920791</v>
      </c>
      <c r="F14" s="182">
        <v>37073170</v>
      </c>
      <c r="G14" s="182">
        <f t="shared" si="0"/>
        <v>152379</v>
      </c>
      <c r="H14" s="182">
        <f>ROUND((G14*M10),0)</f>
        <v>145646</v>
      </c>
      <c r="I14" s="182">
        <f>ROUND((G14*M11),0)</f>
        <v>272</v>
      </c>
      <c r="J14" s="182">
        <f t="shared" si="1"/>
        <v>145374</v>
      </c>
      <c r="R14" s="143"/>
    </row>
    <row r="15" spans="1:18" x14ac:dyDescent="0.2">
      <c r="A15" s="138">
        <v>11</v>
      </c>
      <c r="B15" s="191" t="s">
        <v>130</v>
      </c>
      <c r="C15" s="140">
        <v>1</v>
      </c>
      <c r="D15" s="149">
        <v>0.8</v>
      </c>
      <c r="E15" s="182">
        <v>12762782</v>
      </c>
      <c r="F15" s="182">
        <v>12810249</v>
      </c>
      <c r="G15" s="182">
        <f t="shared" si="0"/>
        <v>47467</v>
      </c>
      <c r="H15" s="182">
        <f>ROUND((G15*M10),0)</f>
        <v>45370</v>
      </c>
      <c r="I15" s="182">
        <f>ROUND((G15*M11),0)</f>
        <v>85</v>
      </c>
      <c r="J15" s="182">
        <f t="shared" si="1"/>
        <v>45285</v>
      </c>
      <c r="R15" s="143"/>
    </row>
    <row r="16" spans="1:18" x14ac:dyDescent="0.2">
      <c r="A16" s="138">
        <v>12</v>
      </c>
      <c r="B16" s="191" t="s">
        <v>131</v>
      </c>
      <c r="C16" s="140">
        <v>2</v>
      </c>
      <c r="D16" s="149">
        <v>1.6</v>
      </c>
      <c r="E16" s="182">
        <v>25583356</v>
      </c>
      <c r="F16" s="182">
        <v>25691722</v>
      </c>
      <c r="G16" s="182">
        <f t="shared" si="0"/>
        <v>108366</v>
      </c>
      <c r="H16" s="182">
        <f>ROUND((G16*M10),0)</f>
        <v>103578</v>
      </c>
      <c r="I16" s="192">
        <f>ROUND((G16*M11),0)-1</f>
        <v>193</v>
      </c>
      <c r="J16" s="182">
        <f t="shared" si="1"/>
        <v>103385</v>
      </c>
      <c r="R16" s="143"/>
    </row>
    <row r="17" spans="1:18" x14ac:dyDescent="0.2">
      <c r="A17" s="138">
        <v>13</v>
      </c>
      <c r="B17" s="191" t="s">
        <v>132</v>
      </c>
      <c r="C17" s="140">
        <v>1</v>
      </c>
      <c r="D17" s="149">
        <v>0.8</v>
      </c>
      <c r="E17" s="182">
        <v>13130882</v>
      </c>
      <c r="F17" s="182">
        <v>13185350</v>
      </c>
      <c r="G17" s="182">
        <f t="shared" si="0"/>
        <v>54468</v>
      </c>
      <c r="H17" s="182">
        <f>ROUND((G17*M10),0)</f>
        <v>52061</v>
      </c>
      <c r="I17" s="182">
        <f>ROUND((G17*M11),0)</f>
        <v>97</v>
      </c>
      <c r="J17" s="182">
        <f t="shared" si="1"/>
        <v>51964</v>
      </c>
      <c r="R17" s="143"/>
    </row>
    <row r="18" spans="1:18" x14ac:dyDescent="0.2">
      <c r="A18" s="138">
        <v>14</v>
      </c>
      <c r="B18" s="191" t="s">
        <v>133</v>
      </c>
      <c r="C18" s="140">
        <v>1</v>
      </c>
      <c r="D18" s="149">
        <v>0.8</v>
      </c>
      <c r="E18" s="176">
        <v>11297448</v>
      </c>
      <c r="F18" s="176">
        <v>11348841</v>
      </c>
      <c r="G18" s="176">
        <f t="shared" si="0"/>
        <v>51393</v>
      </c>
      <c r="H18" s="182">
        <f>ROUND((G18*M10),0)</f>
        <v>49122</v>
      </c>
      <c r="I18" s="182">
        <f>ROUND((G18*M11),0)</f>
        <v>92</v>
      </c>
      <c r="J18" s="182">
        <f t="shared" si="1"/>
        <v>49030</v>
      </c>
      <c r="R18" s="143"/>
    </row>
    <row r="19" spans="1:18" x14ac:dyDescent="0.2">
      <c r="A19" s="138">
        <v>15</v>
      </c>
      <c r="B19" s="191" t="s">
        <v>134</v>
      </c>
      <c r="C19" s="140">
        <v>1</v>
      </c>
      <c r="D19" s="149">
        <v>0.8</v>
      </c>
      <c r="E19" s="176">
        <v>13688400</v>
      </c>
      <c r="F19" s="176">
        <v>13745151</v>
      </c>
      <c r="G19" s="176">
        <f t="shared" si="0"/>
        <v>56751</v>
      </c>
      <c r="H19" s="182">
        <f>ROUND((G19*M10),0)</f>
        <v>54243</v>
      </c>
      <c r="I19" s="182">
        <f>ROUND((G19*M11),0)</f>
        <v>101</v>
      </c>
      <c r="J19" s="182">
        <f t="shared" si="1"/>
        <v>54142</v>
      </c>
      <c r="R19" s="143"/>
    </row>
    <row r="20" spans="1:18" x14ac:dyDescent="0.2">
      <c r="A20" s="138">
        <v>16</v>
      </c>
      <c r="B20" s="191" t="s">
        <v>135</v>
      </c>
      <c r="C20" s="140">
        <v>1</v>
      </c>
      <c r="D20" s="149">
        <v>0.8</v>
      </c>
      <c r="E20" s="182">
        <v>12698235</v>
      </c>
      <c r="F20" s="182">
        <v>12746876</v>
      </c>
      <c r="G20" s="182">
        <f t="shared" si="0"/>
        <v>48641</v>
      </c>
      <c r="H20" s="182">
        <f>ROUND((G20*M10),0)</f>
        <v>46492</v>
      </c>
      <c r="I20" s="182">
        <f>ROUND((G20*M11),0)</f>
        <v>87</v>
      </c>
      <c r="J20" s="182">
        <f t="shared" si="1"/>
        <v>46405</v>
      </c>
      <c r="R20" s="143"/>
    </row>
    <row r="21" spans="1:18" x14ac:dyDescent="0.2">
      <c r="A21" s="138">
        <v>17</v>
      </c>
      <c r="B21" s="191" t="s">
        <v>136</v>
      </c>
      <c r="C21" s="140">
        <v>1</v>
      </c>
      <c r="D21" s="149">
        <v>0.8</v>
      </c>
      <c r="E21" s="182">
        <v>12527635</v>
      </c>
      <c r="F21" s="182">
        <v>12573630</v>
      </c>
      <c r="G21" s="182">
        <f t="shared" si="0"/>
        <v>45995</v>
      </c>
      <c r="H21" s="182">
        <f>ROUND((G21*M10),0)</f>
        <v>43963</v>
      </c>
      <c r="I21" s="182">
        <f>ROUND((G21*M11),0)</f>
        <v>82</v>
      </c>
      <c r="J21" s="182">
        <f t="shared" si="1"/>
        <v>43881</v>
      </c>
      <c r="R21" s="143"/>
    </row>
    <row r="22" spans="1:18" x14ac:dyDescent="0.2">
      <c r="A22" s="138">
        <v>18</v>
      </c>
      <c r="B22" s="191" t="s">
        <v>137</v>
      </c>
      <c r="C22" s="140">
        <v>1</v>
      </c>
      <c r="D22" s="149">
        <v>0.8</v>
      </c>
      <c r="E22" s="182">
        <v>12543685</v>
      </c>
      <c r="F22" s="182">
        <v>12595512</v>
      </c>
      <c r="G22" s="182">
        <f t="shared" si="0"/>
        <v>51827</v>
      </c>
      <c r="H22" s="182">
        <f>ROUND((G22*M10),0)</f>
        <v>49537</v>
      </c>
      <c r="I22" s="182">
        <f>ROUND((G22*M11),0)</f>
        <v>93</v>
      </c>
      <c r="J22" s="182">
        <f t="shared" si="1"/>
        <v>49444</v>
      </c>
      <c r="R22" s="143"/>
    </row>
    <row r="23" spans="1:18" x14ac:dyDescent="0.2">
      <c r="A23" s="138">
        <v>19</v>
      </c>
      <c r="B23" s="191" t="s">
        <v>138</v>
      </c>
      <c r="C23" s="140">
        <v>4</v>
      </c>
      <c r="D23" s="149">
        <v>3.2</v>
      </c>
      <c r="E23" s="182">
        <v>48892944</v>
      </c>
      <c r="F23" s="182">
        <v>49106389</v>
      </c>
      <c r="G23" s="182">
        <f t="shared" si="0"/>
        <v>213445</v>
      </c>
      <c r="H23" s="182">
        <f>ROUND((G23*M10),0)</f>
        <v>204014</v>
      </c>
      <c r="I23" s="182">
        <f>ROUND((G23*M11),0)</f>
        <v>381</v>
      </c>
      <c r="J23" s="182">
        <f t="shared" si="1"/>
        <v>203633</v>
      </c>
      <c r="R23" s="143"/>
    </row>
    <row r="24" spans="1:18" x14ac:dyDescent="0.2">
      <c r="A24" s="138">
        <v>20</v>
      </c>
      <c r="B24" s="191" t="s">
        <v>139</v>
      </c>
      <c r="C24" s="140">
        <v>1</v>
      </c>
      <c r="D24" s="149">
        <v>0.8</v>
      </c>
      <c r="E24" s="182">
        <v>13189154</v>
      </c>
      <c r="F24" s="182">
        <v>13248685</v>
      </c>
      <c r="G24" s="182">
        <f t="shared" si="0"/>
        <v>59531</v>
      </c>
      <c r="H24" s="182">
        <f>ROUND((G24*M10),0)</f>
        <v>56901</v>
      </c>
      <c r="I24" s="182">
        <f>ROUND((G24*M11),0)</f>
        <v>106</v>
      </c>
      <c r="J24" s="182">
        <f t="shared" si="1"/>
        <v>56795</v>
      </c>
      <c r="R24" s="143"/>
    </row>
    <row r="25" spans="1:18" x14ac:dyDescent="0.2">
      <c r="A25" s="138">
        <v>21</v>
      </c>
      <c r="B25" s="191" t="s">
        <v>140</v>
      </c>
      <c r="C25" s="140">
        <v>1</v>
      </c>
      <c r="D25" s="149">
        <v>0.8</v>
      </c>
      <c r="E25" s="182">
        <v>12565392</v>
      </c>
      <c r="F25" s="182">
        <v>12619627</v>
      </c>
      <c r="G25" s="182">
        <f t="shared" si="0"/>
        <v>54235</v>
      </c>
      <c r="H25" s="182">
        <f>ROUND((G25*M10),0)</f>
        <v>51839</v>
      </c>
      <c r="I25" s="182">
        <f>ROUND((G25*M11),0)</f>
        <v>97</v>
      </c>
      <c r="J25" s="182">
        <f t="shared" si="1"/>
        <v>51742</v>
      </c>
      <c r="R25" s="143"/>
    </row>
    <row r="26" spans="1:18" x14ac:dyDescent="0.2">
      <c r="A26" s="138">
        <v>22</v>
      </c>
      <c r="B26" s="191" t="s">
        <v>141</v>
      </c>
      <c r="C26" s="140">
        <v>1</v>
      </c>
      <c r="D26" s="149">
        <v>0.8</v>
      </c>
      <c r="E26" s="182">
        <v>12119607</v>
      </c>
      <c r="F26" s="182">
        <v>12168571</v>
      </c>
      <c r="G26" s="182">
        <f t="shared" si="0"/>
        <v>48964</v>
      </c>
      <c r="H26" s="182">
        <f>ROUND((G26*M10),0)</f>
        <v>46801</v>
      </c>
      <c r="I26" s="182">
        <f>ROUND((G26*M11),0)</f>
        <v>87</v>
      </c>
      <c r="J26" s="182">
        <f t="shared" si="1"/>
        <v>46714</v>
      </c>
      <c r="R26" s="143"/>
    </row>
    <row r="27" spans="1:18" x14ac:dyDescent="0.2">
      <c r="A27" s="138">
        <v>23</v>
      </c>
      <c r="B27" s="191" t="s">
        <v>142</v>
      </c>
      <c r="C27" s="140">
        <v>1</v>
      </c>
      <c r="D27" s="149">
        <v>0.8</v>
      </c>
      <c r="E27" s="182">
        <v>11558466</v>
      </c>
      <c r="F27" s="182">
        <v>11605838</v>
      </c>
      <c r="G27" s="182">
        <f t="shared" si="0"/>
        <v>47372</v>
      </c>
      <c r="H27" s="182">
        <f>ROUND((G27*M10),0)</f>
        <v>45279</v>
      </c>
      <c r="I27" s="182">
        <f>ROUND((G27*M11),0)</f>
        <v>85</v>
      </c>
      <c r="J27" s="182">
        <f t="shared" si="1"/>
        <v>45194</v>
      </c>
      <c r="R27" s="143"/>
    </row>
    <row r="28" spans="1:18" x14ac:dyDescent="0.2">
      <c r="A28" s="138">
        <v>24</v>
      </c>
      <c r="B28" s="191" t="s">
        <v>143</v>
      </c>
      <c r="C28" s="140">
        <v>4</v>
      </c>
      <c r="D28" s="149">
        <v>3.2</v>
      </c>
      <c r="E28" s="182">
        <v>50428261</v>
      </c>
      <c r="F28" s="182">
        <v>50635662</v>
      </c>
      <c r="G28" s="182">
        <f t="shared" si="0"/>
        <v>207401</v>
      </c>
      <c r="H28" s="182">
        <f>ROUND((G28*M10),0)</f>
        <v>198237</v>
      </c>
      <c r="I28" s="182">
        <f>ROUND((G28*M11),0)</f>
        <v>370</v>
      </c>
      <c r="J28" s="182">
        <f t="shared" si="1"/>
        <v>197867</v>
      </c>
      <c r="R28" s="143"/>
    </row>
    <row r="29" spans="1:18" ht="24" x14ac:dyDescent="0.2">
      <c r="A29" s="138">
        <v>25</v>
      </c>
      <c r="B29" s="191" t="s">
        <v>144</v>
      </c>
      <c r="C29" s="140">
        <v>3</v>
      </c>
      <c r="D29" s="149">
        <v>2.4</v>
      </c>
      <c r="E29" s="182">
        <v>36765832</v>
      </c>
      <c r="F29" s="182">
        <v>36924524</v>
      </c>
      <c r="G29" s="182">
        <f t="shared" si="0"/>
        <v>158692</v>
      </c>
      <c r="H29" s="182">
        <f>ROUND((G29*M10),0)</f>
        <v>151680</v>
      </c>
      <c r="I29" s="182">
        <f>ROUND((G29*M11),0)</f>
        <v>283</v>
      </c>
      <c r="J29" s="182">
        <f t="shared" si="1"/>
        <v>151397</v>
      </c>
      <c r="R29" s="143"/>
    </row>
    <row r="30" spans="1:18" x14ac:dyDescent="0.2">
      <c r="A30" s="138">
        <v>26</v>
      </c>
      <c r="B30" s="191" t="s">
        <v>145</v>
      </c>
      <c r="C30" s="140">
        <v>1</v>
      </c>
      <c r="D30" s="149">
        <v>0.8</v>
      </c>
      <c r="E30" s="182">
        <v>11691153</v>
      </c>
      <c r="F30" s="182">
        <v>11745570</v>
      </c>
      <c r="G30" s="182">
        <f t="shared" si="0"/>
        <v>54417</v>
      </c>
      <c r="H30" s="182">
        <f>ROUND((G30*M10),0)</f>
        <v>52013</v>
      </c>
      <c r="I30" s="182">
        <f>ROUND((G30*M11),0)</f>
        <v>97</v>
      </c>
      <c r="J30" s="182">
        <f t="shared" si="1"/>
        <v>51916</v>
      </c>
      <c r="R30" s="143"/>
    </row>
    <row r="31" spans="1:18" ht="24" x14ac:dyDescent="0.2">
      <c r="A31" s="138">
        <v>27</v>
      </c>
      <c r="B31" s="191" t="s">
        <v>146</v>
      </c>
      <c r="C31" s="140">
        <v>2</v>
      </c>
      <c r="D31" s="149">
        <v>1.6</v>
      </c>
      <c r="E31" s="182">
        <v>23696337</v>
      </c>
      <c r="F31" s="182">
        <v>23795421</v>
      </c>
      <c r="G31" s="182">
        <f t="shared" si="0"/>
        <v>99084</v>
      </c>
      <c r="H31" s="182">
        <f>ROUND((G31*M10),0)</f>
        <v>94706</v>
      </c>
      <c r="I31" s="182">
        <f>ROUND((G31*M11),0)</f>
        <v>177</v>
      </c>
      <c r="J31" s="182">
        <f t="shared" si="1"/>
        <v>94529</v>
      </c>
      <c r="R31" s="143"/>
    </row>
    <row r="32" spans="1:18" x14ac:dyDescent="0.2">
      <c r="A32" s="138">
        <v>28</v>
      </c>
      <c r="B32" s="191" t="s">
        <v>147</v>
      </c>
      <c r="C32" s="140">
        <v>1</v>
      </c>
      <c r="D32" s="149">
        <v>0.8</v>
      </c>
      <c r="E32" s="182">
        <v>11611172</v>
      </c>
      <c r="F32" s="182">
        <v>11665119</v>
      </c>
      <c r="G32" s="182">
        <f t="shared" si="0"/>
        <v>53947</v>
      </c>
      <c r="H32" s="182">
        <f>ROUND((G32*M10),0)</f>
        <v>51563</v>
      </c>
      <c r="I32" s="182">
        <f>ROUND((G32*M11),0)</f>
        <v>96</v>
      </c>
      <c r="J32" s="182">
        <f t="shared" si="1"/>
        <v>51467</v>
      </c>
      <c r="R32" s="143"/>
    </row>
    <row r="33" spans="1:18" x14ac:dyDescent="0.2">
      <c r="A33" s="138">
        <v>29</v>
      </c>
      <c r="B33" s="191" t="s">
        <v>148</v>
      </c>
      <c r="C33" s="140">
        <v>1</v>
      </c>
      <c r="D33" s="149">
        <v>0.8</v>
      </c>
      <c r="E33" s="182">
        <v>12025535</v>
      </c>
      <c r="F33" s="182">
        <v>12080680</v>
      </c>
      <c r="G33" s="182">
        <f t="shared" si="0"/>
        <v>55145</v>
      </c>
      <c r="H33" s="182">
        <f>ROUND((G33*M10),0)</f>
        <v>52708</v>
      </c>
      <c r="I33" s="182">
        <f>ROUND((G33*M11),0)</f>
        <v>98</v>
      </c>
      <c r="J33" s="182">
        <f t="shared" si="1"/>
        <v>52610</v>
      </c>
      <c r="R33" s="143"/>
    </row>
    <row r="34" spans="1:18" x14ac:dyDescent="0.2">
      <c r="A34" s="138">
        <v>30</v>
      </c>
      <c r="B34" s="191" t="s">
        <v>149</v>
      </c>
      <c r="C34" s="140">
        <v>1</v>
      </c>
      <c r="D34" s="149">
        <v>0.8</v>
      </c>
      <c r="E34" s="182">
        <v>12212827</v>
      </c>
      <c r="F34" s="182">
        <v>12269680</v>
      </c>
      <c r="G34" s="182">
        <f t="shared" si="0"/>
        <v>56853</v>
      </c>
      <c r="H34" s="182">
        <f>ROUND((G34*M10),0)</f>
        <v>54341</v>
      </c>
      <c r="I34" s="182">
        <f>ROUND((G34*M11),0)</f>
        <v>102</v>
      </c>
      <c r="J34" s="182">
        <f t="shared" si="1"/>
        <v>54239</v>
      </c>
      <c r="R34" s="143"/>
    </row>
    <row r="35" spans="1:18" x14ac:dyDescent="0.2">
      <c r="A35" s="138">
        <v>31</v>
      </c>
      <c r="B35" s="190" t="s">
        <v>126</v>
      </c>
      <c r="C35" s="140">
        <v>3</v>
      </c>
      <c r="D35" s="149">
        <v>2.4</v>
      </c>
      <c r="E35" s="182">
        <v>36875610</v>
      </c>
      <c r="F35" s="182">
        <v>37033686</v>
      </c>
      <c r="G35" s="182">
        <f t="shared" si="0"/>
        <v>158076</v>
      </c>
      <c r="H35" s="182">
        <f>ROUND((G35*M10),0)</f>
        <v>151091</v>
      </c>
      <c r="I35" s="182">
        <f>ROUND((G35*M11),0)</f>
        <v>282</v>
      </c>
      <c r="J35" s="182">
        <f t="shared" si="1"/>
        <v>150809</v>
      </c>
      <c r="R35" s="143"/>
    </row>
    <row r="36" spans="1:18" x14ac:dyDescent="0.2">
      <c r="A36" s="138">
        <v>32</v>
      </c>
      <c r="B36" s="190" t="s">
        <v>126</v>
      </c>
      <c r="C36" s="140">
        <v>5</v>
      </c>
      <c r="D36" s="149">
        <v>4</v>
      </c>
      <c r="E36" s="182">
        <v>57317215</v>
      </c>
      <c r="F36" s="182">
        <v>57582846</v>
      </c>
      <c r="G36" s="182">
        <f t="shared" si="0"/>
        <v>265631</v>
      </c>
      <c r="H36" s="182">
        <f>ROUND((G36*M10),0)</f>
        <v>253894</v>
      </c>
      <c r="I36" s="182">
        <f>ROUND((G36*M11),0)</f>
        <v>474</v>
      </c>
      <c r="J36" s="182">
        <f t="shared" si="1"/>
        <v>253420</v>
      </c>
      <c r="R36" s="143"/>
    </row>
    <row r="37" spans="1:18" x14ac:dyDescent="0.2">
      <c r="A37" s="138">
        <v>33</v>
      </c>
      <c r="B37" s="190" t="s">
        <v>150</v>
      </c>
      <c r="C37" s="140">
        <v>30</v>
      </c>
      <c r="D37" s="149">
        <v>24</v>
      </c>
      <c r="E37" s="182">
        <v>347395210</v>
      </c>
      <c r="F37" s="182">
        <v>349035907</v>
      </c>
      <c r="G37" s="182">
        <f t="shared" si="0"/>
        <v>1640697</v>
      </c>
      <c r="H37" s="182">
        <f>ROUND((G37*M10),0)</f>
        <v>1568203</v>
      </c>
      <c r="I37" s="182">
        <f>ROUND((G37*M11),0)</f>
        <v>2930</v>
      </c>
      <c r="J37" s="182">
        <f t="shared" si="1"/>
        <v>1565273</v>
      </c>
      <c r="R37" s="143"/>
    </row>
    <row r="38" spans="1:18" x14ac:dyDescent="0.2">
      <c r="A38" s="138">
        <v>34</v>
      </c>
      <c r="B38" s="190" t="s">
        <v>151</v>
      </c>
      <c r="C38" s="140">
        <v>1</v>
      </c>
      <c r="D38" s="149">
        <v>0.8</v>
      </c>
      <c r="E38" s="182">
        <v>12686207</v>
      </c>
      <c r="F38" s="182">
        <v>12746304</v>
      </c>
      <c r="G38" s="182">
        <f t="shared" si="0"/>
        <v>60097</v>
      </c>
      <c r="H38" s="182">
        <f>ROUND((G38*M10),0)</f>
        <v>57442</v>
      </c>
      <c r="I38" s="182">
        <f>ROUND((G38*M11),0)</f>
        <v>107</v>
      </c>
      <c r="J38" s="182">
        <f t="shared" si="1"/>
        <v>57335</v>
      </c>
      <c r="R38" s="143"/>
    </row>
    <row r="39" spans="1:18" x14ac:dyDescent="0.2">
      <c r="A39" s="138">
        <v>35</v>
      </c>
      <c r="B39" s="190" t="s">
        <v>152</v>
      </c>
      <c r="C39" s="140">
        <v>1</v>
      </c>
      <c r="D39" s="149">
        <v>0.8</v>
      </c>
      <c r="E39" s="182">
        <v>11882274</v>
      </c>
      <c r="F39" s="182">
        <v>11936755</v>
      </c>
      <c r="G39" s="182">
        <f t="shared" si="0"/>
        <v>54481</v>
      </c>
      <c r="H39" s="182">
        <f>ROUND((G39*M10),0)</f>
        <v>52074</v>
      </c>
      <c r="I39" s="182">
        <f>ROUND((G39*M11),0)</f>
        <v>97</v>
      </c>
      <c r="J39" s="182">
        <f t="shared" si="1"/>
        <v>51977</v>
      </c>
      <c r="R39" s="143"/>
    </row>
    <row r="40" spans="1:18" x14ac:dyDescent="0.2">
      <c r="A40" s="138">
        <v>36</v>
      </c>
      <c r="B40" s="190" t="s">
        <v>153</v>
      </c>
      <c r="C40" s="140">
        <v>1</v>
      </c>
      <c r="D40" s="149">
        <v>0.8</v>
      </c>
      <c r="E40" s="182">
        <v>12595781</v>
      </c>
      <c r="F40" s="182">
        <v>12650322</v>
      </c>
      <c r="G40" s="182">
        <f t="shared" si="0"/>
        <v>54541</v>
      </c>
      <c r="H40" s="182">
        <f>ROUND((G40*M10),0)</f>
        <v>52131</v>
      </c>
      <c r="I40" s="182">
        <f>ROUND((G40*M11),0)</f>
        <v>97</v>
      </c>
      <c r="J40" s="182">
        <f t="shared" si="1"/>
        <v>52034</v>
      </c>
      <c r="R40" s="143"/>
    </row>
    <row r="41" spans="1:18" x14ac:dyDescent="0.2">
      <c r="A41" s="138">
        <v>37</v>
      </c>
      <c r="B41" s="190" t="s">
        <v>154</v>
      </c>
      <c r="C41" s="140">
        <v>1</v>
      </c>
      <c r="D41" s="149">
        <v>0.8</v>
      </c>
      <c r="E41" s="182">
        <v>12197664</v>
      </c>
      <c r="F41" s="182">
        <v>12255063</v>
      </c>
      <c r="G41" s="182">
        <f t="shared" si="0"/>
        <v>57399</v>
      </c>
      <c r="H41" s="182">
        <f>ROUND((G41*M10),0)</f>
        <v>54863</v>
      </c>
      <c r="I41" s="182">
        <f>ROUND((G41*M11),0)</f>
        <v>103</v>
      </c>
      <c r="J41" s="182">
        <f t="shared" si="1"/>
        <v>54760</v>
      </c>
      <c r="R41" s="143"/>
    </row>
    <row r="42" spans="1:18" x14ac:dyDescent="0.2">
      <c r="A42" s="138">
        <v>38</v>
      </c>
      <c r="B42" s="190" t="s">
        <v>155</v>
      </c>
      <c r="C42" s="140">
        <v>1</v>
      </c>
      <c r="D42" s="149">
        <v>0.8</v>
      </c>
      <c r="E42" s="182">
        <v>11829624</v>
      </c>
      <c r="F42" s="182">
        <v>11877925</v>
      </c>
      <c r="G42" s="182">
        <f t="shared" si="0"/>
        <v>48301</v>
      </c>
      <c r="H42" s="182">
        <f>ROUND((G42*M10),0)</f>
        <v>46167</v>
      </c>
      <c r="I42" s="182">
        <f>ROUND((G42*M11),0)</f>
        <v>86</v>
      </c>
      <c r="J42" s="182">
        <f t="shared" si="1"/>
        <v>46081</v>
      </c>
      <c r="R42" s="143"/>
    </row>
    <row r="43" spans="1:18" x14ac:dyDescent="0.2">
      <c r="A43" s="138">
        <v>39</v>
      </c>
      <c r="B43" s="190" t="s">
        <v>156</v>
      </c>
      <c r="C43" s="140">
        <v>1</v>
      </c>
      <c r="D43" s="149">
        <v>0.8</v>
      </c>
      <c r="E43" s="182">
        <v>12452886</v>
      </c>
      <c r="F43" s="182">
        <v>12514197</v>
      </c>
      <c r="G43" s="182">
        <f t="shared" si="0"/>
        <v>61311</v>
      </c>
      <c r="H43" s="182">
        <f>ROUND((G43*M10),0)</f>
        <v>58602</v>
      </c>
      <c r="I43" s="182">
        <f>ROUND((G43*M11),0)</f>
        <v>110</v>
      </c>
      <c r="J43" s="182">
        <f t="shared" si="1"/>
        <v>58492</v>
      </c>
      <c r="R43" s="143"/>
    </row>
    <row r="44" spans="1:18" x14ac:dyDescent="0.2">
      <c r="A44" s="138">
        <v>40</v>
      </c>
      <c r="B44" s="190" t="s">
        <v>157</v>
      </c>
      <c r="C44" s="140">
        <v>1</v>
      </c>
      <c r="D44" s="149">
        <v>0.8</v>
      </c>
      <c r="E44" s="182">
        <v>13082495</v>
      </c>
      <c r="F44" s="182">
        <v>13144911</v>
      </c>
      <c r="G44" s="182">
        <f t="shared" si="0"/>
        <v>62416</v>
      </c>
      <c r="H44" s="182">
        <f>ROUND((G44*M10),0)</f>
        <v>59658</v>
      </c>
      <c r="I44" s="182">
        <f>ROUND((G44*M11),0)</f>
        <v>111</v>
      </c>
      <c r="J44" s="182">
        <f t="shared" si="1"/>
        <v>59547</v>
      </c>
      <c r="R44" s="143"/>
    </row>
    <row r="45" spans="1:18" x14ac:dyDescent="0.2">
      <c r="A45" s="138">
        <v>41</v>
      </c>
      <c r="B45" s="190" t="s">
        <v>158</v>
      </c>
      <c r="C45" s="140">
        <v>1</v>
      </c>
      <c r="D45" s="149">
        <v>0.8</v>
      </c>
      <c r="E45" s="182">
        <v>12184466</v>
      </c>
      <c r="F45" s="182">
        <v>12242009</v>
      </c>
      <c r="G45" s="182">
        <f t="shared" si="0"/>
        <v>57543</v>
      </c>
      <c r="H45" s="182">
        <f>ROUND((G45*M10),0)</f>
        <v>55000</v>
      </c>
      <c r="I45" s="182">
        <f>ROUND((G45*M11),0)</f>
        <v>103</v>
      </c>
      <c r="J45" s="182">
        <f t="shared" si="1"/>
        <v>54897</v>
      </c>
      <c r="R45" s="143"/>
    </row>
    <row r="46" spans="1:18" x14ac:dyDescent="0.2">
      <c r="A46" s="138">
        <v>42</v>
      </c>
      <c r="B46" s="190" t="s">
        <v>159</v>
      </c>
      <c r="C46" s="140">
        <v>1</v>
      </c>
      <c r="D46" s="149">
        <v>0.8</v>
      </c>
      <c r="E46" s="182">
        <v>12449740</v>
      </c>
      <c r="F46" s="182">
        <v>12506926</v>
      </c>
      <c r="G46" s="182">
        <f t="shared" si="0"/>
        <v>57186</v>
      </c>
      <c r="H46" s="182">
        <f>ROUND((G46*M10),0)</f>
        <v>54659</v>
      </c>
      <c r="I46" s="182">
        <f>ROUND((G46*M11),0)</f>
        <v>102</v>
      </c>
      <c r="J46" s="182">
        <f t="shared" si="1"/>
        <v>54557</v>
      </c>
      <c r="R46" s="143"/>
    </row>
    <row r="47" spans="1:18" x14ac:dyDescent="0.2">
      <c r="A47" s="138">
        <v>43</v>
      </c>
      <c r="B47" s="190" t="s">
        <v>160</v>
      </c>
      <c r="C47" s="140">
        <v>1</v>
      </c>
      <c r="D47" s="149">
        <v>0.8</v>
      </c>
      <c r="E47" s="182">
        <v>12717806</v>
      </c>
      <c r="F47" s="182">
        <v>12776926</v>
      </c>
      <c r="G47" s="182">
        <f t="shared" si="0"/>
        <v>59120</v>
      </c>
      <c r="H47" s="182">
        <f>ROUND((G47*M10),0)</f>
        <v>56508</v>
      </c>
      <c r="I47" s="182">
        <f>ROUND((G47*M11),0)</f>
        <v>106</v>
      </c>
      <c r="J47" s="182">
        <f t="shared" si="1"/>
        <v>56402</v>
      </c>
      <c r="R47" s="143"/>
    </row>
    <row r="48" spans="1:18" ht="25.5" x14ac:dyDescent="0.2">
      <c r="A48" s="138">
        <v>44</v>
      </c>
      <c r="B48" s="193" t="s">
        <v>161</v>
      </c>
      <c r="C48" s="140">
        <v>1</v>
      </c>
      <c r="D48" s="149">
        <v>0.8</v>
      </c>
      <c r="E48" s="182">
        <v>12771767</v>
      </c>
      <c r="F48" s="182">
        <v>12829189</v>
      </c>
      <c r="G48" s="182">
        <f t="shared" si="0"/>
        <v>57422</v>
      </c>
      <c r="H48" s="182">
        <f>ROUND((G48*M10),0)</f>
        <v>54885</v>
      </c>
      <c r="I48" s="182">
        <f>ROUND((G48*M11),0)</f>
        <v>103</v>
      </c>
      <c r="J48" s="182">
        <f t="shared" si="1"/>
        <v>54782</v>
      </c>
      <c r="R48" s="143"/>
    </row>
    <row r="49" spans="1:18" x14ac:dyDescent="0.2">
      <c r="A49" s="138">
        <v>45</v>
      </c>
      <c r="B49" s="190" t="s">
        <v>162</v>
      </c>
      <c r="C49" s="140">
        <v>1</v>
      </c>
      <c r="D49" s="149">
        <v>0.8</v>
      </c>
      <c r="E49" s="182">
        <v>11244223</v>
      </c>
      <c r="F49" s="182">
        <v>11295190</v>
      </c>
      <c r="G49" s="182">
        <f t="shared" si="0"/>
        <v>50967</v>
      </c>
      <c r="H49" s="182">
        <f>ROUND((G49*M10),0)</f>
        <v>48715</v>
      </c>
      <c r="I49" s="182">
        <f>ROUND((G49*M11),0)</f>
        <v>91</v>
      </c>
      <c r="J49" s="182">
        <f t="shared" si="1"/>
        <v>48624</v>
      </c>
      <c r="R49" s="143"/>
    </row>
    <row r="50" spans="1:18" x14ac:dyDescent="0.2">
      <c r="A50" s="138">
        <v>46</v>
      </c>
      <c r="B50" s="190" t="s">
        <v>163</v>
      </c>
      <c r="C50" s="140">
        <v>2</v>
      </c>
      <c r="D50" s="149">
        <v>1.6</v>
      </c>
      <c r="E50" s="182">
        <v>24485135</v>
      </c>
      <c r="F50" s="182">
        <v>24597894</v>
      </c>
      <c r="G50" s="182">
        <f t="shared" si="0"/>
        <v>112759</v>
      </c>
      <c r="H50" s="182">
        <f>ROUND((G50*M10),0)</f>
        <v>107777</v>
      </c>
      <c r="I50" s="182">
        <f>ROUND((G50*M11),0)</f>
        <v>201</v>
      </c>
      <c r="J50" s="182">
        <f t="shared" si="1"/>
        <v>107576</v>
      </c>
      <c r="R50" s="143"/>
    </row>
    <row r="51" spans="1:18" s="196" customFormat="1" ht="25.5" x14ac:dyDescent="0.2">
      <c r="A51" s="138">
        <v>47</v>
      </c>
      <c r="B51" s="194" t="s">
        <v>164</v>
      </c>
      <c r="C51" s="149">
        <v>2</v>
      </c>
      <c r="D51" s="149">
        <v>1.6</v>
      </c>
      <c r="E51" s="195">
        <v>23510346</v>
      </c>
      <c r="F51" s="195">
        <v>23623803</v>
      </c>
      <c r="G51" s="195">
        <f t="shared" si="0"/>
        <v>113457</v>
      </c>
      <c r="H51" s="195">
        <f>ROUND((G51*M10),0)</f>
        <v>108444</v>
      </c>
      <c r="I51" s="195">
        <f>ROUND((G51*M11),0)</f>
        <v>203</v>
      </c>
      <c r="J51" s="195">
        <f t="shared" si="1"/>
        <v>108241</v>
      </c>
      <c r="Q51" s="42"/>
      <c r="R51" s="143"/>
    </row>
    <row r="52" spans="1:18" x14ac:dyDescent="0.2">
      <c r="A52" s="138">
        <v>48</v>
      </c>
      <c r="B52" s="190" t="s">
        <v>165</v>
      </c>
      <c r="C52" s="140">
        <v>1</v>
      </c>
      <c r="D52" s="149">
        <v>0.8</v>
      </c>
      <c r="E52" s="182">
        <v>12335478</v>
      </c>
      <c r="F52" s="182">
        <v>12402836</v>
      </c>
      <c r="G52" s="182">
        <f t="shared" si="0"/>
        <v>67358</v>
      </c>
      <c r="H52" s="182">
        <f>ROUND((G52*M10),0)</f>
        <v>64382</v>
      </c>
      <c r="I52" s="182">
        <f>ROUND((G52*M11),0)</f>
        <v>120</v>
      </c>
      <c r="J52" s="182">
        <f t="shared" si="1"/>
        <v>64262</v>
      </c>
      <c r="R52" s="143"/>
    </row>
    <row r="53" spans="1:18" x14ac:dyDescent="0.2">
      <c r="A53" s="138">
        <v>49</v>
      </c>
      <c r="B53" s="190" t="s">
        <v>166</v>
      </c>
      <c r="C53" s="140">
        <v>1</v>
      </c>
      <c r="D53" s="149">
        <v>0.8</v>
      </c>
      <c r="E53" s="182">
        <v>12418164</v>
      </c>
      <c r="F53" s="182">
        <v>12477801</v>
      </c>
      <c r="G53" s="182">
        <f t="shared" si="0"/>
        <v>59637</v>
      </c>
      <c r="H53" s="182">
        <f>ROUND((G53*M10),0)</f>
        <v>57002</v>
      </c>
      <c r="I53" s="182">
        <f>ROUND((G53*M11),0)</f>
        <v>107</v>
      </c>
      <c r="J53" s="182">
        <f t="shared" si="1"/>
        <v>56895</v>
      </c>
      <c r="R53" s="143"/>
    </row>
    <row r="54" spans="1:18" x14ac:dyDescent="0.2">
      <c r="A54" s="138">
        <v>50</v>
      </c>
      <c r="B54" s="190" t="s">
        <v>167</v>
      </c>
      <c r="C54" s="140">
        <v>1</v>
      </c>
      <c r="D54" s="149">
        <v>0.8</v>
      </c>
      <c r="E54" s="182">
        <v>12740808</v>
      </c>
      <c r="F54" s="182">
        <v>12804969</v>
      </c>
      <c r="G54" s="182">
        <f t="shared" si="0"/>
        <v>64161</v>
      </c>
      <c r="H54" s="182">
        <f>ROUND((G54*M10),0)</f>
        <v>61326</v>
      </c>
      <c r="I54" s="182">
        <f>ROUND((G54*M11),0)</f>
        <v>115</v>
      </c>
      <c r="J54" s="182">
        <f t="shared" si="1"/>
        <v>61211</v>
      </c>
      <c r="R54" s="143"/>
    </row>
    <row r="55" spans="1:18" x14ac:dyDescent="0.2">
      <c r="A55" s="138">
        <v>51</v>
      </c>
      <c r="B55" s="190" t="s">
        <v>168</v>
      </c>
      <c r="C55" s="140">
        <v>2</v>
      </c>
      <c r="D55" s="149">
        <v>1.6</v>
      </c>
      <c r="E55" s="176">
        <v>25111477</v>
      </c>
      <c r="F55" s="176">
        <v>25247913</v>
      </c>
      <c r="G55" s="182">
        <f t="shared" si="0"/>
        <v>136436</v>
      </c>
      <c r="H55" s="182">
        <f>ROUND((G55*M10),0)</f>
        <v>130408</v>
      </c>
      <c r="I55" s="182">
        <f>ROUND((G55*M11),0)</f>
        <v>244</v>
      </c>
      <c r="J55" s="182">
        <f t="shared" si="1"/>
        <v>130164</v>
      </c>
      <c r="R55" s="143"/>
    </row>
    <row r="56" spans="1:18" x14ac:dyDescent="0.2">
      <c r="A56" s="138">
        <v>52</v>
      </c>
      <c r="B56" s="190" t="s">
        <v>169</v>
      </c>
      <c r="C56" s="140">
        <v>1</v>
      </c>
      <c r="D56" s="149">
        <v>0.8</v>
      </c>
      <c r="E56" s="182">
        <v>11983884</v>
      </c>
      <c r="F56" s="182">
        <v>12047737</v>
      </c>
      <c r="G56" s="182">
        <f t="shared" si="0"/>
        <v>63853</v>
      </c>
      <c r="H56" s="182">
        <f>ROUND((G56*M10),0)</f>
        <v>61032</v>
      </c>
      <c r="I56" s="182">
        <f>ROUND((G56*M11),0)</f>
        <v>114</v>
      </c>
      <c r="J56" s="182">
        <f t="shared" si="1"/>
        <v>60918</v>
      </c>
      <c r="R56" s="143"/>
    </row>
    <row r="57" spans="1:18" x14ac:dyDescent="0.2">
      <c r="A57" s="138">
        <v>53</v>
      </c>
      <c r="B57" s="190" t="s">
        <v>170</v>
      </c>
      <c r="C57" s="140">
        <v>1</v>
      </c>
      <c r="D57" s="149">
        <v>0.8</v>
      </c>
      <c r="E57" s="182">
        <v>12160971</v>
      </c>
      <c r="F57" s="182">
        <v>12224712</v>
      </c>
      <c r="G57" s="182">
        <f t="shared" si="0"/>
        <v>63741</v>
      </c>
      <c r="H57" s="182">
        <f>ROUND((G57*M10),0)</f>
        <v>60925</v>
      </c>
      <c r="I57" s="182">
        <f>ROUND((G57*M11),0)</f>
        <v>114</v>
      </c>
      <c r="J57" s="182">
        <f t="shared" si="1"/>
        <v>60811</v>
      </c>
      <c r="R57" s="143"/>
    </row>
    <row r="58" spans="1:18" x14ac:dyDescent="0.2">
      <c r="A58" s="138">
        <v>54</v>
      </c>
      <c r="B58" s="190" t="s">
        <v>171</v>
      </c>
      <c r="C58" s="140">
        <v>1</v>
      </c>
      <c r="D58" s="149">
        <v>0.8</v>
      </c>
      <c r="E58" s="182">
        <v>12297125</v>
      </c>
      <c r="F58" s="182">
        <v>12368362</v>
      </c>
      <c r="G58" s="182">
        <f t="shared" si="0"/>
        <v>71237</v>
      </c>
      <c r="H58" s="182">
        <f>ROUND((G58*M10),0)</f>
        <v>68089</v>
      </c>
      <c r="I58" s="182">
        <f>ROUND((G58*M11),0)</f>
        <v>127</v>
      </c>
      <c r="J58" s="182">
        <f t="shared" si="1"/>
        <v>67962</v>
      </c>
      <c r="R58" s="143"/>
    </row>
    <row r="59" spans="1:18" x14ac:dyDescent="0.2">
      <c r="A59" s="138">
        <v>55</v>
      </c>
      <c r="B59" s="190" t="s">
        <v>172</v>
      </c>
      <c r="C59" s="140">
        <v>1</v>
      </c>
      <c r="D59" s="149">
        <v>0.8</v>
      </c>
      <c r="E59" s="182">
        <v>13229009</v>
      </c>
      <c r="F59" s="182">
        <v>13297483</v>
      </c>
      <c r="G59" s="182">
        <f t="shared" si="0"/>
        <v>68474</v>
      </c>
      <c r="H59" s="182">
        <f>ROUND((G59*M10),0)</f>
        <v>65448</v>
      </c>
      <c r="I59" s="182">
        <f>ROUND((G59*M11),0)</f>
        <v>122</v>
      </c>
      <c r="J59" s="182">
        <f t="shared" si="1"/>
        <v>65326</v>
      </c>
      <c r="R59" s="143"/>
    </row>
    <row r="60" spans="1:18" x14ac:dyDescent="0.2">
      <c r="A60" s="138">
        <v>56</v>
      </c>
      <c r="B60" s="190" t="s">
        <v>173</v>
      </c>
      <c r="C60" s="140">
        <v>1</v>
      </c>
      <c r="D60" s="149">
        <v>0.8</v>
      </c>
      <c r="E60" s="182">
        <v>12641944</v>
      </c>
      <c r="F60" s="182">
        <v>12714595</v>
      </c>
      <c r="G60" s="182">
        <f t="shared" si="0"/>
        <v>72651</v>
      </c>
      <c r="H60" s="182">
        <f>ROUND((G60*M10),0)</f>
        <v>69441</v>
      </c>
      <c r="I60" s="182">
        <f>ROUND((G60*M11),0)</f>
        <v>130</v>
      </c>
      <c r="J60" s="182">
        <f t="shared" si="1"/>
        <v>69311</v>
      </c>
      <c r="R60" s="143"/>
    </row>
    <row r="61" spans="1:18" x14ac:dyDescent="0.2">
      <c r="A61" s="138">
        <v>57</v>
      </c>
      <c r="B61" s="190" t="s">
        <v>174</v>
      </c>
      <c r="C61" s="140">
        <v>1</v>
      </c>
      <c r="D61" s="149">
        <v>0.8</v>
      </c>
      <c r="E61" s="182">
        <v>12283531</v>
      </c>
      <c r="F61" s="182">
        <v>12352169</v>
      </c>
      <c r="G61" s="182">
        <f t="shared" si="0"/>
        <v>68638</v>
      </c>
      <c r="H61" s="182">
        <f>ROUND((G61*M10),0)</f>
        <v>65605</v>
      </c>
      <c r="I61" s="182">
        <f>ROUND((G61*M11),0)</f>
        <v>123</v>
      </c>
      <c r="J61" s="182">
        <f t="shared" si="1"/>
        <v>65482</v>
      </c>
      <c r="R61" s="143"/>
    </row>
    <row r="62" spans="1:18" x14ac:dyDescent="0.2">
      <c r="A62" s="138">
        <v>58</v>
      </c>
      <c r="B62" s="190" t="s">
        <v>175</v>
      </c>
      <c r="C62" s="140">
        <v>1</v>
      </c>
      <c r="D62" s="149">
        <v>0.8</v>
      </c>
      <c r="E62" s="182">
        <v>12553370</v>
      </c>
      <c r="F62" s="182">
        <v>12617731</v>
      </c>
      <c r="G62" s="182">
        <f t="shared" si="0"/>
        <v>64361</v>
      </c>
      <c r="H62" s="182">
        <f>ROUND((G62*M10),0)</f>
        <v>61517</v>
      </c>
      <c r="I62" s="182">
        <f>ROUND((G62*M11),0)</f>
        <v>115</v>
      </c>
      <c r="J62" s="182">
        <f t="shared" si="1"/>
        <v>61402</v>
      </c>
      <c r="R62" s="143"/>
    </row>
    <row r="63" spans="1:18" ht="24" x14ac:dyDescent="0.2">
      <c r="A63" s="138">
        <v>59</v>
      </c>
      <c r="B63" s="197" t="s">
        <v>176</v>
      </c>
      <c r="C63" s="140">
        <v>3</v>
      </c>
      <c r="D63" s="149">
        <v>2.4</v>
      </c>
      <c r="E63" s="182">
        <v>36356550</v>
      </c>
      <c r="F63" s="182">
        <v>36545768</v>
      </c>
      <c r="G63" s="182">
        <f t="shared" si="0"/>
        <v>189218</v>
      </c>
      <c r="H63" s="182">
        <f>ROUND((G63*M10),0)</f>
        <v>180857</v>
      </c>
      <c r="I63" s="182">
        <f>ROUND((G63*M11),0)</f>
        <v>338</v>
      </c>
      <c r="J63" s="182">
        <f t="shared" si="1"/>
        <v>180519</v>
      </c>
      <c r="R63" s="143"/>
    </row>
    <row r="64" spans="1:18" x14ac:dyDescent="0.2">
      <c r="A64" s="138">
        <v>60</v>
      </c>
      <c r="B64" s="198" t="s">
        <v>177</v>
      </c>
      <c r="C64" s="140">
        <v>8</v>
      </c>
      <c r="D64" s="149">
        <v>6.4</v>
      </c>
      <c r="E64" s="182">
        <v>100544042</v>
      </c>
      <c r="F64" s="182">
        <v>101089881</v>
      </c>
      <c r="G64" s="182">
        <f t="shared" si="0"/>
        <v>545839</v>
      </c>
      <c r="H64" s="182">
        <f>ROUND((G64*M10),0)</f>
        <v>521721</v>
      </c>
      <c r="I64" s="182">
        <f>ROUND((G64*M11),0)</f>
        <v>975</v>
      </c>
      <c r="J64" s="182">
        <f t="shared" si="1"/>
        <v>520746</v>
      </c>
      <c r="R64" s="143"/>
    </row>
    <row r="65" spans="1:18" x14ac:dyDescent="0.2">
      <c r="A65" s="138">
        <v>61</v>
      </c>
      <c r="B65" s="198" t="s">
        <v>178</v>
      </c>
      <c r="C65" s="140">
        <v>1</v>
      </c>
      <c r="D65" s="149">
        <v>0.8</v>
      </c>
      <c r="E65" s="182">
        <v>13206759</v>
      </c>
      <c r="F65" s="182">
        <v>13278324</v>
      </c>
      <c r="G65" s="182">
        <f t="shared" si="0"/>
        <v>71565</v>
      </c>
      <c r="H65" s="182">
        <f>ROUND((G65*M10),0)</f>
        <v>68403</v>
      </c>
      <c r="I65" s="182">
        <f>ROUND((G65*M11),0)</f>
        <v>128</v>
      </c>
      <c r="J65" s="182">
        <f t="shared" si="1"/>
        <v>68275</v>
      </c>
      <c r="R65" s="143"/>
    </row>
    <row r="66" spans="1:18" ht="25.5" x14ac:dyDescent="0.2">
      <c r="A66" s="149">
        <v>62</v>
      </c>
      <c r="B66" s="199" t="s">
        <v>179</v>
      </c>
      <c r="C66" s="140">
        <v>20</v>
      </c>
      <c r="D66" s="149">
        <v>16</v>
      </c>
      <c r="E66" s="182">
        <v>239197083</v>
      </c>
      <c r="F66" s="182">
        <v>240293580</v>
      </c>
      <c r="G66" s="182">
        <f t="shared" si="0"/>
        <v>1096497</v>
      </c>
      <c r="H66" s="182">
        <f>ROUND((G66*M10),0)</f>
        <v>1048048</v>
      </c>
      <c r="I66" s="182">
        <f>ROUND((G66*M11),0)</f>
        <v>1958</v>
      </c>
      <c r="J66" s="182">
        <f t="shared" si="1"/>
        <v>1046090</v>
      </c>
      <c r="R66" s="143"/>
    </row>
    <row r="67" spans="1:18" x14ac:dyDescent="0.2">
      <c r="A67" s="149">
        <v>63</v>
      </c>
      <c r="B67" s="200" t="s">
        <v>112</v>
      </c>
      <c r="C67" s="140">
        <v>5</v>
      </c>
      <c r="D67" s="149">
        <v>4</v>
      </c>
      <c r="E67" s="182">
        <v>62195780</v>
      </c>
      <c r="F67" s="182">
        <v>62498669</v>
      </c>
      <c r="G67" s="232">
        <f t="shared" si="0"/>
        <v>302889</v>
      </c>
      <c r="H67" s="231">
        <f>ROUND((G67*M10),0)</f>
        <v>289506</v>
      </c>
      <c r="I67" s="182">
        <f>ROUND((G67*M11),0)</f>
        <v>541</v>
      </c>
      <c r="J67" s="182">
        <f t="shared" si="1"/>
        <v>288965</v>
      </c>
      <c r="R67" s="143"/>
    </row>
    <row r="68" spans="1:18" x14ac:dyDescent="0.2">
      <c r="A68" s="149">
        <v>64</v>
      </c>
      <c r="B68" s="198" t="s">
        <v>180</v>
      </c>
      <c r="C68" s="140">
        <v>5</v>
      </c>
      <c r="D68" s="149">
        <v>4</v>
      </c>
      <c r="E68" s="182">
        <v>59557352</v>
      </c>
      <c r="F68" s="182">
        <v>59884971</v>
      </c>
      <c r="G68" s="182">
        <f t="shared" si="0"/>
        <v>327619</v>
      </c>
      <c r="H68" s="182">
        <f>ROUND((G68*M10),0)</f>
        <v>313143</v>
      </c>
      <c r="I68" s="182">
        <f>ROUND((G68*M11),0)</f>
        <v>585</v>
      </c>
      <c r="J68" s="182">
        <f t="shared" si="1"/>
        <v>312558</v>
      </c>
      <c r="R68" s="143"/>
    </row>
    <row r="69" spans="1:18" s="151" customFormat="1" ht="25.5" x14ac:dyDescent="0.2">
      <c r="A69" s="149">
        <v>65</v>
      </c>
      <c r="B69" s="201" t="s">
        <v>179</v>
      </c>
      <c r="C69" s="140">
        <v>12</v>
      </c>
      <c r="D69" s="149">
        <v>9.6</v>
      </c>
      <c r="E69" s="202">
        <v>160993427</v>
      </c>
      <c r="F69" s="202">
        <v>161800821</v>
      </c>
      <c r="G69" s="202">
        <f>+F69-E69</f>
        <v>807394</v>
      </c>
      <c r="H69" s="202">
        <f>ROUND((G69*M10),0)</f>
        <v>771719</v>
      </c>
      <c r="I69" s="202">
        <f>ROUND((G69*M11),0)</f>
        <v>1442</v>
      </c>
      <c r="J69" s="202">
        <f t="shared" si="1"/>
        <v>770277</v>
      </c>
      <c r="R69" s="203"/>
    </row>
    <row r="70" spans="1:18" s="151" customFormat="1" ht="25.5" x14ac:dyDescent="0.2">
      <c r="A70" s="149">
        <v>66</v>
      </c>
      <c r="B70" s="201" t="s">
        <v>179</v>
      </c>
      <c r="C70" s="140">
        <v>16</v>
      </c>
      <c r="D70" s="149">
        <v>12.8</v>
      </c>
      <c r="E70" s="202">
        <v>205337624</v>
      </c>
      <c r="F70" s="202">
        <v>206295105</v>
      </c>
      <c r="G70" s="202">
        <f>+F70-E70</f>
        <v>957481</v>
      </c>
      <c r="H70" s="202">
        <f>ROUND((G70*M10),0)</f>
        <v>915175</v>
      </c>
      <c r="I70" s="202">
        <f>ROUND((G70*M11),0)</f>
        <v>1710</v>
      </c>
      <c r="J70" s="202">
        <f t="shared" si="1"/>
        <v>913465</v>
      </c>
      <c r="R70" s="203"/>
    </row>
    <row r="71" spans="1:18" x14ac:dyDescent="0.2">
      <c r="A71" s="138">
        <v>67</v>
      </c>
      <c r="B71" s="198" t="s">
        <v>177</v>
      </c>
      <c r="C71" s="140">
        <v>1</v>
      </c>
      <c r="D71" s="149">
        <v>0.8</v>
      </c>
      <c r="E71" s="182">
        <v>13296212</v>
      </c>
      <c r="F71" s="182">
        <v>13372322</v>
      </c>
      <c r="G71" s="182">
        <f>+F71-E71</f>
        <v>76110</v>
      </c>
      <c r="H71" s="182">
        <f>ROUND((G71*M10),0)</f>
        <v>72747</v>
      </c>
      <c r="I71" s="182">
        <f>ROUND((G71*M11),0)</f>
        <v>136</v>
      </c>
      <c r="J71" s="182">
        <f t="shared" si="1"/>
        <v>72611</v>
      </c>
      <c r="R71" s="143"/>
    </row>
    <row r="72" spans="1:18" x14ac:dyDescent="0.2">
      <c r="A72" s="138">
        <v>68</v>
      </c>
      <c r="B72" s="200" t="s">
        <v>112</v>
      </c>
      <c r="C72" s="140">
        <v>6</v>
      </c>
      <c r="D72" s="149">
        <v>4.8</v>
      </c>
      <c r="E72" s="182">
        <v>79149418</v>
      </c>
      <c r="F72" s="182">
        <v>79580531</v>
      </c>
      <c r="G72" s="232">
        <f>+F72-E72</f>
        <v>431113</v>
      </c>
      <c r="H72" s="231">
        <f>ROUND((G72*M10),0)</f>
        <v>412064</v>
      </c>
      <c r="I72" s="182">
        <f>ROUND((G72*M11),0)</f>
        <v>770</v>
      </c>
      <c r="J72" s="182">
        <f>H72-I72</f>
        <v>411294</v>
      </c>
      <c r="R72" s="143"/>
    </row>
    <row r="73" spans="1:18" x14ac:dyDescent="0.2">
      <c r="A73" s="138">
        <v>69</v>
      </c>
      <c r="B73" s="200" t="s">
        <v>112</v>
      </c>
      <c r="C73" s="140">
        <v>6</v>
      </c>
      <c r="D73" s="149">
        <v>4.8</v>
      </c>
      <c r="E73" s="182">
        <v>74894008</v>
      </c>
      <c r="F73" s="182">
        <v>75263080</v>
      </c>
      <c r="G73" s="232">
        <f>+F73-E73</f>
        <v>369072</v>
      </c>
      <c r="H73" s="231">
        <f>ROUND((G73*M10),0)</f>
        <v>352765</v>
      </c>
      <c r="I73" s="182">
        <f>ROUND((G73*M11),0)</f>
        <v>659</v>
      </c>
      <c r="J73" s="182">
        <f>H73-I73</f>
        <v>352106</v>
      </c>
      <c r="R73" s="143"/>
    </row>
    <row r="74" spans="1:18" x14ac:dyDescent="0.2">
      <c r="A74" s="138">
        <v>70</v>
      </c>
      <c r="B74" s="190" t="s">
        <v>181</v>
      </c>
      <c r="C74" s="140">
        <v>3</v>
      </c>
      <c r="D74" s="149">
        <v>2.4</v>
      </c>
      <c r="E74" s="182">
        <v>32815534</v>
      </c>
      <c r="F74" s="182">
        <v>32982674</v>
      </c>
      <c r="G74" s="182">
        <f t="shared" ref="G74:G104" si="2">+F74-E74</f>
        <v>167140</v>
      </c>
      <c r="H74" s="182">
        <f>ROUND((G74*M10),0)</f>
        <v>159755</v>
      </c>
      <c r="I74" s="182">
        <f>ROUND((G74*M11),0)</f>
        <v>299</v>
      </c>
      <c r="J74" s="182">
        <f t="shared" ref="J74:J104" si="3">H74-I74</f>
        <v>159456</v>
      </c>
      <c r="R74" s="143"/>
    </row>
    <row r="75" spans="1:18" x14ac:dyDescent="0.2">
      <c r="A75" s="138">
        <v>71</v>
      </c>
      <c r="B75" s="190" t="s">
        <v>182</v>
      </c>
      <c r="C75" s="140">
        <v>3</v>
      </c>
      <c r="D75" s="149">
        <v>2.4</v>
      </c>
      <c r="E75" s="182">
        <v>34248117</v>
      </c>
      <c r="F75" s="182">
        <v>34418916</v>
      </c>
      <c r="G75" s="182">
        <f t="shared" si="2"/>
        <v>170799</v>
      </c>
      <c r="H75" s="182">
        <f>ROUND((G75*M10),0)</f>
        <v>163252</v>
      </c>
      <c r="I75" s="182">
        <f>ROUND((G75*M11),0)</f>
        <v>305</v>
      </c>
      <c r="J75" s="182">
        <f t="shared" si="3"/>
        <v>162947</v>
      </c>
      <c r="R75" s="143"/>
    </row>
    <row r="76" spans="1:18" x14ac:dyDescent="0.2">
      <c r="A76" s="138">
        <v>72</v>
      </c>
      <c r="B76" s="190" t="s">
        <v>183</v>
      </c>
      <c r="C76" s="140">
        <v>3</v>
      </c>
      <c r="D76" s="149">
        <v>2.4</v>
      </c>
      <c r="E76" s="182">
        <v>32207213</v>
      </c>
      <c r="F76" s="182">
        <v>32379472</v>
      </c>
      <c r="G76" s="182">
        <f t="shared" si="2"/>
        <v>172259</v>
      </c>
      <c r="H76" s="182">
        <f>ROUND((G76*M10),0)</f>
        <v>164648</v>
      </c>
      <c r="I76" s="182">
        <f>ROUND((G76*M11),0)</f>
        <v>308</v>
      </c>
      <c r="J76" s="182">
        <f t="shared" si="3"/>
        <v>164340</v>
      </c>
      <c r="R76" s="143"/>
    </row>
    <row r="77" spans="1:18" x14ac:dyDescent="0.2">
      <c r="A77" s="138">
        <v>73</v>
      </c>
      <c r="B77" s="190" t="s">
        <v>184</v>
      </c>
      <c r="C77" s="140">
        <v>3</v>
      </c>
      <c r="D77" s="149">
        <v>2.4</v>
      </c>
      <c r="E77" s="182">
        <v>32180027</v>
      </c>
      <c r="F77" s="182">
        <v>32353944</v>
      </c>
      <c r="G77" s="182">
        <f t="shared" si="2"/>
        <v>173917</v>
      </c>
      <c r="H77" s="182">
        <f>ROUND((G77*M10),0)</f>
        <v>166232</v>
      </c>
      <c r="I77" s="182">
        <f>ROUND((G77*M11),0)</f>
        <v>311</v>
      </c>
      <c r="J77" s="182">
        <f t="shared" si="3"/>
        <v>165921</v>
      </c>
      <c r="R77" s="143"/>
    </row>
    <row r="78" spans="1:18" x14ac:dyDescent="0.2">
      <c r="A78" s="138">
        <v>74</v>
      </c>
      <c r="B78" s="190" t="s">
        <v>185</v>
      </c>
      <c r="C78" s="140">
        <v>2</v>
      </c>
      <c r="D78" s="149">
        <v>1.6</v>
      </c>
      <c r="E78" s="182">
        <v>22442675</v>
      </c>
      <c r="F78" s="182">
        <v>22548502</v>
      </c>
      <c r="G78" s="182">
        <f t="shared" si="2"/>
        <v>105827</v>
      </c>
      <c r="H78" s="182">
        <f>ROUND((G78*M10),0)</f>
        <v>101151</v>
      </c>
      <c r="I78" s="182">
        <f>ROUND((G78*M11),0)</f>
        <v>189</v>
      </c>
      <c r="J78" s="182">
        <f t="shared" si="3"/>
        <v>100962</v>
      </c>
      <c r="R78" s="143"/>
    </row>
    <row r="79" spans="1:18" x14ac:dyDescent="0.2">
      <c r="A79" s="138">
        <v>75</v>
      </c>
      <c r="B79" s="190" t="s">
        <v>141</v>
      </c>
      <c r="C79" s="140">
        <v>1</v>
      </c>
      <c r="D79" s="149">
        <f>+C79*0.8</f>
        <v>0.8</v>
      </c>
      <c r="E79" s="182">
        <v>11639235</v>
      </c>
      <c r="F79" s="182">
        <v>11697810</v>
      </c>
      <c r="G79" s="182">
        <f t="shared" si="2"/>
        <v>58575</v>
      </c>
      <c r="H79" s="182">
        <f>ROUND((G79*M10),0)</f>
        <v>55987</v>
      </c>
      <c r="I79" s="182">
        <f>ROUND((G79*M11),0)</f>
        <v>105</v>
      </c>
      <c r="J79" s="182">
        <f t="shared" si="3"/>
        <v>55882</v>
      </c>
      <c r="R79" s="143"/>
    </row>
    <row r="80" spans="1:18" s="151" customFormat="1" ht="25.5" x14ac:dyDescent="0.2">
      <c r="A80" s="149">
        <v>76</v>
      </c>
      <c r="B80" s="204" t="s">
        <v>186</v>
      </c>
      <c r="C80" s="140">
        <v>65</v>
      </c>
      <c r="D80" s="149">
        <f t="shared" ref="D80:D104" si="4">+C80*0.8</f>
        <v>52</v>
      </c>
      <c r="E80" s="202">
        <v>684513017</v>
      </c>
      <c r="F80" s="202">
        <v>688281031</v>
      </c>
      <c r="G80" s="202">
        <f t="shared" si="2"/>
        <v>3768014</v>
      </c>
      <c r="H80" s="202">
        <f>ROUND((G80*M10),0)</f>
        <v>3601524</v>
      </c>
      <c r="I80" s="202">
        <f>ROUND((G80*M11),0)</f>
        <v>6730</v>
      </c>
      <c r="J80" s="202">
        <f t="shared" si="3"/>
        <v>3594794</v>
      </c>
      <c r="R80" s="203"/>
    </row>
    <row r="81" spans="1:18" x14ac:dyDescent="0.2">
      <c r="A81" s="138">
        <v>77</v>
      </c>
      <c r="B81" s="190" t="s">
        <v>187</v>
      </c>
      <c r="C81" s="140">
        <f>27+14</f>
        <v>41</v>
      </c>
      <c r="D81" s="149">
        <f t="shared" si="4"/>
        <v>32.800000000000004</v>
      </c>
      <c r="E81" s="182">
        <v>431807178</v>
      </c>
      <c r="F81" s="182">
        <v>434400178</v>
      </c>
      <c r="G81" s="182">
        <f t="shared" si="2"/>
        <v>2593000</v>
      </c>
      <c r="H81" s="182">
        <f>ROUND((G81*M10),0)</f>
        <v>2478428</v>
      </c>
      <c r="I81" s="182">
        <f>ROUND((G81*M11),0)</f>
        <v>4631</v>
      </c>
      <c r="J81" s="182">
        <f t="shared" si="3"/>
        <v>2473797</v>
      </c>
      <c r="R81" s="143"/>
    </row>
    <row r="82" spans="1:18" x14ac:dyDescent="0.2">
      <c r="A82" s="138">
        <v>78</v>
      </c>
      <c r="B82" s="190" t="s">
        <v>187</v>
      </c>
      <c r="C82" s="140">
        <f>37+17</f>
        <v>54</v>
      </c>
      <c r="D82" s="149">
        <f t="shared" si="4"/>
        <v>43.2</v>
      </c>
      <c r="E82" s="182">
        <v>550199381</v>
      </c>
      <c r="F82" s="182">
        <v>553736745</v>
      </c>
      <c r="G82" s="182">
        <f t="shared" si="2"/>
        <v>3537364</v>
      </c>
      <c r="H82" s="182">
        <f>ROUND((G82*M10),0)</f>
        <v>3381066</v>
      </c>
      <c r="I82" s="182">
        <f>ROUND((G82*M11),0)</f>
        <v>6318</v>
      </c>
      <c r="J82" s="182">
        <f t="shared" si="3"/>
        <v>3374748</v>
      </c>
      <c r="R82" s="143"/>
    </row>
    <row r="83" spans="1:18" x14ac:dyDescent="0.2">
      <c r="A83" s="138">
        <v>79</v>
      </c>
      <c r="B83" s="190" t="s">
        <v>188</v>
      </c>
      <c r="C83" s="140">
        <v>18</v>
      </c>
      <c r="D83" s="149">
        <f t="shared" si="4"/>
        <v>14.4</v>
      </c>
      <c r="E83" s="182">
        <v>190763444</v>
      </c>
      <c r="F83" s="182">
        <v>192034723</v>
      </c>
      <c r="G83" s="182">
        <f t="shared" si="2"/>
        <v>1271279</v>
      </c>
      <c r="H83" s="182">
        <f>ROUND((G83*M10),0)</f>
        <v>1215108</v>
      </c>
      <c r="I83" s="182">
        <f>ROUND((G83*M11),0)</f>
        <v>2271</v>
      </c>
      <c r="J83" s="182">
        <f t="shared" si="3"/>
        <v>1212837</v>
      </c>
      <c r="R83" s="143"/>
    </row>
    <row r="84" spans="1:18" x14ac:dyDescent="0.2">
      <c r="A84" s="138">
        <v>80</v>
      </c>
      <c r="B84" s="179" t="s">
        <v>189</v>
      </c>
      <c r="C84" s="140">
        <v>13</v>
      </c>
      <c r="D84" s="149">
        <v>10.4</v>
      </c>
      <c r="E84" s="182">
        <v>111651032</v>
      </c>
      <c r="F84" s="182">
        <v>112538712</v>
      </c>
      <c r="G84" s="182">
        <f t="shared" si="2"/>
        <v>887680</v>
      </c>
      <c r="H84" s="182">
        <f>ROUND((G84*M10),0)</f>
        <v>848458</v>
      </c>
      <c r="I84" s="182">
        <f>ROUND((G84*M11),0)</f>
        <v>1585</v>
      </c>
      <c r="J84" s="182">
        <f t="shared" si="3"/>
        <v>846873</v>
      </c>
      <c r="R84" s="143"/>
    </row>
    <row r="85" spans="1:18" x14ac:dyDescent="0.2">
      <c r="A85" s="138">
        <v>81</v>
      </c>
      <c r="B85" s="179" t="s">
        <v>189</v>
      </c>
      <c r="C85" s="140">
        <v>8</v>
      </c>
      <c r="D85" s="149">
        <f t="shared" si="4"/>
        <v>6.4</v>
      </c>
      <c r="E85" s="182">
        <v>69999556</v>
      </c>
      <c r="F85" s="182">
        <v>70546569</v>
      </c>
      <c r="G85" s="182">
        <f t="shared" si="2"/>
        <v>547013</v>
      </c>
      <c r="H85" s="182">
        <f>ROUND((G85*M10),0)</f>
        <v>522843</v>
      </c>
      <c r="I85" s="182">
        <f>ROUND((G85*M11),0)</f>
        <v>977</v>
      </c>
      <c r="J85" s="182">
        <f t="shared" si="3"/>
        <v>521866</v>
      </c>
      <c r="R85" s="143"/>
    </row>
    <row r="86" spans="1:18" x14ac:dyDescent="0.2">
      <c r="A86" s="138">
        <v>82</v>
      </c>
      <c r="B86" s="179" t="s">
        <v>189</v>
      </c>
      <c r="C86" s="140">
        <v>4</v>
      </c>
      <c r="D86" s="149">
        <f t="shared" si="4"/>
        <v>3.2</v>
      </c>
      <c r="E86" s="182">
        <v>34821861</v>
      </c>
      <c r="F86" s="182">
        <v>35057891</v>
      </c>
      <c r="G86" s="182">
        <f t="shared" si="2"/>
        <v>236030</v>
      </c>
      <c r="H86" s="182">
        <f>ROUND((G86*M10),0)</f>
        <v>225601</v>
      </c>
      <c r="I86" s="182">
        <f>ROUND((G86*M11),0)</f>
        <v>422</v>
      </c>
      <c r="J86" s="182">
        <f t="shared" si="3"/>
        <v>225179</v>
      </c>
      <c r="R86" s="143"/>
    </row>
    <row r="87" spans="1:18" x14ac:dyDescent="0.2">
      <c r="A87" s="138">
        <v>83</v>
      </c>
      <c r="B87" s="190" t="s">
        <v>187</v>
      </c>
      <c r="C87" s="140">
        <v>29</v>
      </c>
      <c r="D87" s="149">
        <f t="shared" si="4"/>
        <v>23.200000000000003</v>
      </c>
      <c r="E87" s="182">
        <v>267342240</v>
      </c>
      <c r="F87" s="182">
        <v>269332633</v>
      </c>
      <c r="G87" s="182">
        <f t="shared" si="2"/>
        <v>1990393</v>
      </c>
      <c r="H87" s="182">
        <f>ROUND((G87*M10),0)</f>
        <v>1902447</v>
      </c>
      <c r="I87" s="182">
        <f>ROUND((G87*M11),0)</f>
        <v>3555</v>
      </c>
      <c r="J87" s="182">
        <f t="shared" si="3"/>
        <v>1898892</v>
      </c>
      <c r="R87" s="143"/>
    </row>
    <row r="88" spans="1:18" ht="14.25" x14ac:dyDescent="0.2">
      <c r="A88" s="138">
        <v>84</v>
      </c>
      <c r="B88" s="205" t="s">
        <v>190</v>
      </c>
      <c r="C88" s="140">
        <v>22</v>
      </c>
      <c r="D88" s="149">
        <f t="shared" si="4"/>
        <v>17.600000000000001</v>
      </c>
      <c r="E88" s="182">
        <v>197073310</v>
      </c>
      <c r="F88" s="182">
        <v>198513011</v>
      </c>
      <c r="G88" s="182">
        <f t="shared" si="2"/>
        <v>1439701</v>
      </c>
      <c r="H88" s="182">
        <f>ROUND((G88*M10),0)</f>
        <v>1376088</v>
      </c>
      <c r="I88" s="182">
        <f>ROUND((G88*M11),0)</f>
        <v>2571</v>
      </c>
      <c r="J88" s="182">
        <f t="shared" si="3"/>
        <v>1373517</v>
      </c>
      <c r="R88" s="143"/>
    </row>
    <row r="89" spans="1:18" ht="14.25" x14ac:dyDescent="0.2">
      <c r="A89" s="138">
        <v>85</v>
      </c>
      <c r="B89" s="179" t="s">
        <v>190</v>
      </c>
      <c r="C89" s="206">
        <v>6</v>
      </c>
      <c r="D89" s="149">
        <f t="shared" si="4"/>
        <v>4.8000000000000007</v>
      </c>
      <c r="E89" s="182">
        <v>45899072</v>
      </c>
      <c r="F89" s="182">
        <v>46266989</v>
      </c>
      <c r="G89" s="182">
        <f t="shared" si="2"/>
        <v>367917</v>
      </c>
      <c r="H89" s="182">
        <f>ROUND((G89*M10),0)</f>
        <v>351661</v>
      </c>
      <c r="I89" s="182">
        <f>ROUND((G89*M11),0)</f>
        <v>657</v>
      </c>
      <c r="J89" s="182">
        <f t="shared" si="3"/>
        <v>351004</v>
      </c>
      <c r="R89" s="143"/>
    </row>
    <row r="90" spans="1:18" ht="14.25" x14ac:dyDescent="0.2">
      <c r="A90" s="138">
        <v>86</v>
      </c>
      <c r="B90" s="179" t="s">
        <v>191</v>
      </c>
      <c r="C90" s="206">
        <v>1</v>
      </c>
      <c r="D90" s="149">
        <f t="shared" si="4"/>
        <v>0.8</v>
      </c>
      <c r="E90" s="182">
        <v>8893070</v>
      </c>
      <c r="F90" s="182">
        <v>8960740</v>
      </c>
      <c r="G90" s="182">
        <f t="shared" si="2"/>
        <v>67670</v>
      </c>
      <c r="H90" s="182">
        <f>ROUND((G90*M10),0)</f>
        <v>64680</v>
      </c>
      <c r="I90" s="182">
        <f>ROUND((G90*M11),0)</f>
        <v>121</v>
      </c>
      <c r="J90" s="182">
        <f t="shared" si="3"/>
        <v>64559</v>
      </c>
      <c r="R90" s="143"/>
    </row>
    <row r="91" spans="1:18" ht="14.25" x14ac:dyDescent="0.2">
      <c r="A91" s="138">
        <v>87</v>
      </c>
      <c r="B91" s="179" t="s">
        <v>192</v>
      </c>
      <c r="C91" s="206">
        <v>2</v>
      </c>
      <c r="D91" s="149">
        <f t="shared" si="4"/>
        <v>1.6</v>
      </c>
      <c r="E91" s="182">
        <v>18996665</v>
      </c>
      <c r="F91" s="182">
        <v>19137949</v>
      </c>
      <c r="G91" s="182">
        <f t="shared" si="2"/>
        <v>141284</v>
      </c>
      <c r="H91" s="182">
        <f>ROUND((G91*M10),0)</f>
        <v>135041</v>
      </c>
      <c r="I91" s="182">
        <f>ROUND((G91*M11),0)</f>
        <v>252</v>
      </c>
      <c r="J91" s="182">
        <f t="shared" si="3"/>
        <v>134789</v>
      </c>
      <c r="R91" s="143"/>
    </row>
    <row r="92" spans="1:18" ht="14.25" x14ac:dyDescent="0.2">
      <c r="A92" s="138">
        <v>88</v>
      </c>
      <c r="B92" s="190" t="s">
        <v>187</v>
      </c>
      <c r="C92" s="206">
        <v>3</v>
      </c>
      <c r="D92" s="149">
        <f t="shared" si="4"/>
        <v>2.4000000000000004</v>
      </c>
      <c r="E92" s="182">
        <v>24875109</v>
      </c>
      <c r="F92" s="182">
        <v>25090169</v>
      </c>
      <c r="G92" s="182">
        <f t="shared" si="2"/>
        <v>215060</v>
      </c>
      <c r="H92" s="182">
        <f>ROUND((G92*M10),0)</f>
        <v>205558</v>
      </c>
      <c r="I92" s="182">
        <f>ROUND((G92*M11),0)</f>
        <v>384</v>
      </c>
      <c r="J92" s="182">
        <f t="shared" si="3"/>
        <v>205174</v>
      </c>
      <c r="R92" s="143"/>
    </row>
    <row r="93" spans="1:18" ht="14.25" x14ac:dyDescent="0.2">
      <c r="A93" s="138">
        <v>89</v>
      </c>
      <c r="B93" s="207" t="s">
        <v>193</v>
      </c>
      <c r="C93" s="206">
        <v>1</v>
      </c>
      <c r="D93" s="149">
        <f t="shared" si="4"/>
        <v>0.8</v>
      </c>
      <c r="E93" s="182">
        <v>7893056</v>
      </c>
      <c r="F93" s="182">
        <v>7957828</v>
      </c>
      <c r="G93" s="182">
        <f t="shared" si="2"/>
        <v>64772</v>
      </c>
      <c r="H93" s="182">
        <f>ROUND((G93*M10),0)</f>
        <v>61910</v>
      </c>
      <c r="I93" s="182">
        <f>ROUND((G93*M11),0)</f>
        <v>116</v>
      </c>
      <c r="J93" s="182">
        <f t="shared" si="3"/>
        <v>61794</v>
      </c>
      <c r="R93" s="143"/>
    </row>
    <row r="94" spans="1:18" ht="14.25" x14ac:dyDescent="0.2">
      <c r="A94" s="138">
        <v>90</v>
      </c>
      <c r="B94" s="190" t="s">
        <v>187</v>
      </c>
      <c r="C94" s="206">
        <v>1</v>
      </c>
      <c r="D94" s="149">
        <f t="shared" si="4"/>
        <v>0.8</v>
      </c>
      <c r="E94" s="182">
        <v>6248991</v>
      </c>
      <c r="F94" s="182">
        <v>6302197</v>
      </c>
      <c r="G94" s="182">
        <f t="shared" si="2"/>
        <v>53206</v>
      </c>
      <c r="H94" s="182">
        <f>ROUND((G94*M10),0)</f>
        <v>50855</v>
      </c>
      <c r="I94" s="182">
        <f>ROUND((G94*M11),0)</f>
        <v>95</v>
      </c>
      <c r="J94" s="182">
        <f t="shared" si="3"/>
        <v>50760</v>
      </c>
      <c r="R94" s="143"/>
    </row>
    <row r="95" spans="1:18" x14ac:dyDescent="0.2">
      <c r="A95" s="138">
        <v>91</v>
      </c>
      <c r="B95" s="190" t="s">
        <v>194</v>
      </c>
      <c r="C95" s="138">
        <v>1</v>
      </c>
      <c r="D95" s="149">
        <f t="shared" si="4"/>
        <v>0.8</v>
      </c>
      <c r="E95" s="182">
        <v>5070074</v>
      </c>
      <c r="F95" s="182">
        <v>5133631</v>
      </c>
      <c r="G95" s="182">
        <f t="shared" si="2"/>
        <v>63557</v>
      </c>
      <c r="H95" s="182">
        <f>ROUND((G95*M10),0)</f>
        <v>60749</v>
      </c>
      <c r="I95" s="182">
        <f>ROUND((G95*M11),0)</f>
        <v>114</v>
      </c>
      <c r="J95" s="182">
        <f t="shared" si="3"/>
        <v>60635</v>
      </c>
      <c r="R95" s="143"/>
    </row>
    <row r="96" spans="1:18" x14ac:dyDescent="0.2">
      <c r="A96" s="138">
        <v>92</v>
      </c>
      <c r="B96" s="190" t="s">
        <v>195</v>
      </c>
      <c r="C96" s="138">
        <v>1</v>
      </c>
      <c r="D96" s="149">
        <f t="shared" si="4"/>
        <v>0.8</v>
      </c>
      <c r="E96" s="182">
        <v>6911106</v>
      </c>
      <c r="F96" s="182">
        <v>6970290</v>
      </c>
      <c r="G96" s="182">
        <f t="shared" si="2"/>
        <v>59184</v>
      </c>
      <c r="H96" s="182">
        <f>ROUND((G96*M10),0)</f>
        <v>56569</v>
      </c>
      <c r="I96" s="182">
        <f>ROUND((G96*M11),0)</f>
        <v>106</v>
      </c>
      <c r="J96" s="182">
        <f t="shared" si="3"/>
        <v>56463</v>
      </c>
      <c r="R96" s="143"/>
    </row>
    <row r="97" spans="1:18" x14ac:dyDescent="0.2">
      <c r="A97" s="138">
        <v>93</v>
      </c>
      <c r="B97" s="190" t="s">
        <v>196</v>
      </c>
      <c r="C97" s="138">
        <v>2</v>
      </c>
      <c r="D97" s="149">
        <f t="shared" si="4"/>
        <v>1.6</v>
      </c>
      <c r="E97" s="182">
        <v>12529633</v>
      </c>
      <c r="F97" s="182">
        <v>12673624</v>
      </c>
      <c r="G97" s="182">
        <f t="shared" si="2"/>
        <v>143991</v>
      </c>
      <c r="H97" s="182">
        <f>ROUND((G97*M10),0)</f>
        <v>137629</v>
      </c>
      <c r="I97" s="182">
        <f>ROUND((G97*M11),0)</f>
        <v>257</v>
      </c>
      <c r="J97" s="182">
        <f t="shared" si="3"/>
        <v>137372</v>
      </c>
      <c r="R97" s="143"/>
    </row>
    <row r="98" spans="1:18" ht="14.25" x14ac:dyDescent="0.2">
      <c r="A98" s="138">
        <v>94</v>
      </c>
      <c r="B98" s="205" t="s">
        <v>190</v>
      </c>
      <c r="C98" s="138">
        <v>1</v>
      </c>
      <c r="D98" s="149">
        <f t="shared" si="4"/>
        <v>0.8</v>
      </c>
      <c r="E98" s="182">
        <v>6493337</v>
      </c>
      <c r="F98" s="182">
        <v>6564754</v>
      </c>
      <c r="G98" s="182">
        <f t="shared" si="2"/>
        <v>71417</v>
      </c>
      <c r="H98" s="182">
        <f>ROUND((G98*M10),0)</f>
        <v>68261</v>
      </c>
      <c r="I98" s="182">
        <f>ROUND((G98*M11),0)</f>
        <v>128</v>
      </c>
      <c r="J98" s="182">
        <f t="shared" si="3"/>
        <v>68133</v>
      </c>
      <c r="R98" s="143"/>
    </row>
    <row r="99" spans="1:18" ht="14.25" x14ac:dyDescent="0.2">
      <c r="A99" s="138">
        <v>95</v>
      </c>
      <c r="B99" s="205" t="s">
        <v>190</v>
      </c>
      <c r="C99" s="138">
        <v>2</v>
      </c>
      <c r="D99" s="149">
        <f t="shared" si="4"/>
        <v>1.6</v>
      </c>
      <c r="E99" s="182">
        <v>13034143</v>
      </c>
      <c r="F99" s="182">
        <v>13168166</v>
      </c>
      <c r="G99" s="182">
        <f t="shared" si="2"/>
        <v>134023</v>
      </c>
      <c r="H99" s="182">
        <f>ROUND((G99*M10),0)</f>
        <v>128101</v>
      </c>
      <c r="I99" s="182">
        <f>ROUND((G99*M11),0)</f>
        <v>239</v>
      </c>
      <c r="J99" s="182">
        <f t="shared" si="3"/>
        <v>127862</v>
      </c>
      <c r="R99" s="143"/>
    </row>
    <row r="100" spans="1:18" x14ac:dyDescent="0.2">
      <c r="A100" s="138">
        <v>96</v>
      </c>
      <c r="B100" s="179" t="s">
        <v>197</v>
      </c>
      <c r="C100" s="138">
        <v>1</v>
      </c>
      <c r="D100" s="149">
        <f t="shared" si="4"/>
        <v>0.8</v>
      </c>
      <c r="E100" s="182">
        <v>6234529</v>
      </c>
      <c r="F100" s="182">
        <v>6306010</v>
      </c>
      <c r="G100" s="182">
        <f t="shared" si="2"/>
        <v>71481</v>
      </c>
      <c r="H100" s="182">
        <f>ROUND((G100*M10),0)</f>
        <v>68323</v>
      </c>
      <c r="I100" s="182">
        <f>ROUND((G100*M11),0)</f>
        <v>128</v>
      </c>
      <c r="J100" s="182">
        <f t="shared" si="3"/>
        <v>68195</v>
      </c>
      <c r="R100" s="143"/>
    </row>
    <row r="101" spans="1:18" x14ac:dyDescent="0.2">
      <c r="A101" s="138">
        <v>97</v>
      </c>
      <c r="B101" s="179" t="s">
        <v>198</v>
      </c>
      <c r="C101" s="138">
        <v>1</v>
      </c>
      <c r="D101" s="149">
        <f t="shared" si="4"/>
        <v>0.8</v>
      </c>
      <c r="E101" s="182">
        <v>6164078</v>
      </c>
      <c r="F101" s="182">
        <v>6234385</v>
      </c>
      <c r="G101" s="182">
        <f t="shared" si="2"/>
        <v>70307</v>
      </c>
      <c r="H101" s="182">
        <f>ROUND((G101*M10),0)</f>
        <v>67200</v>
      </c>
      <c r="I101" s="182">
        <f>ROUND((G101*M11),0)</f>
        <v>126</v>
      </c>
      <c r="J101" s="182">
        <f t="shared" si="3"/>
        <v>67074</v>
      </c>
      <c r="R101" s="143"/>
    </row>
    <row r="102" spans="1:18" x14ac:dyDescent="0.2">
      <c r="A102" s="138">
        <v>98</v>
      </c>
      <c r="B102" s="179" t="s">
        <v>199</v>
      </c>
      <c r="C102" s="138">
        <v>1</v>
      </c>
      <c r="D102" s="149">
        <f t="shared" si="4"/>
        <v>0.8</v>
      </c>
      <c r="E102" s="182">
        <v>5560286</v>
      </c>
      <c r="F102" s="182">
        <v>5619842</v>
      </c>
      <c r="G102" s="182">
        <f t="shared" si="2"/>
        <v>59556</v>
      </c>
      <c r="H102" s="182">
        <f>ROUND((G102*M10),0)</f>
        <v>56925</v>
      </c>
      <c r="I102" s="182">
        <f>ROUND((G102*M11),0)</f>
        <v>106</v>
      </c>
      <c r="J102" s="182">
        <f t="shared" si="3"/>
        <v>56819</v>
      </c>
      <c r="R102" s="143"/>
    </row>
    <row r="103" spans="1:18" x14ac:dyDescent="0.2">
      <c r="A103" s="138">
        <v>99</v>
      </c>
      <c r="B103" s="208" t="s">
        <v>200</v>
      </c>
      <c r="C103" s="138">
        <v>1</v>
      </c>
      <c r="D103" s="149">
        <f t="shared" si="4"/>
        <v>0.8</v>
      </c>
      <c r="E103" s="182">
        <v>6438052</v>
      </c>
      <c r="F103" s="182">
        <v>6503975</v>
      </c>
      <c r="G103" s="182">
        <f t="shared" si="2"/>
        <v>65923</v>
      </c>
      <c r="H103" s="182">
        <f>ROUND((G103*M10),0)</f>
        <v>63010</v>
      </c>
      <c r="I103" s="182">
        <f>ROUND((G103*M11),0)</f>
        <v>118</v>
      </c>
      <c r="J103" s="182">
        <f t="shared" si="3"/>
        <v>62892</v>
      </c>
      <c r="R103" s="143"/>
    </row>
    <row r="104" spans="1:18" x14ac:dyDescent="0.2">
      <c r="A104" s="138">
        <v>100</v>
      </c>
      <c r="B104" s="179" t="s">
        <v>201</v>
      </c>
      <c r="C104" s="138">
        <v>1</v>
      </c>
      <c r="D104" s="149">
        <f t="shared" si="4"/>
        <v>0.8</v>
      </c>
      <c r="E104" s="182">
        <v>5507948</v>
      </c>
      <c r="F104" s="182">
        <v>5571152</v>
      </c>
      <c r="G104" s="182">
        <f t="shared" si="2"/>
        <v>63204</v>
      </c>
      <c r="H104" s="182">
        <f>ROUND((G104*M10),0)</f>
        <v>60411</v>
      </c>
      <c r="I104" s="182">
        <f>ROUND((G104*M11),0)</f>
        <v>113</v>
      </c>
      <c r="J104" s="182">
        <f t="shared" si="3"/>
        <v>60298</v>
      </c>
      <c r="R104" s="143"/>
    </row>
    <row r="105" spans="1:18" ht="13.5" thickBot="1" x14ac:dyDescent="0.25">
      <c r="C105" s="210">
        <f t="shared" ref="C105:J105" si="5">SUM(C5:C104)</f>
        <v>570</v>
      </c>
      <c r="D105" s="210">
        <f t="shared" si="5"/>
        <v>456.00000000000034</v>
      </c>
      <c r="E105" s="211">
        <f t="shared" si="5"/>
        <v>6693714167</v>
      </c>
      <c r="F105" s="211">
        <f t="shared" si="5"/>
        <v>6728293579</v>
      </c>
      <c r="G105" s="211">
        <f t="shared" si="5"/>
        <v>34579412</v>
      </c>
      <c r="H105" s="210">
        <f t="shared" si="5"/>
        <v>33051520</v>
      </c>
      <c r="I105" s="210">
        <f t="shared" si="5"/>
        <v>61760</v>
      </c>
      <c r="J105" s="210">
        <f t="shared" si="5"/>
        <v>32989760</v>
      </c>
      <c r="R105" s="143"/>
    </row>
    <row r="107" spans="1:18" x14ac:dyDescent="0.2">
      <c r="B107" s="212"/>
    </row>
    <row r="108" spans="1:18" x14ac:dyDescent="0.2">
      <c r="F108" s="213"/>
      <c r="G108" s="213"/>
    </row>
    <row r="109" spans="1:18" x14ac:dyDescent="0.2">
      <c r="E109" s="213"/>
      <c r="F109" s="213"/>
      <c r="G109" s="213"/>
    </row>
    <row r="110" spans="1:18" x14ac:dyDescent="0.2">
      <c r="E110" s="213"/>
      <c r="F110" s="213"/>
      <c r="H110" s="213">
        <f>+M6</f>
        <v>33051520.000000112</v>
      </c>
      <c r="I110" s="173">
        <f>+M7</f>
        <v>61759.999999999854</v>
      </c>
      <c r="J110" s="213">
        <f>+H110-I110</f>
        <v>32989760.000000112</v>
      </c>
    </row>
    <row r="111" spans="1:18" x14ac:dyDescent="0.2">
      <c r="H111" s="213"/>
    </row>
    <row r="113" spans="8:10" x14ac:dyDescent="0.2">
      <c r="H113" s="213">
        <f>+H110-H105</f>
        <v>1.1175870895385742E-7</v>
      </c>
      <c r="I113" s="213">
        <f>+I110-I105</f>
        <v>-1.4551915228366852E-10</v>
      </c>
      <c r="J113" s="213">
        <f>+J110-J105</f>
        <v>1.1175870895385742E-7</v>
      </c>
    </row>
  </sheetData>
  <mergeCells count="9">
    <mergeCell ref="A2:G2"/>
    <mergeCell ref="H2:H4"/>
    <mergeCell ref="I2:I4"/>
    <mergeCell ref="J2:J4"/>
    <mergeCell ref="A3:A4"/>
    <mergeCell ref="B3:B4"/>
    <mergeCell ref="C3:C4"/>
    <mergeCell ref="D3:D4"/>
    <mergeCell ref="E3:F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62"/>
  <sheetViews>
    <sheetView workbookViewId="0">
      <selection activeCell="B2" sqref="B2:C2"/>
    </sheetView>
  </sheetViews>
  <sheetFormatPr defaultRowHeight="12.75" x14ac:dyDescent="0.2"/>
  <cols>
    <col min="2" max="2" width="41" customWidth="1"/>
    <col min="3" max="3" width="117.85546875" customWidth="1"/>
  </cols>
  <sheetData>
    <row r="2" spans="2:3" ht="29.25" customHeight="1" thickBot="1" x14ac:dyDescent="0.25">
      <c r="B2" s="417" t="s">
        <v>263</v>
      </c>
      <c r="C2" s="417"/>
    </row>
    <row r="3" spans="2:3" ht="15" thickBot="1" x14ac:dyDescent="0.25">
      <c r="B3" s="263" t="s">
        <v>264</v>
      </c>
      <c r="C3" s="264" t="s">
        <v>265</v>
      </c>
    </row>
    <row r="4" spans="2:3" ht="29.25" thickBot="1" x14ac:dyDescent="0.25">
      <c r="B4" s="265" t="s">
        <v>266</v>
      </c>
      <c r="C4" s="266" t="s">
        <v>267</v>
      </c>
    </row>
    <row r="5" spans="2:3" ht="14.25" x14ac:dyDescent="0.2">
      <c r="B5" s="418" t="s">
        <v>268</v>
      </c>
      <c r="C5" s="268" t="s">
        <v>269</v>
      </c>
    </row>
    <row r="6" spans="2:3" ht="14.25" x14ac:dyDescent="0.2">
      <c r="B6" s="419"/>
      <c r="C6" s="269"/>
    </row>
    <row r="7" spans="2:3" ht="39.950000000000003" customHeight="1" thickBot="1" x14ac:dyDescent="0.25">
      <c r="B7" s="420"/>
      <c r="C7" s="270" t="s">
        <v>270</v>
      </c>
    </row>
    <row r="8" spans="2:3" ht="15" thickBot="1" x14ac:dyDescent="0.25">
      <c r="B8" s="265" t="s">
        <v>271</v>
      </c>
      <c r="C8" s="271" t="s">
        <v>272</v>
      </c>
    </row>
    <row r="9" spans="2:3" ht="29.25" thickBot="1" x14ac:dyDescent="0.25">
      <c r="B9" s="265" t="s">
        <v>273</v>
      </c>
      <c r="C9" s="266" t="s">
        <v>274</v>
      </c>
    </row>
    <row r="10" spans="2:3" ht="39.950000000000003" customHeight="1" x14ac:dyDescent="0.2">
      <c r="B10" s="418" t="s">
        <v>275</v>
      </c>
      <c r="C10" s="268" t="s">
        <v>276</v>
      </c>
    </row>
    <row r="11" spans="2:3" ht="14.25" x14ac:dyDescent="0.2">
      <c r="B11" s="419"/>
      <c r="C11" s="268"/>
    </row>
    <row r="12" spans="2:3" ht="14.25" x14ac:dyDescent="0.2">
      <c r="B12" s="419"/>
      <c r="C12" s="268">
        <v>2020</v>
      </c>
    </row>
    <row r="13" spans="2:3" ht="28.5" x14ac:dyDescent="0.2">
      <c r="B13" s="419"/>
      <c r="C13" s="268" t="s">
        <v>277</v>
      </c>
    </row>
    <row r="14" spans="2:3" ht="28.5" x14ac:dyDescent="0.2">
      <c r="B14" s="419"/>
      <c r="C14" s="268" t="s">
        <v>278</v>
      </c>
    </row>
    <row r="15" spans="2:3" ht="14.25" x14ac:dyDescent="0.2">
      <c r="B15" s="419"/>
      <c r="C15" s="268"/>
    </row>
    <row r="16" spans="2:3" ht="14.25" x14ac:dyDescent="0.2">
      <c r="B16" s="419"/>
      <c r="C16" s="268">
        <v>2021</v>
      </c>
    </row>
    <row r="17" spans="2:3" ht="39.950000000000003" customHeight="1" x14ac:dyDescent="0.2">
      <c r="B17" s="419"/>
      <c r="C17" s="268" t="s">
        <v>279</v>
      </c>
    </row>
    <row r="18" spans="2:3" ht="39.950000000000003" customHeight="1" x14ac:dyDescent="0.2">
      <c r="B18" s="419"/>
      <c r="C18" s="268" t="s">
        <v>280</v>
      </c>
    </row>
    <row r="19" spans="2:3" ht="39.950000000000003" customHeight="1" thickBot="1" x14ac:dyDescent="0.25">
      <c r="B19" s="420"/>
      <c r="C19" s="266" t="s">
        <v>281</v>
      </c>
    </row>
    <row r="20" spans="2:3" ht="15" thickBot="1" x14ac:dyDescent="0.25">
      <c r="B20" s="265" t="s">
        <v>282</v>
      </c>
      <c r="C20" s="272" t="s">
        <v>283</v>
      </c>
    </row>
    <row r="21" spans="2:3" ht="15" thickBot="1" x14ac:dyDescent="0.25">
      <c r="B21" s="265" t="s">
        <v>284</v>
      </c>
      <c r="C21" s="271" t="s">
        <v>285</v>
      </c>
    </row>
    <row r="22" spans="2:3" x14ac:dyDescent="0.2">
      <c r="B22" s="267" t="s">
        <v>286</v>
      </c>
      <c r="C22" s="421" t="s">
        <v>283</v>
      </c>
    </row>
    <row r="23" spans="2:3" ht="13.5" thickBot="1" x14ac:dyDescent="0.25">
      <c r="B23" s="265" t="s">
        <v>287</v>
      </c>
      <c r="C23" s="422"/>
    </row>
    <row r="24" spans="2:3" ht="39.950000000000003" customHeight="1" thickBot="1" x14ac:dyDescent="0.25">
      <c r="B24" s="265" t="s">
        <v>288</v>
      </c>
      <c r="C24" s="266" t="s">
        <v>289</v>
      </c>
    </row>
    <row r="25" spans="2:3" ht="15" thickBot="1" x14ac:dyDescent="0.25">
      <c r="B25" s="265" t="s">
        <v>290</v>
      </c>
      <c r="C25" s="266" t="s">
        <v>291</v>
      </c>
    </row>
    <row r="26" spans="2:3" ht="15" thickBot="1" x14ac:dyDescent="0.25">
      <c r="B26" s="265" t="s">
        <v>292</v>
      </c>
      <c r="C26" s="274" t="s">
        <v>293</v>
      </c>
    </row>
    <row r="27" spans="2:3" ht="13.5" thickBot="1" x14ac:dyDescent="0.25">
      <c r="B27" s="275"/>
    </row>
    <row r="28" spans="2:3" ht="15" thickBot="1" x14ac:dyDescent="0.25">
      <c r="B28" s="276" t="s">
        <v>294</v>
      </c>
      <c r="C28" s="277" t="s">
        <v>295</v>
      </c>
    </row>
    <row r="29" spans="2:3" ht="15" thickBot="1" x14ac:dyDescent="0.25">
      <c r="B29" s="278" t="s">
        <v>264</v>
      </c>
      <c r="C29" s="271" t="s">
        <v>296</v>
      </c>
    </row>
    <row r="30" spans="2:3" ht="15" thickBot="1" x14ac:dyDescent="0.25">
      <c r="B30" s="279" t="s">
        <v>266</v>
      </c>
      <c r="C30" s="271" t="s">
        <v>297</v>
      </c>
    </row>
    <row r="31" spans="2:3" ht="15" thickBot="1" x14ac:dyDescent="0.25">
      <c r="B31" s="279" t="s">
        <v>268</v>
      </c>
      <c r="C31" s="271" t="s">
        <v>298</v>
      </c>
    </row>
    <row r="32" spans="2:3" ht="15" thickBot="1" x14ac:dyDescent="0.25">
      <c r="B32" s="279" t="s">
        <v>271</v>
      </c>
      <c r="C32" s="271" t="s">
        <v>272</v>
      </c>
    </row>
    <row r="33" spans="2:3" ht="15" thickBot="1" x14ac:dyDescent="0.25">
      <c r="B33" s="279" t="s">
        <v>273</v>
      </c>
      <c r="C33" s="271" t="s">
        <v>299</v>
      </c>
    </row>
    <row r="34" spans="2:3" ht="78" customHeight="1" x14ac:dyDescent="0.2">
      <c r="B34" s="423" t="s">
        <v>275</v>
      </c>
      <c r="C34" s="281" t="s">
        <v>300</v>
      </c>
    </row>
    <row r="35" spans="2:3" ht="39.950000000000003" customHeight="1" x14ac:dyDescent="0.2">
      <c r="B35" s="424"/>
      <c r="C35" s="273" t="s">
        <v>301</v>
      </c>
    </row>
    <row r="36" spans="2:3" ht="54.75" customHeight="1" thickBot="1" x14ac:dyDescent="0.25">
      <c r="B36" s="425"/>
      <c r="C36" s="271" t="s">
        <v>302</v>
      </c>
    </row>
    <row r="37" spans="2:3" ht="15" thickBot="1" x14ac:dyDescent="0.25">
      <c r="B37" s="279" t="s">
        <v>282</v>
      </c>
      <c r="C37" s="282" t="s">
        <v>299</v>
      </c>
    </row>
    <row r="38" spans="2:3" ht="29.25" thickBot="1" x14ac:dyDescent="0.25">
      <c r="B38" s="279" t="s">
        <v>284</v>
      </c>
      <c r="C38" s="271" t="s">
        <v>285</v>
      </c>
    </row>
    <row r="39" spans="2:3" ht="14.25" x14ac:dyDescent="0.2">
      <c r="B39" s="280" t="s">
        <v>286</v>
      </c>
      <c r="C39" s="421" t="s">
        <v>303</v>
      </c>
    </row>
    <row r="40" spans="2:3" ht="15" thickBot="1" x14ac:dyDescent="0.25">
      <c r="B40" s="279" t="s">
        <v>287</v>
      </c>
      <c r="C40" s="422"/>
    </row>
    <row r="41" spans="2:3" ht="39.950000000000003" customHeight="1" thickBot="1" x14ac:dyDescent="0.25">
      <c r="B41" s="279" t="s">
        <v>288</v>
      </c>
      <c r="C41" s="271" t="s">
        <v>304</v>
      </c>
    </row>
    <row r="42" spans="2:3" ht="15" thickBot="1" x14ac:dyDescent="0.25">
      <c r="B42" s="279" t="s">
        <v>290</v>
      </c>
      <c r="C42" s="271" t="s">
        <v>305</v>
      </c>
    </row>
    <row r="43" spans="2:3" ht="15" thickBot="1" x14ac:dyDescent="0.25">
      <c r="B43" s="279" t="s">
        <v>292</v>
      </c>
      <c r="C43" s="271" t="s">
        <v>293</v>
      </c>
    </row>
    <row r="44" spans="2:3" x14ac:dyDescent="0.2">
      <c r="B44" s="275"/>
    </row>
    <row r="45" spans="2:3" ht="62.25" customHeight="1" thickBot="1" x14ac:dyDescent="0.25">
      <c r="B45" s="416" t="s">
        <v>306</v>
      </c>
      <c r="C45" s="416"/>
    </row>
    <row r="46" spans="2:3" ht="57.75" thickBot="1" x14ac:dyDescent="0.25">
      <c r="B46" s="276" t="s">
        <v>294</v>
      </c>
      <c r="C46" s="277" t="s">
        <v>307</v>
      </c>
    </row>
    <row r="47" spans="2:3" ht="15" thickBot="1" x14ac:dyDescent="0.25">
      <c r="B47" s="278" t="s">
        <v>264</v>
      </c>
      <c r="C47" s="271" t="s">
        <v>308</v>
      </c>
    </row>
    <row r="48" spans="2:3" ht="15" thickBot="1" x14ac:dyDescent="0.25">
      <c r="B48" s="279" t="s">
        <v>266</v>
      </c>
      <c r="C48" s="271" t="s">
        <v>309</v>
      </c>
    </row>
    <row r="49" spans="2:3" ht="15" thickBot="1" x14ac:dyDescent="0.25">
      <c r="B49" s="279" t="s">
        <v>268</v>
      </c>
      <c r="C49" s="271" t="s">
        <v>310</v>
      </c>
    </row>
    <row r="50" spans="2:3" ht="15" thickBot="1" x14ac:dyDescent="0.25">
      <c r="B50" s="279" t="s">
        <v>271</v>
      </c>
      <c r="C50" s="271" t="s">
        <v>311</v>
      </c>
    </row>
    <row r="51" spans="2:3" ht="15" thickBot="1" x14ac:dyDescent="0.25">
      <c r="B51" s="279" t="s">
        <v>273</v>
      </c>
      <c r="C51" s="271" t="s">
        <v>312</v>
      </c>
    </row>
    <row r="52" spans="2:3" ht="57" x14ac:dyDescent="0.2">
      <c r="B52" s="423" t="s">
        <v>275</v>
      </c>
      <c r="C52" s="273" t="s">
        <v>313</v>
      </c>
    </row>
    <row r="53" spans="2:3" ht="14.25" x14ac:dyDescent="0.2">
      <c r="B53" s="424"/>
      <c r="C53" s="273"/>
    </row>
    <row r="54" spans="2:3" ht="42.75" x14ac:dyDescent="0.2">
      <c r="B54" s="424"/>
      <c r="C54" s="281" t="s">
        <v>314</v>
      </c>
    </row>
    <row r="55" spans="2:3" ht="15" thickBot="1" x14ac:dyDescent="0.25">
      <c r="B55" s="425"/>
      <c r="C55" s="282" t="s">
        <v>315</v>
      </c>
    </row>
    <row r="56" spans="2:3" ht="15" thickBot="1" x14ac:dyDescent="0.25">
      <c r="B56" s="279" t="s">
        <v>282</v>
      </c>
      <c r="C56" s="266" t="s">
        <v>316</v>
      </c>
    </row>
    <row r="57" spans="2:3" ht="29.25" thickBot="1" x14ac:dyDescent="0.25">
      <c r="B57" s="279" t="s">
        <v>284</v>
      </c>
      <c r="C57" s="266" t="s">
        <v>317</v>
      </c>
    </row>
    <row r="58" spans="2:3" ht="14.25" x14ac:dyDescent="0.2">
      <c r="B58" s="280" t="s">
        <v>286</v>
      </c>
      <c r="C58" s="414" t="s">
        <v>303</v>
      </c>
    </row>
    <row r="59" spans="2:3" ht="15" thickBot="1" x14ac:dyDescent="0.25">
      <c r="B59" s="279" t="s">
        <v>287</v>
      </c>
      <c r="C59" s="415"/>
    </row>
    <row r="60" spans="2:3" ht="15" thickBot="1" x14ac:dyDescent="0.25">
      <c r="B60" s="279" t="s">
        <v>288</v>
      </c>
      <c r="C60" s="266" t="s">
        <v>303</v>
      </c>
    </row>
    <row r="61" spans="2:3" ht="15" thickBot="1" x14ac:dyDescent="0.25">
      <c r="B61" s="279" t="s">
        <v>290</v>
      </c>
      <c r="C61" s="266" t="s">
        <v>291</v>
      </c>
    </row>
    <row r="62" spans="2:3" ht="15" thickBot="1" x14ac:dyDescent="0.25">
      <c r="B62" s="279" t="s">
        <v>292</v>
      </c>
      <c r="C62" s="266" t="s">
        <v>293</v>
      </c>
    </row>
  </sheetData>
  <mergeCells count="9">
    <mergeCell ref="C58:C59"/>
    <mergeCell ref="B45:C45"/>
    <mergeCell ref="B2:C2"/>
    <mergeCell ref="B5:B7"/>
    <mergeCell ref="B10:B19"/>
    <mergeCell ref="C22:C23"/>
    <mergeCell ref="B34:B36"/>
    <mergeCell ref="C39:C40"/>
    <mergeCell ref="B52:B55"/>
  </mergeCells>
  <pageMargins left="0.7" right="0.7" top="0.75" bottom="0.75" header="0.3" footer="0.3"/>
  <pageSetup paperSize="9" orientation="portrait" horizontalDpi="300" verticalDpi="0"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Project Intro</vt:lpstr>
      <vt:lpstr>Emission Factor</vt:lpstr>
      <vt:lpstr>Calculation</vt:lpstr>
      <vt:lpstr>Emission Reduction calculation</vt:lpstr>
      <vt:lpstr>Till 27th Feb 22</vt:lpstr>
      <vt:lpstr>Tinwari Feb-22</vt:lpstr>
      <vt:lpstr>Jaisalmer Feb-22</vt:lpstr>
      <vt:lpstr>SDG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saujanya</dc:creator>
  <cp:lastModifiedBy>Poorvi</cp:lastModifiedBy>
  <cp:lastPrinted>2022-05-03T09:47:58Z</cp:lastPrinted>
  <dcterms:created xsi:type="dcterms:W3CDTF">2010-08-24T07:06:21Z</dcterms:created>
  <dcterms:modified xsi:type="dcterms:W3CDTF">2023-03-02T09:58:04Z</dcterms:modified>
</cp:coreProperties>
</file>