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D Meraj Ali\Downloads\TQC_5624 Re-submission Docs (GS Review Round I)\"/>
    </mc:Choice>
  </mc:AlternateContent>
  <xr:revisionPtr revIDLastSave="0" documentId="13_ncr:1_{C033D708-BB6B-4117-A72E-5D34D13EF7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sults" sheetId="17" r:id="rId1"/>
    <sheet name="EF_ER Estimation" sheetId="18" r:id="rId2"/>
    <sheet name="SDG Estimation" sheetId="19" r:id="rId3"/>
  </sheets>
  <externalReferences>
    <externalReference r:id="rId4"/>
  </externalReferences>
  <definedNames>
    <definedName name="Density_Diesel">[1]Assumptions!$I$22</definedName>
    <definedName name="Density_Oil">[1]Assumptions!$H$22</definedName>
    <definedName name="kJ_kcal">[1]Assumptions!$D$67</definedName>
    <definedName name="Weight_BM">#REF!</definedName>
    <definedName name="Weight_O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8" l="1"/>
  <c r="K37" i="18"/>
  <c r="K38" i="18"/>
  <c r="D36" i="18" l="1"/>
  <c r="D37" i="18"/>
  <c r="D38" i="18"/>
  <c r="D39" i="18"/>
  <c r="D40" i="18"/>
  <c r="D35" i="18"/>
  <c r="C4" i="18" l="1"/>
  <c r="K39" i="18"/>
  <c r="K40" i="18"/>
  <c r="K35" i="18"/>
  <c r="F28" i="18" l="1"/>
  <c r="F29" i="18" s="1"/>
  <c r="C29" i="18"/>
  <c r="I29" i="18"/>
  <c r="J29" i="18"/>
  <c r="L37" i="18" l="1"/>
  <c r="L36" i="18"/>
  <c r="G35" i="18"/>
  <c r="E39" i="18"/>
  <c r="E35" i="18"/>
  <c r="E38" i="18"/>
  <c r="E36" i="18"/>
  <c r="G36" i="18" s="1"/>
  <c r="E40" i="18"/>
  <c r="E37" i="18"/>
  <c r="G37" i="18" s="1"/>
  <c r="C6" i="19"/>
  <c r="L40" i="18"/>
  <c r="L35" i="18"/>
  <c r="L39" i="18"/>
  <c r="L38" i="18"/>
  <c r="D6" i="19" l="1"/>
  <c r="G38" i="18"/>
  <c r="G39" i="18" l="1"/>
  <c r="E6" i="19" l="1"/>
  <c r="G40" i="18"/>
  <c r="G6" i="19" l="1"/>
  <c r="G41" i="18"/>
  <c r="D46" i="18" s="1"/>
  <c r="H8" i="18"/>
  <c r="G8" i="18"/>
  <c r="F8" i="18"/>
  <c r="F16" i="18"/>
  <c r="G12" i="18"/>
  <c r="H12" i="18"/>
  <c r="F12" i="18"/>
  <c r="J32" i="17"/>
  <c r="F19" i="18" l="1"/>
  <c r="J33" i="17"/>
  <c r="F22" i="18" l="1"/>
  <c r="J22" i="18"/>
  <c r="J21" i="17"/>
  <c r="I46" i="18" l="1"/>
  <c r="I7" i="19" s="1"/>
  <c r="I36" i="18"/>
  <c r="M36" i="18" s="1"/>
  <c r="I37" i="18"/>
  <c r="M37" i="18" s="1"/>
  <c r="I38" i="18"/>
  <c r="M38" i="18" s="1"/>
  <c r="E7" i="19" s="1"/>
  <c r="I39" i="18"/>
  <c r="M39" i="18" s="1"/>
  <c r="F7" i="19" s="1"/>
  <c r="I40" i="18"/>
  <c r="M40" i="18" s="1"/>
  <c r="G28" i="18"/>
  <c r="H28" i="18" s="1"/>
  <c r="K28" i="18" s="1"/>
  <c r="K29" i="18" s="1"/>
  <c r="I35" i="18"/>
  <c r="G7" i="19"/>
  <c r="M35" i="18" l="1"/>
  <c r="M41" i="18" s="1"/>
  <c r="I41" i="18"/>
  <c r="H29" i="18"/>
  <c r="D7" i="19"/>
  <c r="F6" i="19"/>
  <c r="C7" i="19"/>
  <c r="H7" i="19" l="1"/>
  <c r="H6" i="19"/>
  <c r="I6" i="19"/>
</calcChain>
</file>

<file path=xl/sharedStrings.xml><?xml version="1.0" encoding="utf-8"?>
<sst xmlns="http://schemas.openxmlformats.org/spreadsheetml/2006/main" count="141" uniqueCount="105">
  <si>
    <t>2021-22</t>
  </si>
  <si>
    <t>2022-23</t>
  </si>
  <si>
    <t>CENTRAL ELECTRICITY AUTHORITY: CO2 BASELINE DATABASE</t>
  </si>
  <si>
    <t xml:space="preserve">VERSION </t>
  </si>
  <si>
    <t>DATE</t>
  </si>
  <si>
    <t>BASELINE METHODOLOGY</t>
  </si>
  <si>
    <t>ACM0002 / Ver 20.0 and "Tool to Calculate the Emission Factor for an Electricity System", Version 7.0</t>
  </si>
  <si>
    <t>19.0</t>
  </si>
  <si>
    <t>GENERATION DATA</t>
  </si>
  <si>
    <t>2018-19</t>
  </si>
  <si>
    <t>2019-20</t>
  </si>
  <si>
    <t>2020-21</t>
  </si>
  <si>
    <t>Gross Generation Total (GWh)</t>
  </si>
  <si>
    <t>Net Generation Total (GWh)</t>
  </si>
  <si>
    <t>Share of Must-Run (Hydro/Nuclear) (% of Net Generation)</t>
  </si>
  <si>
    <t>Net Generation in Operating Margin (GWh)</t>
  </si>
  <si>
    <t>20% of Net Generation (GWh)</t>
  </si>
  <si>
    <t>Net Generation in Build Margin (GWh)</t>
  </si>
  <si>
    <t xml:space="preserve">  Net Renewable Generation (GWh)</t>
  </si>
  <si>
    <t>Gross Generation Total, Including RES and Imports (GWh)</t>
  </si>
  <si>
    <t>Net Generation Total, Including RES and Imports (GWh)</t>
  </si>
  <si>
    <t>Captive Power Injection into Grid (GWh)*</t>
  </si>
  <si>
    <t>Net Generation injected into grid  (Net Gen. adjusted for Captive power injection and Renewable O.A.) (GWh)</t>
  </si>
  <si>
    <t>Renewable Generation in Open access Adjustment(GWh)**</t>
  </si>
  <si>
    <t>* Captive Power Injection for 2022-23 calculated based on progressive analysis from 2021-22 Captive Generation Report published by CEA</t>
  </si>
  <si>
    <t>** Renewable Open access data as provided by IEX,HPX, and PXL Power exchanges for GDAM and GTAM market transactions by Industries/consumers through open access in 2022-23</t>
  </si>
  <si>
    <t>EMISSION DATA</t>
  </si>
  <si>
    <t>Absolute Emissions Total (tCO2)</t>
  </si>
  <si>
    <t>Absolute Emissions OM (tCO2)</t>
  </si>
  <si>
    <t>Absolute Emissions BM (tCO2)</t>
  </si>
  <si>
    <t>Absolute Emissions Avg (inc. Captive Generation Emission)</t>
  </si>
  <si>
    <t>Emission Factors (tCO2/MWh) (incl. Imports)</t>
  </si>
  <si>
    <t>Weighted Average Emission Rate (2)</t>
  </si>
  <si>
    <t>Weighted Average Emission Rate Incl. RES (2)</t>
  </si>
  <si>
    <t xml:space="preserve">Simple Operating Margin (1) (2) </t>
  </si>
  <si>
    <t>Build Margin (not adjusted for imports)</t>
  </si>
  <si>
    <t>Combined Margin (1) (2)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</si>
  <si>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</si>
  <si>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7.0 (p.16)</t>
  </si>
  <si>
    <t>(2) Adjustments for imports from other Indian grids are based on operating margin of exporting grid.</t>
  </si>
  <si>
    <t xml:space="preserve">       For imports from other countries, an emission factor of zero is used.</t>
  </si>
  <si>
    <t xml:space="preserve">       See "Tool to Calculate the Emission Factor for an Electricity System", Ver. 7.0 (p.10 &amp; 11), options a+b</t>
  </si>
  <si>
    <t>Grid Emission Factor (for net effective injection into grid)</t>
  </si>
  <si>
    <t>Net Imports (GWh)</t>
  </si>
  <si>
    <t>Absolute Emissions from Captive Injection in Grid (tCO2)</t>
  </si>
  <si>
    <t>VERSION</t>
  </si>
  <si>
    <t>Net Generation in Operating Margin (GWH) (incl. Imports)</t>
  </si>
  <si>
    <t>Indian Grid</t>
  </si>
  <si>
    <t>Simple Operating Margin (tCO2/MWh) (incl. Imports) (1) (2)</t>
  </si>
  <si>
    <t>Build Margin (tCO2/MWh) (not adjusted for imports)</t>
  </si>
  <si>
    <t>Weighted Generation Operating Margin</t>
  </si>
  <si>
    <r>
      <t>tCO</t>
    </r>
    <r>
      <rPr>
        <vertAlign val="subscript"/>
        <sz val="10"/>
        <rFont val="Cambria"/>
        <family val="1"/>
      </rPr>
      <t>2</t>
    </r>
    <r>
      <rPr>
        <sz val="10"/>
        <rFont val="Cambria"/>
        <family val="1"/>
      </rPr>
      <t>e/MWh</t>
    </r>
  </si>
  <si>
    <t>For Solar Wind project, OM is 75% and BM is 25%</t>
  </si>
  <si>
    <t xml:space="preserve">For Hydro, Biomass project, OM and BM are 50% during validation. </t>
  </si>
  <si>
    <t>EX- ANTE EMISSION REDUCTION CALCULATIONS OF PROJECT ACTIVITY</t>
  </si>
  <si>
    <t>Capacity (MW)</t>
  </si>
  <si>
    <t>PLF</t>
  </si>
  <si>
    <t>Transmission Loss</t>
  </si>
  <si>
    <t>Net Generation</t>
  </si>
  <si>
    <t>Emission Factor</t>
  </si>
  <si>
    <t>Baseline emission</t>
  </si>
  <si>
    <t>Project Emission</t>
  </si>
  <si>
    <t>Leakage emission</t>
  </si>
  <si>
    <t>Emission reductions</t>
  </si>
  <si>
    <t xml:space="preserve"> (MWh/year) </t>
  </si>
  <si>
    <r>
      <t>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/MWh)</t>
    </r>
  </si>
  <si>
    <r>
      <t>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e/ year)</t>
    </r>
  </si>
  <si>
    <r>
      <t xml:space="preserve">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e/ year)</t>
    </r>
  </si>
  <si>
    <t>Total</t>
  </si>
  <si>
    <t>Year</t>
  </si>
  <si>
    <t>MWh/Year</t>
  </si>
  <si>
    <t>Vintage Wise SDG Contribution</t>
  </si>
  <si>
    <t>Period</t>
  </si>
  <si>
    <t>03/08/2022 to 02/08/2023</t>
  </si>
  <si>
    <t>03/08/2023 to 02/08/2024</t>
  </si>
  <si>
    <t>03/08/2024 to 02/08/2025</t>
  </si>
  <si>
    <t>03/08/2025 to 02/08/2026</t>
  </si>
  <si>
    <t>03/08/2026 to 02/08/2027</t>
  </si>
  <si>
    <t>TOTAL</t>
  </si>
  <si>
    <t>Annual Average</t>
  </si>
  <si>
    <t>SDG 7</t>
  </si>
  <si>
    <t>SDG 13</t>
  </si>
  <si>
    <t>SDG 8</t>
  </si>
  <si>
    <t>Project Name</t>
  </si>
  <si>
    <t>Renewable Power Project by Emami Power Ltd</t>
  </si>
  <si>
    <t>Degradation Factor</t>
  </si>
  <si>
    <t>Base Line Emissions</t>
  </si>
  <si>
    <t>Project Emissions</t>
  </si>
  <si>
    <t>Emission Reductions</t>
  </si>
  <si>
    <t>%</t>
  </si>
  <si>
    <t>tCO2e</t>
  </si>
  <si>
    <t>Total Net Generation for the Entire Crediting Period</t>
  </si>
  <si>
    <t>Annual Average Net Electricity Generation</t>
  </si>
  <si>
    <t>Annual Average Emission Reduction</t>
  </si>
  <si>
    <t xml:space="preserve">Net Generation with Degradation Factor </t>
  </si>
  <si>
    <t>Leakage Emission</t>
  </si>
  <si>
    <t>Total Crediting Period (Years)</t>
  </si>
  <si>
    <t>Combined Margin Emission Factor for Wind/Solar Projects (tCO2e/MWh)</t>
  </si>
  <si>
    <t>For hydro, Biomas based projects (tCO2e/MWh)</t>
  </si>
  <si>
    <t>Compiled by :Md Meraj Ali</t>
  </si>
  <si>
    <t>10 people employed per annum and 1 training per annum</t>
  </si>
  <si>
    <t>50 people employed per annum and 5 training per annum</t>
  </si>
  <si>
    <t>No of days</t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</si>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</sst>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[$-409]dd/mmm/yy;@"/>
    <numFmt numFmtId="165" formatCode="0.0%"/>
    <numFmt numFmtId="166" formatCode="#,##0.000"/>
    <numFmt numFmtId="167" formatCode="#0"/>
    <numFmt numFmtId="168" formatCode="#,##0.0000"/>
    <numFmt numFmtId="169" formatCode="#0.0000"/>
    <numFmt numFmtId="170" formatCode="[$-14009]dd/mm/yyyy;@"/>
    <numFmt numFmtId="171" formatCode="0.0000"/>
    <numFmt numFmtId="172" formatCode="0.0"/>
    <numFmt numFmtId="173" formatCode="_(* #,##0_);_(* \(#,##0\);_(* &quot;-&quot;??_);_(@_)"/>
  </numFmts>
  <fonts count="40">
    <font>
      <sz val="11"/>
      <color indexed="8"/>
      <name val="Calibri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b/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1"/>
    </font>
    <font>
      <b/>
      <u/>
      <sz val="11"/>
      <color rgb="FFFFFF00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b/>
      <sz val="11"/>
      <color rgb="FF00B0F0"/>
      <name val="Cambria"/>
      <family val="1"/>
    </font>
    <font>
      <vertAlign val="subscript"/>
      <sz val="10"/>
      <name val="Cambria"/>
      <family val="1"/>
    </font>
    <font>
      <sz val="8"/>
      <name val="Calibri"/>
      <family val="2"/>
    </font>
    <font>
      <b/>
      <sz val="11"/>
      <name val="Arial"/>
      <family val="2"/>
    </font>
    <font>
      <sz val="12"/>
      <name val="Times New Roman"/>
      <family val="1"/>
    </font>
    <font>
      <b/>
      <vertAlign val="subscript"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0"/>
      <color theme="1"/>
      <name val="Arial"/>
      <family val="2"/>
    </font>
    <font>
      <sz val="11"/>
      <color indexed="8"/>
      <name val="Verdana"/>
      <family val="2"/>
    </font>
    <font>
      <sz val="10"/>
      <name val="Helvetica Neue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u val="double"/>
      <sz val="11"/>
      <name val="Arial"/>
      <family val="2"/>
    </font>
    <font>
      <b/>
      <sz val="11"/>
      <color rgb="FF002060"/>
      <name val="Cambria"/>
      <family val="1"/>
    </font>
    <font>
      <b/>
      <u/>
      <sz val="11"/>
      <color theme="1"/>
      <name val="Cambr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 applyNumberFormat="0" applyFill="0" applyBorder="0" applyProtection="0"/>
    <xf numFmtId="164" fontId="9" fillId="0" borderId="1"/>
    <xf numFmtId="164" fontId="9" fillId="0" borderId="1"/>
    <xf numFmtId="0" fontId="14" fillId="0" borderId="1"/>
    <xf numFmtId="9" fontId="14" fillId="0" borderId="1" applyFont="0" applyFill="0" applyBorder="0" applyAlignment="0" applyProtection="0"/>
    <xf numFmtId="0" fontId="3" fillId="0" borderId="1"/>
    <xf numFmtId="0" fontId="3" fillId="0" borderId="1"/>
    <xf numFmtId="9" fontId="9" fillId="0" borderId="1" applyFont="0" applyFill="0" applyBorder="0" applyAlignment="0" applyProtection="0"/>
    <xf numFmtId="0" fontId="23" fillId="0" borderId="1"/>
    <xf numFmtId="9" fontId="2" fillId="0" borderId="1" applyFont="0" applyFill="0" applyBorder="0" applyAlignment="0" applyProtection="0"/>
    <xf numFmtId="9" fontId="1" fillId="0" borderId="1" applyFont="0" applyFill="0" applyBorder="0" applyAlignment="0" applyProtection="0"/>
    <xf numFmtId="43" fontId="35" fillId="0" borderId="0" applyFont="0" applyFill="0" applyBorder="0" applyAlignment="0" applyProtection="0"/>
  </cellStyleXfs>
  <cellXfs count="197">
    <xf numFmtId="0" fontId="0" fillId="0" borderId="0" xfId="0"/>
    <xf numFmtId="0" fontId="0" fillId="0" borderId="1" xfId="0" applyBorder="1"/>
    <xf numFmtId="0" fontId="0" fillId="0" borderId="2" xfId="0" applyBorder="1"/>
    <xf numFmtId="0" fontId="6" fillId="2" borderId="0" xfId="0" applyFont="1" applyFill="1"/>
    <xf numFmtId="0" fontId="6" fillId="2" borderId="1" xfId="0" applyFont="1" applyFill="1" applyBorder="1"/>
    <xf numFmtId="4" fontId="5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0" fontId="7" fillId="0" borderId="2" xfId="0" applyFont="1" applyBorder="1"/>
    <xf numFmtId="0" fontId="4" fillId="0" borderId="0" xfId="0" applyFont="1"/>
    <xf numFmtId="3" fontId="10" fillId="0" borderId="2" xfId="0" applyNumberFormat="1" applyFont="1" applyBorder="1"/>
    <xf numFmtId="0" fontId="6" fillId="2" borderId="1" xfId="0" applyFont="1" applyFill="1" applyBorder="1" applyAlignment="1">
      <alignment horizontal="center"/>
    </xf>
    <xf numFmtId="3" fontId="11" fillId="2" borderId="2" xfId="0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0" fontId="8" fillId="0" borderId="2" xfId="0" applyFont="1" applyBorder="1"/>
    <xf numFmtId="166" fontId="5" fillId="2" borderId="2" xfId="0" applyNumberFormat="1" applyFont="1" applyFill="1" applyBorder="1" applyAlignment="1">
      <alignment horizontal="right"/>
    </xf>
    <xf numFmtId="3" fontId="6" fillId="2" borderId="6" xfId="0" applyNumberFormat="1" applyFont="1" applyFill="1" applyBorder="1" applyAlignment="1">
      <alignment horizontal="right"/>
    </xf>
    <xf numFmtId="10" fontId="6" fillId="2" borderId="2" xfId="0" applyNumberFormat="1" applyFont="1" applyFill="1" applyBorder="1" applyAlignment="1">
      <alignment horizontal="right"/>
    </xf>
    <xf numFmtId="0" fontId="14" fillId="0" borderId="1" xfId="3"/>
    <xf numFmtId="167" fontId="15" fillId="0" borderId="1" xfId="3" applyNumberFormat="1" applyFont="1" applyAlignment="1">
      <alignment vertical="center" wrapText="1"/>
    </xf>
    <xf numFmtId="0" fontId="16" fillId="0" borderId="1" xfId="3" applyFont="1"/>
    <xf numFmtId="167" fontId="17" fillId="0" borderId="13" xfId="3" applyNumberFormat="1" applyFont="1" applyBorder="1"/>
    <xf numFmtId="167" fontId="17" fillId="0" borderId="1" xfId="3" applyNumberFormat="1" applyFont="1"/>
    <xf numFmtId="167" fontId="17" fillId="0" borderId="15" xfId="3" applyNumberFormat="1" applyFont="1" applyBorder="1"/>
    <xf numFmtId="167" fontId="18" fillId="0" borderId="1" xfId="3" applyNumberFormat="1" applyFont="1"/>
    <xf numFmtId="167" fontId="16" fillId="0" borderId="1" xfId="3" applyNumberFormat="1" applyFont="1"/>
    <xf numFmtId="0" fontId="16" fillId="0" borderId="1" xfId="3" applyFont="1" applyAlignment="1">
      <alignment wrapText="1"/>
    </xf>
    <xf numFmtId="0" fontId="16" fillId="0" borderId="1" xfId="3" applyFont="1" applyAlignment="1">
      <alignment horizontal="right" wrapText="1"/>
    </xf>
    <xf numFmtId="167" fontId="19" fillId="6" borderId="18" xfId="3" applyNumberFormat="1" applyFont="1" applyFill="1" applyBorder="1"/>
    <xf numFmtId="167" fontId="19" fillId="0" borderId="1" xfId="3" applyNumberFormat="1" applyFont="1"/>
    <xf numFmtId="4" fontId="17" fillId="7" borderId="19" xfId="3" applyNumberFormat="1" applyFont="1" applyFill="1" applyBorder="1" applyAlignment="1">
      <alignment horizontal="right"/>
    </xf>
    <xf numFmtId="168" fontId="18" fillId="0" borderId="20" xfId="3" applyNumberFormat="1" applyFont="1" applyBorder="1"/>
    <xf numFmtId="3" fontId="18" fillId="0" borderId="20" xfId="3" applyNumberFormat="1" applyFont="1" applyBorder="1"/>
    <xf numFmtId="0" fontId="25" fillId="0" borderId="35" xfId="0" applyFont="1" applyBorder="1" applyAlignment="1">
      <alignment horizontal="left" vertical="center" wrapText="1"/>
    </xf>
    <xf numFmtId="0" fontId="25" fillId="0" borderId="6" xfId="6" applyFont="1" applyBorder="1" applyAlignment="1">
      <alignment horizontal="center" vertical="center"/>
    </xf>
    <xf numFmtId="10" fontId="25" fillId="0" borderId="6" xfId="0" applyNumberFormat="1" applyFont="1" applyBorder="1" applyAlignment="1">
      <alignment horizontal="center" vertical="center"/>
    </xf>
    <xf numFmtId="9" fontId="25" fillId="0" borderId="6" xfId="9" applyFont="1" applyFill="1" applyBorder="1" applyAlignment="1">
      <alignment horizontal="center" vertical="center"/>
    </xf>
    <xf numFmtId="3" fontId="25" fillId="0" borderId="6" xfId="6" applyNumberFormat="1" applyFont="1" applyBorder="1" applyAlignment="1">
      <alignment horizontal="center" vertical="center" wrapText="1"/>
    </xf>
    <xf numFmtId="171" fontId="25" fillId="0" borderId="6" xfId="8" applyNumberFormat="1" applyFont="1" applyBorder="1" applyAlignment="1">
      <alignment horizontal="center" vertical="center" wrapText="1"/>
    </xf>
    <xf numFmtId="3" fontId="25" fillId="0" borderId="6" xfId="8" applyNumberFormat="1" applyFont="1" applyBorder="1" applyAlignment="1">
      <alignment horizontal="center" vertical="center" wrapText="1"/>
    </xf>
    <xf numFmtId="0" fontId="25" fillId="0" borderId="6" xfId="5" applyFont="1" applyBorder="1" applyAlignment="1">
      <alignment horizontal="center" vertical="center"/>
    </xf>
    <xf numFmtId="3" fontId="25" fillId="0" borderId="36" xfId="8" applyNumberFormat="1" applyFont="1" applyBorder="1" applyAlignment="1">
      <alignment horizontal="center" vertical="center" wrapText="1"/>
    </xf>
    <xf numFmtId="0" fontId="22" fillId="0" borderId="38" xfId="5" applyFont="1" applyBorder="1" applyAlignment="1">
      <alignment horizontal="center" vertical="center"/>
    </xf>
    <xf numFmtId="0" fontId="22" fillId="0" borderId="38" xfId="5" applyFont="1" applyBorder="1"/>
    <xf numFmtId="3" fontId="22" fillId="0" borderId="38" xfId="5" applyNumberFormat="1" applyFont="1" applyBorder="1" applyAlignment="1">
      <alignment horizontal="center" vertical="center"/>
    </xf>
    <xf numFmtId="3" fontId="26" fillId="0" borderId="38" xfId="5" applyNumberFormat="1" applyFont="1" applyBorder="1" applyAlignment="1">
      <alignment horizontal="center" vertical="center"/>
    </xf>
    <xf numFmtId="1" fontId="22" fillId="0" borderId="38" xfId="5" applyNumberFormat="1" applyFont="1" applyBorder="1" applyAlignment="1">
      <alignment horizontal="center" vertical="center"/>
    </xf>
    <xf numFmtId="3" fontId="26" fillId="0" borderId="39" xfId="5" applyNumberFormat="1" applyFont="1" applyBorder="1" applyAlignment="1">
      <alignment horizontal="center" vertical="center"/>
    </xf>
    <xf numFmtId="0" fontId="25" fillId="0" borderId="0" xfId="0" applyFont="1"/>
    <xf numFmtId="0" fontId="27" fillId="0" borderId="6" xfId="5" applyFont="1" applyBorder="1" applyAlignment="1">
      <alignment horizontal="left" vertical="center" wrapText="1"/>
    </xf>
    <xf numFmtId="0" fontId="22" fillId="0" borderId="30" xfId="8" applyFont="1" applyBorder="1" applyAlignment="1">
      <alignment vertical="center" wrapText="1"/>
    </xf>
    <xf numFmtId="0" fontId="22" fillId="0" borderId="31" xfId="8" applyFont="1" applyBorder="1" applyAlignment="1">
      <alignment vertical="center" wrapText="1"/>
    </xf>
    <xf numFmtId="0" fontId="22" fillId="0" borderId="33" xfId="8" applyFont="1" applyBorder="1" applyAlignment="1">
      <alignment vertical="center" wrapText="1"/>
    </xf>
    <xf numFmtId="168" fontId="22" fillId="0" borderId="34" xfId="8" applyNumberFormat="1" applyFont="1" applyBorder="1" applyAlignment="1">
      <alignment vertical="center" wrapText="1"/>
    </xf>
    <xf numFmtId="0" fontId="26" fillId="9" borderId="6" xfId="5" applyFont="1" applyFill="1" applyBorder="1" applyAlignment="1">
      <alignment horizontal="center" vertical="center" wrapText="1"/>
    </xf>
    <xf numFmtId="0" fontId="29" fillId="0" borderId="0" xfId="0" applyFont="1"/>
    <xf numFmtId="0" fontId="30" fillId="10" borderId="6" xfId="5" applyFont="1" applyFill="1" applyBorder="1" applyAlignment="1">
      <alignment horizontal="left" vertical="center" wrapText="1"/>
    </xf>
    <xf numFmtId="0" fontId="31" fillId="10" borderId="6" xfId="0" applyFont="1" applyFill="1" applyBorder="1" applyAlignment="1">
      <alignment horizontal="center" vertical="center" wrapText="1"/>
    </xf>
    <xf numFmtId="0" fontId="28" fillId="0" borderId="6" xfId="5" applyFont="1" applyBorder="1" applyAlignment="1">
      <alignment horizontal="left" vertical="center" wrapText="1"/>
    </xf>
    <xf numFmtId="0" fontId="33" fillId="0" borderId="0" xfId="0" applyFont="1"/>
    <xf numFmtId="166" fontId="18" fillId="0" borderId="20" xfId="3" applyNumberFormat="1" applyFont="1" applyBorder="1"/>
    <xf numFmtId="0" fontId="22" fillId="0" borderId="37" xfId="5" applyFont="1" applyBorder="1"/>
    <xf numFmtId="0" fontId="16" fillId="0" borderId="0" xfId="0" applyFont="1"/>
    <xf numFmtId="2" fontId="34" fillId="2" borderId="6" xfId="0" applyNumberFormat="1" applyFont="1" applyFill="1" applyBorder="1" applyAlignment="1">
      <alignment vertical="center"/>
    </xf>
    <xf numFmtId="10" fontId="34" fillId="2" borderId="6" xfId="0" applyNumberFormat="1" applyFont="1" applyFill="1" applyBorder="1" applyAlignment="1">
      <alignment vertical="center"/>
    </xf>
    <xf numFmtId="1" fontId="34" fillId="2" borderId="6" xfId="0" applyNumberFormat="1" applyFont="1" applyFill="1" applyBorder="1" applyAlignment="1">
      <alignment vertical="center"/>
    </xf>
    <xf numFmtId="0" fontId="7" fillId="0" borderId="0" xfId="0" applyFont="1"/>
    <xf numFmtId="0" fontId="9" fillId="0" borderId="0" xfId="0" applyFont="1"/>
    <xf numFmtId="43" fontId="0" fillId="0" borderId="0" xfId="0" applyNumberFormat="1"/>
    <xf numFmtId="167" fontId="38" fillId="6" borderId="18" xfId="3" applyNumberFormat="1" applyFont="1" applyFill="1" applyBorder="1"/>
    <xf numFmtId="3" fontId="32" fillId="2" borderId="6" xfId="5" applyNumberFormat="1" applyFont="1" applyFill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0" fontId="32" fillId="2" borderId="6" xfId="5" applyFont="1" applyFill="1" applyBorder="1" applyAlignment="1">
      <alignment horizontal="left" vertical="center" wrapText="1"/>
    </xf>
    <xf numFmtId="0" fontId="26" fillId="9" borderId="6" xfId="5" applyFont="1" applyFill="1" applyBorder="1" applyAlignment="1">
      <alignment vertical="center" wrapText="1"/>
    </xf>
    <xf numFmtId="14" fontId="27" fillId="0" borderId="6" xfId="5" applyNumberFormat="1" applyFont="1" applyBorder="1" applyAlignment="1">
      <alignment horizontal="left" vertical="center" wrapText="1"/>
    </xf>
    <xf numFmtId="43" fontId="16" fillId="0" borderId="0" xfId="0" applyNumberFormat="1" applyFont="1"/>
    <xf numFmtId="3" fontId="0" fillId="0" borderId="6" xfId="0" applyNumberFormat="1" applyBorder="1"/>
    <xf numFmtId="0" fontId="0" fillId="0" borderId="6" xfId="0" applyBorder="1"/>
    <xf numFmtId="0" fontId="5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17" fontId="11" fillId="2" borderId="3" xfId="0" quotePrefix="1" applyNumberFormat="1" applyFont="1" applyFill="1" applyBorder="1" applyAlignment="1">
      <alignment horizontal="center"/>
    </xf>
    <xf numFmtId="17" fontId="11" fillId="2" borderId="5" xfId="0" quotePrefix="1" applyNumberFormat="1" applyFont="1" applyFill="1" applyBorder="1" applyAlignment="1">
      <alignment horizontal="center"/>
    </xf>
    <xf numFmtId="17" fontId="11" fillId="2" borderId="4" xfId="0" quotePrefix="1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13" fillId="3" borderId="2" xfId="0" applyFont="1" applyFill="1" applyBorder="1" applyAlignment="1">
      <alignment horizontal="center"/>
    </xf>
    <xf numFmtId="0" fontId="26" fillId="9" borderId="42" xfId="5" applyFont="1" applyFill="1" applyBorder="1" applyAlignment="1">
      <alignment horizontal="center" vertical="center" wrapText="1"/>
    </xf>
    <xf numFmtId="0" fontId="26" fillId="9" borderId="43" xfId="5" applyFont="1" applyFill="1" applyBorder="1" applyAlignment="1">
      <alignment horizontal="center" vertical="center" wrapText="1"/>
    </xf>
    <xf numFmtId="0" fontId="26" fillId="9" borderId="44" xfId="5" applyFont="1" applyFill="1" applyBorder="1" applyAlignment="1">
      <alignment horizontal="center" vertical="center" wrapText="1"/>
    </xf>
    <xf numFmtId="0" fontId="26" fillId="9" borderId="45" xfId="5" applyFont="1" applyFill="1" applyBorder="1" applyAlignment="1">
      <alignment horizontal="center" vertical="center" wrapText="1"/>
    </xf>
    <xf numFmtId="43" fontId="0" fillId="0" borderId="7" xfId="0" applyNumberFormat="1" applyBorder="1" applyAlignment="1">
      <alignment horizontal="right"/>
    </xf>
    <xf numFmtId="43" fontId="0" fillId="0" borderId="8" xfId="0" applyNumberFormat="1" applyBorder="1" applyAlignment="1">
      <alignment horizontal="right"/>
    </xf>
    <xf numFmtId="0" fontId="34" fillId="2" borderId="7" xfId="0" applyFont="1" applyFill="1" applyBorder="1" applyAlignment="1">
      <alignment horizontal="left" vertical="center"/>
    </xf>
    <xf numFmtId="0" fontId="34" fillId="2" borderId="9" xfId="0" applyFont="1" applyFill="1" applyBorder="1" applyAlignment="1">
      <alignment horizontal="left" vertical="center"/>
    </xf>
    <xf numFmtId="0" fontId="34" fillId="2" borderId="8" xfId="0" applyFont="1" applyFill="1" applyBorder="1" applyAlignment="1">
      <alignment horizontal="left" vertical="center"/>
    </xf>
    <xf numFmtId="3" fontId="34" fillId="2" borderId="7" xfId="0" applyNumberFormat="1" applyFont="1" applyFill="1" applyBorder="1" applyAlignment="1">
      <alignment horizontal="center" vertical="center"/>
    </xf>
    <xf numFmtId="3" fontId="34" fillId="2" borderId="8" xfId="0" applyNumberFormat="1" applyFont="1" applyFill="1" applyBorder="1" applyAlignment="1">
      <alignment horizontal="center" vertical="center"/>
    </xf>
    <xf numFmtId="3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3" fontId="34" fillId="2" borderId="6" xfId="0" applyNumberFormat="1" applyFont="1" applyFill="1" applyBorder="1" applyAlignment="1">
      <alignment horizontal="center" vertical="center"/>
    </xf>
    <xf numFmtId="43" fontId="34" fillId="2" borderId="6" xfId="11" applyFont="1" applyFill="1" applyBorder="1" applyAlignment="1">
      <alignment horizontal="center" vertical="center"/>
    </xf>
    <xf numFmtId="0" fontId="26" fillId="9" borderId="7" xfId="5" applyFont="1" applyFill="1" applyBorder="1" applyAlignment="1">
      <alignment horizontal="center" vertical="center" wrapText="1"/>
    </xf>
    <xf numFmtId="0" fontId="26" fillId="9" borderId="8" xfId="5" applyFont="1" applyFill="1" applyBorder="1" applyAlignment="1">
      <alignment horizontal="center" vertical="center" wrapText="1"/>
    </xf>
    <xf numFmtId="0" fontId="26" fillId="9" borderId="42" xfId="5" applyFont="1" applyFill="1" applyBorder="1" applyAlignment="1">
      <alignment horizontal="center" vertical="center"/>
    </xf>
    <xf numFmtId="0" fontId="26" fillId="9" borderId="43" xfId="5" applyFont="1" applyFill="1" applyBorder="1" applyAlignment="1">
      <alignment horizontal="center" vertical="center"/>
    </xf>
    <xf numFmtId="0" fontId="26" fillId="9" borderId="44" xfId="5" applyFont="1" applyFill="1" applyBorder="1" applyAlignment="1">
      <alignment horizontal="center" vertical="center"/>
    </xf>
    <xf numFmtId="0" fontId="26" fillId="9" borderId="45" xfId="5" applyFont="1" applyFill="1" applyBorder="1" applyAlignment="1">
      <alignment horizontal="center" vertical="center"/>
    </xf>
    <xf numFmtId="173" fontId="13" fillId="2" borderId="46" xfId="11" applyNumberFormat="1" applyFont="1" applyFill="1" applyBorder="1" applyAlignment="1">
      <alignment horizontal="left" vertical="center"/>
    </xf>
    <xf numFmtId="173" fontId="13" fillId="2" borderId="48" xfId="11" applyNumberFormat="1" applyFont="1" applyFill="1" applyBorder="1" applyAlignment="1">
      <alignment horizontal="left" vertical="center"/>
    </xf>
    <xf numFmtId="173" fontId="13" fillId="2" borderId="49" xfId="11" applyNumberFormat="1" applyFont="1" applyFill="1" applyBorder="1" applyAlignment="1">
      <alignment horizontal="left" vertical="center"/>
    </xf>
    <xf numFmtId="173" fontId="13" fillId="2" borderId="51" xfId="11" applyNumberFormat="1" applyFont="1" applyFill="1" applyBorder="1" applyAlignment="1">
      <alignment horizontal="left" vertical="center"/>
    </xf>
    <xf numFmtId="0" fontId="13" fillId="9" borderId="52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37" xfId="0" applyFont="1" applyFill="1" applyBorder="1" applyAlignment="1">
      <alignment horizontal="center" vertical="center"/>
    </xf>
    <xf numFmtId="0" fontId="13" fillId="9" borderId="39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172" fontId="13" fillId="9" borderId="46" xfId="0" applyNumberFormat="1" applyFont="1" applyFill="1" applyBorder="1" applyAlignment="1">
      <alignment horizontal="center" vertical="center" wrapText="1"/>
    </xf>
    <xf numFmtId="172" fontId="13" fillId="9" borderId="48" xfId="0" applyNumberFormat="1" applyFont="1" applyFill="1" applyBorder="1" applyAlignment="1">
      <alignment horizontal="center" vertical="center" wrapText="1"/>
    </xf>
    <xf numFmtId="172" fontId="13" fillId="9" borderId="49" xfId="0" applyNumberFormat="1" applyFont="1" applyFill="1" applyBorder="1" applyAlignment="1">
      <alignment horizontal="center" vertical="center" wrapText="1"/>
    </xf>
    <xf numFmtId="172" fontId="13" fillId="9" borderId="51" xfId="0" applyNumberFormat="1" applyFont="1" applyFill="1" applyBorder="1" applyAlignment="1">
      <alignment horizontal="center" vertical="center" wrapText="1"/>
    </xf>
    <xf numFmtId="43" fontId="13" fillId="2" borderId="47" xfId="11" applyFont="1" applyFill="1" applyBorder="1" applyAlignment="1">
      <alignment vertical="center"/>
    </xf>
    <xf numFmtId="43" fontId="13" fillId="2" borderId="48" xfId="11" applyFont="1" applyFill="1" applyBorder="1" applyAlignment="1">
      <alignment vertical="center"/>
    </xf>
    <xf numFmtId="43" fontId="13" fillId="2" borderId="50" xfId="11" applyFont="1" applyFill="1" applyBorder="1" applyAlignment="1">
      <alignment vertical="center"/>
    </xf>
    <xf numFmtId="43" fontId="13" fillId="2" borderId="51" xfId="11" applyFont="1" applyFill="1" applyBorder="1" applyAlignment="1">
      <alignment vertical="center"/>
    </xf>
    <xf numFmtId="0" fontId="36" fillId="9" borderId="46" xfId="0" applyFont="1" applyFill="1" applyBorder="1" applyAlignment="1">
      <alignment vertical="center" wrapText="1"/>
    </xf>
    <xf numFmtId="0" fontId="36" fillId="9" borderId="48" xfId="0" applyFont="1" applyFill="1" applyBorder="1" applyAlignment="1">
      <alignment vertical="center" wrapText="1"/>
    </xf>
    <xf numFmtId="0" fontId="36" fillId="9" borderId="49" xfId="0" applyFont="1" applyFill="1" applyBorder="1" applyAlignment="1">
      <alignment vertical="center" wrapText="1"/>
    </xf>
    <xf numFmtId="0" fontId="36" fillId="9" borderId="51" xfId="0" applyFont="1" applyFill="1" applyBorder="1" applyAlignment="1">
      <alignment vertical="center" wrapText="1"/>
    </xf>
    <xf numFmtId="3" fontId="0" fillId="0" borderId="42" xfId="0" applyNumberFormat="1" applyBorder="1" applyAlignment="1">
      <alignment horizontal="center"/>
    </xf>
    <xf numFmtId="0" fontId="0" fillId="0" borderId="53" xfId="0" applyBorder="1" applyAlignment="1">
      <alignment horizontal="center"/>
    </xf>
    <xf numFmtId="0" fontId="26" fillId="9" borderId="6" xfId="5" applyFont="1" applyFill="1" applyBorder="1" applyAlignment="1">
      <alignment horizontal="center" vertical="center" wrapText="1"/>
    </xf>
    <xf numFmtId="0" fontId="37" fillId="8" borderId="25" xfId="5" applyFont="1" applyFill="1" applyBorder="1" applyAlignment="1">
      <alignment horizontal="center" vertical="center" wrapText="1"/>
    </xf>
    <xf numFmtId="0" fontId="37" fillId="8" borderId="26" xfId="5" applyFont="1" applyFill="1" applyBorder="1" applyAlignment="1">
      <alignment horizontal="center" vertical="center" wrapText="1"/>
    </xf>
    <xf numFmtId="0" fontId="37" fillId="8" borderId="27" xfId="5" applyFont="1" applyFill="1" applyBorder="1" applyAlignment="1">
      <alignment horizontal="center" vertical="center" wrapText="1"/>
    </xf>
    <xf numFmtId="0" fontId="22" fillId="0" borderId="28" xfId="5" applyFont="1" applyBorder="1" applyAlignment="1">
      <alignment vertical="center"/>
    </xf>
    <xf numFmtId="0" fontId="22" fillId="0" borderId="41" xfId="5" applyFont="1" applyBorder="1" applyAlignment="1">
      <alignment vertical="center"/>
    </xf>
    <xf numFmtId="0" fontId="22" fillId="0" borderId="29" xfId="5" applyFont="1" applyBorder="1" applyAlignment="1">
      <alignment vertical="center" wrapText="1"/>
    </xf>
    <xf numFmtId="0" fontId="22" fillId="0" borderId="40" xfId="5" applyFont="1" applyBorder="1" applyAlignment="1">
      <alignment vertical="center" wrapText="1"/>
    </xf>
    <xf numFmtId="0" fontId="22" fillId="0" borderId="29" xfId="5" applyFont="1" applyBorder="1" applyAlignment="1">
      <alignment vertical="center"/>
    </xf>
    <xf numFmtId="0" fontId="22" fillId="0" borderId="40" xfId="5" applyFont="1" applyBorder="1" applyAlignment="1">
      <alignment vertical="center"/>
    </xf>
    <xf numFmtId="0" fontId="26" fillId="9" borderId="33" xfId="5" applyFont="1" applyFill="1" applyBorder="1" applyAlignment="1">
      <alignment horizontal="center" vertical="center" wrapText="1"/>
    </xf>
    <xf numFmtId="0" fontId="26" fillId="9" borderId="40" xfId="5" applyFont="1" applyFill="1" applyBorder="1" applyAlignment="1">
      <alignment horizontal="center" vertical="center" wrapText="1"/>
    </xf>
    <xf numFmtId="0" fontId="26" fillId="9" borderId="32" xfId="5" applyFont="1" applyFill="1" applyBorder="1" applyAlignment="1">
      <alignment horizontal="center" vertical="center" wrapText="1"/>
    </xf>
    <xf numFmtId="167" fontId="17" fillId="0" borderId="20" xfId="3" applyNumberFormat="1" applyFont="1" applyBorder="1" applyAlignment="1">
      <alignment horizontal="left"/>
    </xf>
    <xf numFmtId="167" fontId="39" fillId="11" borderId="10" xfId="3" applyNumberFormat="1" applyFont="1" applyFill="1" applyBorder="1" applyAlignment="1">
      <alignment horizontal="center" vertical="center" wrapText="1"/>
    </xf>
    <xf numFmtId="167" fontId="39" fillId="11" borderId="11" xfId="3" applyNumberFormat="1" applyFont="1" applyFill="1" applyBorder="1" applyAlignment="1">
      <alignment horizontal="center" vertical="center" wrapText="1"/>
    </xf>
    <xf numFmtId="167" fontId="39" fillId="11" borderId="12" xfId="3" applyNumberFormat="1" applyFont="1" applyFill="1" applyBorder="1" applyAlignment="1">
      <alignment horizontal="center" vertical="center" wrapText="1"/>
    </xf>
    <xf numFmtId="167" fontId="17" fillId="0" borderId="14" xfId="3" applyNumberFormat="1" applyFont="1" applyBorder="1" applyAlignment="1">
      <alignment horizontal="center"/>
    </xf>
    <xf numFmtId="167" fontId="17" fillId="0" borderId="1" xfId="3" applyNumberFormat="1" applyFont="1" applyAlignment="1">
      <alignment horizontal="center"/>
    </xf>
    <xf numFmtId="170" fontId="18" fillId="0" borderId="17" xfId="3" applyNumberFormat="1" applyFont="1" applyBorder="1" applyAlignment="1">
      <alignment horizontal="center" wrapText="1"/>
    </xf>
    <xf numFmtId="170" fontId="18" fillId="0" borderId="16" xfId="3" applyNumberFormat="1" applyFont="1" applyBorder="1" applyAlignment="1">
      <alignment horizontal="center" wrapText="1"/>
    </xf>
    <xf numFmtId="167" fontId="18" fillId="0" borderId="19" xfId="3" applyNumberFormat="1" applyFont="1" applyBorder="1" applyAlignment="1">
      <alignment horizontal="center"/>
    </xf>
    <xf numFmtId="167" fontId="16" fillId="0" borderId="19" xfId="3" applyNumberFormat="1" applyFont="1" applyBorder="1" applyAlignment="1">
      <alignment horizontal="center"/>
    </xf>
    <xf numFmtId="167" fontId="16" fillId="0" borderId="17" xfId="3" applyNumberFormat="1" applyFont="1" applyBorder="1" applyAlignment="1">
      <alignment horizontal="center"/>
    </xf>
    <xf numFmtId="167" fontId="16" fillId="0" borderId="16" xfId="3" applyNumberFormat="1" applyFont="1" applyBorder="1" applyAlignment="1">
      <alignment horizontal="center"/>
    </xf>
    <xf numFmtId="169" fontId="18" fillId="0" borderId="21" xfId="0" applyNumberFormat="1" applyFont="1" applyBorder="1" applyAlignment="1">
      <alignment horizontal="center"/>
    </xf>
    <xf numFmtId="169" fontId="18" fillId="0" borderId="22" xfId="0" applyNumberFormat="1" applyFont="1" applyBorder="1" applyAlignment="1">
      <alignment horizontal="center"/>
    </xf>
    <xf numFmtId="169" fontId="18" fillId="0" borderId="23" xfId="3" applyNumberFormat="1" applyFont="1" applyBorder="1" applyAlignment="1">
      <alignment horizontal="right"/>
    </xf>
    <xf numFmtId="169" fontId="18" fillId="0" borderId="24" xfId="3" applyNumberFormat="1" applyFont="1" applyBorder="1" applyAlignment="1">
      <alignment horizontal="right"/>
    </xf>
    <xf numFmtId="169" fontId="18" fillId="0" borderId="22" xfId="3" applyNumberFormat="1" applyFont="1" applyBorder="1" applyAlignment="1">
      <alignment horizontal="right"/>
    </xf>
    <xf numFmtId="169" fontId="18" fillId="0" borderId="19" xfId="0" applyNumberFormat="1" applyFont="1" applyBorder="1" applyAlignment="1">
      <alignment horizontal="right"/>
    </xf>
    <xf numFmtId="169" fontId="18" fillId="0" borderId="17" xfId="0" applyNumberFormat="1" applyFont="1" applyBorder="1" applyAlignment="1">
      <alignment horizontal="right"/>
    </xf>
    <xf numFmtId="169" fontId="18" fillId="0" borderId="16" xfId="0" applyNumberFormat="1" applyFont="1" applyBorder="1" applyAlignment="1">
      <alignment horizontal="right"/>
    </xf>
    <xf numFmtId="0" fontId="28" fillId="10" borderId="33" xfId="5" applyFont="1" applyFill="1" applyBorder="1" applyAlignment="1">
      <alignment horizontal="left" vertical="center" wrapText="1"/>
    </xf>
  </cellXfs>
  <cellStyles count="12">
    <cellStyle name="Comma" xfId="11" builtinId="3"/>
    <cellStyle name="Normal" xfId="0" builtinId="0"/>
    <cellStyle name="Normal 10" xfId="1" xr:uid="{00000000-0005-0000-0000-000002000000}"/>
    <cellStyle name="Normal 16" xfId="5" xr:uid="{424AF697-8185-4A28-B292-DC3EEF71D77A}"/>
    <cellStyle name="Normal 16 2" xfId="6" xr:uid="{D1C40913-3494-46F2-B170-A51C254365C2}"/>
    <cellStyle name="Normal 2" xfId="2" xr:uid="{00000000-0005-0000-0000-000003000000}"/>
    <cellStyle name="Normal 3" xfId="3" xr:uid="{ACC5D4BA-B89E-469A-BDDF-FD101191C383}"/>
    <cellStyle name="Normal_Sheet1 2" xfId="8" xr:uid="{E58D2DB7-0BC0-4DE3-936B-994A265F85A0}"/>
    <cellStyle name="Percent 2" xfId="7" xr:uid="{74CD51CC-DE02-410D-AA07-DF4EEAA74284}"/>
    <cellStyle name="Percent 3" xfId="4" xr:uid="{A19A050D-8D95-4748-AED6-5D1DBE08D039}"/>
    <cellStyle name="Percent 6" xfId="10" xr:uid="{B5A62751-3FFA-4E15-ABF9-E8033B1499F9}"/>
    <cellStyle name="Percent 6 2" xfId="9" xr:uid="{40B83161-9AD2-43EA-A69E-04888D29A4CC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BE4D5"/>
      <rgbColor rgb="FFAAAAAA"/>
      <rgbColor rgb="FF0000FF"/>
      <rgbColor rgb="FFFFFFFF"/>
      <rgbColor rgb="FFE2EEDA"/>
      <rgbColor rgb="FFECECEC"/>
      <rgbColor rgb="FFFF0000"/>
      <rgbColor rgb="FF0C0C0C"/>
      <rgbColor rgb="FFFFF2CB"/>
      <rgbColor rgb="FFDEEAF6"/>
      <rgbColor rgb="FFF2F2F2"/>
      <rgbColor rgb="FF0563C1"/>
      <rgbColor rgb="FFC00000"/>
      <rgbColor rgb="FFFF2600"/>
      <rgbColor rgb="FF548135"/>
      <rgbColor rgb="FF335593"/>
      <rgbColor rgb="FFC0C0C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rkaran%20Singh/Downloads/2021-22%20CO2%20database%20final_VM281222_Publish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Questions 13-14"/>
      <sheetName val="Questions CEA-FC 14-15"/>
      <sheetName val="FC Quality Check 1 &amp; 2"/>
      <sheetName val="Data"/>
      <sheetName val="Results"/>
      <sheetName val="Transfer (1G)"/>
      <sheetName val="Units + Abbrev"/>
      <sheetName val="Assumptions"/>
      <sheetName val="Compare"/>
      <sheetName val="BM2022"/>
      <sheetName val="Unit_Gen2022"/>
      <sheetName val="Transfers (2G)"/>
      <sheetName val="Transfers (5G)"/>
      <sheetName val="BM 1011"/>
      <sheetName val="BM 1112"/>
      <sheetName val="BM 1213"/>
      <sheetName val="BM 1314"/>
      <sheetName val="BM 1415"/>
      <sheetName val="BM 1516"/>
      <sheetName val="Stat 1011"/>
      <sheetName val="BM 1617"/>
      <sheetName val="Stat 1112"/>
      <sheetName val="Stat 1213"/>
      <sheetName val="Stat 1314"/>
      <sheetName val="Stat 1415"/>
      <sheetName val="Stat 1516"/>
      <sheetName val="BM 1718"/>
      <sheetName val="BM 1819"/>
      <sheetName val="BM2021"/>
      <sheetName val="BM 1920"/>
      <sheetName val="Stat 1617"/>
      <sheetName val="Unit_Gen 1011"/>
      <sheetName val="Unit_Gen 1112"/>
      <sheetName val="Unit_Gen 1213"/>
      <sheetName val="Unit_Gen 1314"/>
      <sheetName val="Unit_Gen 1415"/>
      <sheetName val="Unit_Gen 1516"/>
      <sheetName val="CDM Projects until 2013-14"/>
      <sheetName val="CDM Projects until 2013-14_old"/>
      <sheetName val="CDM Projects until 2014-15"/>
      <sheetName val="Unit_Gen 1617"/>
      <sheetName val="CDM Projects untill 2015-16"/>
      <sheetName val="Stat 1718"/>
      <sheetName val="Stat 1819"/>
      <sheetName val="Unit_Gen1718"/>
      <sheetName val="CDM Projects untill 2016-17"/>
      <sheetName val="Figures for User Guide 1314"/>
      <sheetName val="Figures for User Guide 1415"/>
      <sheetName val="Figures for User Guide 1516"/>
      <sheetName val="Stat 2022"/>
      <sheetName val="Stat 2021"/>
      <sheetName val="Stat 1920"/>
      <sheetName val="Unit_Gen1819"/>
      <sheetName val="Unit_Gen2021"/>
      <sheetName val="CDM Projects untill 2021-22"/>
      <sheetName val="CDM Projects untill 2020-21"/>
      <sheetName val="Figures for User Guide 2022"/>
      <sheetName val="Figures for User Guide 2021"/>
      <sheetName val="Unit_Gen 1920"/>
      <sheetName val="CDM Projects untill 2017-18"/>
      <sheetName val="CDM Projects untill 2018-19"/>
      <sheetName val="Figures for User Guide 1617"/>
      <sheetName val="Figures for User Guide 1819"/>
      <sheetName val="CDM Projects untill 201920"/>
      <sheetName val="Figures for User Guide 1920"/>
      <sheetName val="Figures for User Guide 17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2">
          <cell r="H22">
            <v>0.95</v>
          </cell>
          <cell r="I22">
            <v>0.83</v>
          </cell>
        </row>
        <row r="67">
          <cell r="D67">
            <v>4.1867999999999999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tabSelected="1" workbookViewId="0">
      <selection activeCell="C3" sqref="C3:J3"/>
    </sheetView>
  </sheetViews>
  <sheetFormatPr defaultRowHeight="15"/>
  <cols>
    <col min="2" max="2" width="15.5703125" customWidth="1"/>
    <col min="3" max="4" width="11.5703125" customWidth="1"/>
    <col min="5" max="5" width="8.5703125" customWidth="1"/>
    <col min="6" max="7" width="13.28515625" bestFit="1" customWidth="1"/>
    <col min="8" max="9" width="11.5703125" customWidth="1"/>
    <col min="10" max="10" width="12.7109375" bestFit="1" customWidth="1"/>
  </cols>
  <sheetData>
    <row r="1" spans="1:13">
      <c r="A1" s="90" t="s">
        <v>2</v>
      </c>
      <c r="B1" s="90"/>
      <c r="C1" s="90"/>
      <c r="D1" s="90"/>
      <c r="E1" s="90"/>
      <c r="F1" s="90"/>
      <c r="G1" s="90"/>
      <c r="H1" s="90"/>
      <c r="I1" s="90"/>
      <c r="J1" s="90"/>
    </row>
    <row r="2" spans="1:13">
      <c r="A2" s="91" t="s">
        <v>3</v>
      </c>
      <c r="B2" s="92"/>
      <c r="C2" s="94" t="s">
        <v>7</v>
      </c>
      <c r="D2" s="95"/>
      <c r="E2" s="95"/>
      <c r="F2" s="95"/>
      <c r="G2" s="95"/>
      <c r="H2" s="95"/>
      <c r="I2" s="95"/>
      <c r="J2" s="96"/>
    </row>
    <row r="3" spans="1:13">
      <c r="A3" s="91" t="s">
        <v>4</v>
      </c>
      <c r="B3" s="92"/>
      <c r="C3" s="97">
        <v>45231</v>
      </c>
      <c r="D3" s="98"/>
      <c r="E3" s="98"/>
      <c r="F3" s="98"/>
      <c r="G3" s="98"/>
      <c r="H3" s="98"/>
      <c r="I3" s="98"/>
      <c r="J3" s="99"/>
    </row>
    <row r="4" spans="1:13">
      <c r="A4" s="93" t="s">
        <v>5</v>
      </c>
      <c r="B4" s="93"/>
      <c r="C4" s="100" t="s">
        <v>6</v>
      </c>
      <c r="D4" s="100"/>
      <c r="E4" s="100"/>
      <c r="F4" s="100"/>
      <c r="G4" s="100"/>
      <c r="H4" s="100"/>
      <c r="I4" s="100"/>
      <c r="J4" s="101"/>
    </row>
    <row r="7" spans="1:13">
      <c r="A7" s="83" t="s">
        <v>8</v>
      </c>
      <c r="B7" s="83"/>
      <c r="C7" s="83"/>
      <c r="D7" s="83"/>
      <c r="E7" s="83"/>
      <c r="F7" s="5" t="s">
        <v>9</v>
      </c>
      <c r="G7" s="5" t="s">
        <v>10</v>
      </c>
      <c r="H7" s="5" t="s">
        <v>11</v>
      </c>
      <c r="I7" s="5" t="s">
        <v>0</v>
      </c>
      <c r="J7" s="5" t="s">
        <v>1</v>
      </c>
    </row>
    <row r="8" spans="1:13">
      <c r="A8" s="84" t="s">
        <v>12</v>
      </c>
      <c r="B8" s="85"/>
      <c r="C8" s="85"/>
      <c r="D8" s="85"/>
      <c r="E8" s="86"/>
      <c r="F8" s="6">
        <v>1247574.7130910009</v>
      </c>
      <c r="G8" s="6">
        <v>1244852.6801227855</v>
      </c>
      <c r="H8" s="6">
        <v>1227903.5453740791</v>
      </c>
      <c r="I8" s="6">
        <v>1316914.3713470998</v>
      </c>
      <c r="J8" s="17">
        <v>1413853.51</v>
      </c>
    </row>
    <row r="9" spans="1:13">
      <c r="A9" s="87" t="s">
        <v>13</v>
      </c>
      <c r="B9" s="88"/>
      <c r="C9" s="88"/>
      <c r="D9" s="88"/>
      <c r="E9" s="89"/>
      <c r="F9" s="6">
        <v>1165160.0021972021</v>
      </c>
      <c r="G9" s="6">
        <v>1162971.1384100253</v>
      </c>
      <c r="H9" s="6">
        <v>1147523.1374474028</v>
      </c>
      <c r="I9" s="6">
        <v>1230099.4793707305</v>
      </c>
      <c r="J9" s="17">
        <v>1320179.6100000001</v>
      </c>
    </row>
    <row r="10" spans="1:13">
      <c r="A10" s="84" t="s">
        <v>14</v>
      </c>
      <c r="B10" s="85"/>
      <c r="C10" s="85"/>
      <c r="D10" s="85"/>
      <c r="E10" s="86"/>
      <c r="F10" s="7">
        <v>0.14521930114209958</v>
      </c>
      <c r="G10" s="7">
        <v>0.17022085475797133</v>
      </c>
      <c r="H10" s="7">
        <v>0.1649682360495387</v>
      </c>
      <c r="I10" s="7">
        <v>0.15805850762158768</v>
      </c>
      <c r="J10" s="22">
        <v>0.15329999999999999</v>
      </c>
    </row>
    <row r="11" spans="1:13">
      <c r="A11" s="84" t="s">
        <v>15</v>
      </c>
      <c r="B11" s="85"/>
      <c r="C11" s="85"/>
      <c r="D11" s="85"/>
      <c r="E11" s="86"/>
      <c r="F11" s="6">
        <v>995956.28095939721</v>
      </c>
      <c r="G11" s="6">
        <v>965009.19717101986</v>
      </c>
      <c r="H11" s="6">
        <v>958218.26963667246</v>
      </c>
      <c r="I11" s="6">
        <v>1035671.7914353008</v>
      </c>
      <c r="J11" s="17">
        <v>1117845.6599999999</v>
      </c>
    </row>
    <row r="12" spans="1:13">
      <c r="A12" s="84" t="s">
        <v>16</v>
      </c>
      <c r="B12" s="85"/>
      <c r="C12" s="85"/>
      <c r="D12" s="85"/>
      <c r="E12" s="86"/>
      <c r="F12" s="6">
        <v>233032.00043944042</v>
      </c>
      <c r="G12" s="6">
        <v>232594.22768200506</v>
      </c>
      <c r="H12" s="6">
        <v>229504.62748948057</v>
      </c>
      <c r="I12" s="6">
        <v>246019.89587414611</v>
      </c>
      <c r="J12" s="17">
        <v>264035.92</v>
      </c>
      <c r="M12" s="10"/>
    </row>
    <row r="13" spans="1:13">
      <c r="A13" s="84" t="s">
        <v>17</v>
      </c>
      <c r="B13" s="85"/>
      <c r="C13" s="85"/>
      <c r="D13" s="85"/>
      <c r="E13" s="86"/>
      <c r="F13" s="6">
        <v>233414.22464861648</v>
      </c>
      <c r="G13" s="6">
        <v>233429.09604464116</v>
      </c>
      <c r="H13" s="6">
        <v>229710.38587245735</v>
      </c>
      <c r="I13" s="6">
        <v>247323.19148360015</v>
      </c>
      <c r="J13" s="17">
        <v>264125.21999999997</v>
      </c>
    </row>
    <row r="14" spans="1:13">
      <c r="A14" s="84" t="s">
        <v>18</v>
      </c>
      <c r="B14" s="85"/>
      <c r="C14" s="85"/>
      <c r="D14" s="85"/>
      <c r="E14" s="86"/>
      <c r="F14" s="6">
        <v>126760</v>
      </c>
      <c r="G14" s="6">
        <v>138337</v>
      </c>
      <c r="H14" s="6">
        <v>147247</v>
      </c>
      <c r="I14" s="6">
        <v>170912.3</v>
      </c>
      <c r="J14" s="6">
        <v>203550</v>
      </c>
    </row>
    <row r="15" spans="1:13">
      <c r="A15" s="105" t="s">
        <v>43</v>
      </c>
      <c r="B15" s="106"/>
      <c r="C15" s="106"/>
      <c r="D15" s="106"/>
      <c r="E15" s="107"/>
      <c r="F15" s="21">
        <v>4657.1000000000004</v>
      </c>
      <c r="G15" s="21">
        <v>6310.7</v>
      </c>
      <c r="H15" s="21">
        <v>9318.2000000000007</v>
      </c>
      <c r="I15" s="21">
        <v>7596</v>
      </c>
      <c r="J15" s="21">
        <v>6732</v>
      </c>
    </row>
    <row r="16" spans="1:13">
      <c r="A16" s="102" t="s">
        <v>19</v>
      </c>
      <c r="B16" s="103"/>
      <c r="C16" s="103"/>
      <c r="D16" s="103"/>
      <c r="E16" s="104"/>
      <c r="F16" s="8"/>
      <c r="G16" s="8"/>
      <c r="H16" s="8"/>
      <c r="I16" s="8">
        <v>1491859</v>
      </c>
      <c r="J16" s="8">
        <v>1624136</v>
      </c>
    </row>
    <row r="17" spans="1:10">
      <c r="A17" s="102" t="s">
        <v>20</v>
      </c>
      <c r="B17" s="103"/>
      <c r="C17" s="103"/>
      <c r="D17" s="103"/>
      <c r="E17" s="104"/>
      <c r="F17" s="8">
        <v>1291920.0021972021</v>
      </c>
      <c r="G17" s="8">
        <v>1301308.1384100253</v>
      </c>
      <c r="H17" s="8">
        <v>1294770.1374474028</v>
      </c>
      <c r="I17" s="8">
        <v>1401011.7793707305</v>
      </c>
      <c r="J17" s="5">
        <v>1530461.61</v>
      </c>
    </row>
    <row r="19" spans="1:10">
      <c r="A19" s="112" t="s">
        <v>21</v>
      </c>
      <c r="B19" s="112"/>
      <c r="C19" s="112"/>
      <c r="D19" s="112"/>
      <c r="E19" s="112"/>
      <c r="F19" s="2"/>
      <c r="G19" s="2"/>
      <c r="H19" s="2"/>
      <c r="I19" s="2"/>
      <c r="J19" s="9">
        <v>18000</v>
      </c>
    </row>
    <row r="20" spans="1:10">
      <c r="A20" s="112" t="s">
        <v>23</v>
      </c>
      <c r="B20" s="113"/>
      <c r="C20" s="113"/>
      <c r="D20" s="113"/>
      <c r="E20" s="113"/>
      <c r="F20" s="2"/>
      <c r="G20" s="2"/>
      <c r="H20" s="2"/>
      <c r="I20" s="2"/>
      <c r="J20" s="2">
        <v>-2191.7199999999998</v>
      </c>
    </row>
    <row r="21" spans="1:10" ht="25.5" customHeight="1">
      <c r="A21" s="109" t="s">
        <v>22</v>
      </c>
      <c r="B21" s="110"/>
      <c r="C21" s="110"/>
      <c r="D21" s="110"/>
      <c r="E21" s="111"/>
      <c r="F21" s="2"/>
      <c r="G21" s="2"/>
      <c r="H21" s="2"/>
      <c r="I21" s="2"/>
      <c r="J21" s="11">
        <f>J17+J19+J20</f>
        <v>1546269.8900000001</v>
      </c>
    </row>
    <row r="23" spans="1:10" ht="29.25" customHeight="1">
      <c r="A23" s="114" t="s">
        <v>24</v>
      </c>
      <c r="B23" s="114"/>
      <c r="C23" s="114"/>
      <c r="D23" s="114"/>
      <c r="E23" s="114"/>
      <c r="F23" s="114"/>
      <c r="G23" s="114"/>
      <c r="H23" s="114"/>
      <c r="I23" s="114"/>
      <c r="J23" s="114"/>
    </row>
    <row r="25" spans="1:10" ht="31.5" customHeight="1">
      <c r="A25" s="114" t="s">
        <v>25</v>
      </c>
      <c r="B25" s="114"/>
      <c r="C25" s="114"/>
      <c r="D25" s="114"/>
      <c r="E25" s="114"/>
      <c r="F25" s="114"/>
      <c r="G25" s="114"/>
      <c r="H25" s="114"/>
      <c r="I25" s="114"/>
      <c r="J25" s="114"/>
    </row>
    <row r="28" spans="1:10">
      <c r="A28" s="83" t="s">
        <v>26</v>
      </c>
      <c r="B28" s="83"/>
      <c r="C28" s="83"/>
      <c r="D28" s="83"/>
      <c r="E28" s="83"/>
      <c r="F28" s="5" t="s">
        <v>9</v>
      </c>
      <c r="G28" s="5" t="s">
        <v>10</v>
      </c>
      <c r="H28" s="5" t="s">
        <v>11</v>
      </c>
      <c r="I28" s="5" t="s">
        <v>0</v>
      </c>
      <c r="J28" s="5" t="s">
        <v>1</v>
      </c>
    </row>
    <row r="29" spans="1:10">
      <c r="A29" s="108" t="s">
        <v>27</v>
      </c>
      <c r="B29" s="108"/>
      <c r="C29" s="108"/>
      <c r="D29" s="108"/>
      <c r="E29" s="108"/>
      <c r="F29" s="6">
        <v>960898595.78147817</v>
      </c>
      <c r="G29" s="6">
        <v>926716728.18648732</v>
      </c>
      <c r="H29" s="6">
        <v>909651894.85025156</v>
      </c>
      <c r="I29" s="6">
        <v>1002016983.0311221</v>
      </c>
      <c r="J29" s="6">
        <v>1091962868</v>
      </c>
    </row>
    <row r="30" spans="1:10">
      <c r="A30" s="108" t="s">
        <v>28</v>
      </c>
      <c r="B30" s="108"/>
      <c r="C30" s="108"/>
      <c r="D30" s="108"/>
      <c r="E30" s="108"/>
      <c r="F30" s="6">
        <v>960898595.78147817</v>
      </c>
      <c r="G30" s="6">
        <v>926716728.18648732</v>
      </c>
      <c r="H30" s="6">
        <v>909651894.85025156</v>
      </c>
      <c r="I30" s="6">
        <v>1002016983.0311221</v>
      </c>
      <c r="J30" s="6">
        <v>1091962868</v>
      </c>
    </row>
    <row r="31" spans="1:10">
      <c r="A31" s="108" t="s">
        <v>29</v>
      </c>
      <c r="B31" s="108"/>
      <c r="C31" s="108"/>
      <c r="D31" s="108"/>
      <c r="E31" s="108"/>
      <c r="F31" s="6">
        <v>205690708.30546987</v>
      </c>
      <c r="G31" s="6">
        <v>202665681.6012063</v>
      </c>
      <c r="H31" s="6">
        <v>198758357.29421163</v>
      </c>
      <c r="I31" s="6">
        <v>214841679.43955958</v>
      </c>
      <c r="J31" s="6">
        <v>228969298</v>
      </c>
    </row>
    <row r="32" spans="1:10">
      <c r="A32" s="105" t="s">
        <v>44</v>
      </c>
      <c r="B32" s="106"/>
      <c r="C32" s="106"/>
      <c r="D32" s="106"/>
      <c r="E32" s="107"/>
      <c r="F32" s="21"/>
      <c r="G32" s="21"/>
      <c r="H32" s="21"/>
      <c r="I32" s="21"/>
      <c r="J32" s="21">
        <f>16.176373 *1000000</f>
        <v>16176373.000000002</v>
      </c>
    </row>
    <row r="33" spans="1:10">
      <c r="A33" s="108" t="s">
        <v>30</v>
      </c>
      <c r="B33" s="108"/>
      <c r="C33" s="108"/>
      <c r="D33" s="108"/>
      <c r="E33" s="108"/>
      <c r="F33" s="2"/>
      <c r="G33" s="2"/>
      <c r="H33" s="2"/>
      <c r="I33" s="2"/>
      <c r="J33" s="13">
        <f>J29+J32</f>
        <v>1108139241</v>
      </c>
    </row>
    <row r="36" spans="1:10">
      <c r="A36" s="83" t="s">
        <v>31</v>
      </c>
      <c r="B36" s="83"/>
      <c r="C36" s="83"/>
      <c r="D36" s="83"/>
      <c r="E36" s="83"/>
      <c r="F36" s="16" t="s">
        <v>9</v>
      </c>
      <c r="G36" s="16" t="s">
        <v>10</v>
      </c>
      <c r="H36" s="16" t="s">
        <v>11</v>
      </c>
      <c r="I36" s="16" t="s">
        <v>0</v>
      </c>
      <c r="J36" s="16" t="s">
        <v>1</v>
      </c>
    </row>
    <row r="37" spans="1:10">
      <c r="A37" s="108" t="s">
        <v>34</v>
      </c>
      <c r="B37" s="108"/>
      <c r="C37" s="108"/>
      <c r="D37" s="108"/>
      <c r="E37" s="108"/>
      <c r="F37" s="17">
        <v>0.96030958897376284</v>
      </c>
      <c r="G37" s="17">
        <v>0.95407980652220337</v>
      </c>
      <c r="H37" s="17">
        <v>0.9401732664372231</v>
      </c>
      <c r="I37" s="18">
        <v>0.96045934642191733</v>
      </c>
      <c r="J37" s="18">
        <v>0.97099999999999997</v>
      </c>
    </row>
    <row r="38" spans="1:10">
      <c r="A38" s="108" t="s">
        <v>35</v>
      </c>
      <c r="B38" s="108"/>
      <c r="C38" s="108"/>
      <c r="D38" s="108"/>
      <c r="E38" s="108"/>
      <c r="F38" s="17">
        <v>0.8812261061429234</v>
      </c>
      <c r="G38" s="17">
        <v>0.86821088302740268</v>
      </c>
      <c r="H38" s="17">
        <v>0.86525629452631159</v>
      </c>
      <c r="I38" s="18">
        <v>0.86866774664682256</v>
      </c>
      <c r="J38" s="18">
        <v>0.86699999999999999</v>
      </c>
    </row>
    <row r="39" spans="1:10">
      <c r="A39" s="108" t="s">
        <v>36</v>
      </c>
      <c r="B39" s="108"/>
      <c r="C39" s="108"/>
      <c r="D39" s="108"/>
      <c r="E39" s="108"/>
      <c r="F39" s="17">
        <v>0.92076784755834318</v>
      </c>
      <c r="G39" s="17">
        <v>0.91114534477480302</v>
      </c>
      <c r="H39" s="17">
        <v>0.90271478048176734</v>
      </c>
      <c r="I39" s="18">
        <v>0.91456354653437</v>
      </c>
      <c r="J39" s="18">
        <v>0.91900000000000004</v>
      </c>
    </row>
    <row r="40" spans="1:10">
      <c r="A40" s="108" t="s">
        <v>32</v>
      </c>
      <c r="B40" s="108"/>
      <c r="C40" s="108"/>
      <c r="D40" s="108"/>
      <c r="E40" s="108"/>
      <c r="F40" s="17">
        <v>0.82140927724424129</v>
      </c>
      <c r="G40" s="17">
        <v>0.79255203832641741</v>
      </c>
      <c r="H40" s="17">
        <v>0.78632383628954228</v>
      </c>
      <c r="I40" s="18">
        <v>0.809582344711401</v>
      </c>
      <c r="J40" s="18">
        <v>0.82299999999999995</v>
      </c>
    </row>
    <row r="41" spans="1:10">
      <c r="A41" s="83" t="s">
        <v>33</v>
      </c>
      <c r="B41" s="83"/>
      <c r="C41" s="83"/>
      <c r="D41" s="83"/>
      <c r="E41" s="83"/>
      <c r="F41" s="5">
        <v>0.74056891479304676</v>
      </c>
      <c r="G41" s="5">
        <v>0.70909415802655007</v>
      </c>
      <c r="H41" s="5">
        <v>0.6995362396512923</v>
      </c>
      <c r="I41" s="20">
        <v>0.71135236695808535</v>
      </c>
      <c r="J41" s="20">
        <v>0.71299999999999997</v>
      </c>
    </row>
    <row r="42" spans="1:10" ht="16.5" customHeight="1">
      <c r="A42" s="115" t="s">
        <v>42</v>
      </c>
      <c r="B42" s="115"/>
      <c r="C42" s="115"/>
      <c r="D42" s="115"/>
      <c r="E42" s="115"/>
      <c r="F42" s="17"/>
      <c r="G42" s="17"/>
      <c r="H42" s="17"/>
      <c r="I42" s="18"/>
      <c r="J42" s="19">
        <v>0.71599999999999997</v>
      </c>
    </row>
    <row r="43" spans="1:10">
      <c r="A43" s="12"/>
      <c r="B43" s="12"/>
      <c r="C43" s="12"/>
      <c r="D43" s="12"/>
      <c r="E43" s="12"/>
      <c r="F43" s="14"/>
      <c r="G43" s="14"/>
      <c r="H43" s="14"/>
      <c r="I43" s="15"/>
      <c r="J43" s="1"/>
    </row>
    <row r="44" spans="1:10">
      <c r="A44" s="4" t="s">
        <v>37</v>
      </c>
      <c r="B44" s="4"/>
      <c r="C44" s="4"/>
      <c r="D44" s="4"/>
      <c r="E44" s="4"/>
      <c r="F44" s="4"/>
      <c r="G44" s="3"/>
    </row>
    <row r="45" spans="1:10">
      <c r="A45" s="4" t="s">
        <v>38</v>
      </c>
      <c r="B45" s="4"/>
      <c r="C45" s="4"/>
      <c r="D45" s="4"/>
      <c r="E45" s="4"/>
      <c r="F45" s="4"/>
      <c r="G45" s="3"/>
    </row>
    <row r="46" spans="1:10">
      <c r="A46" s="4" t="s">
        <v>39</v>
      </c>
      <c r="B46" s="4"/>
      <c r="C46" s="4"/>
      <c r="D46" s="4"/>
      <c r="E46" s="4"/>
      <c r="F46" s="4"/>
      <c r="G46" s="3"/>
    </row>
    <row r="47" spans="1:10">
      <c r="A47" s="4" t="s">
        <v>40</v>
      </c>
      <c r="B47" s="4"/>
      <c r="C47" s="4"/>
      <c r="D47" s="4"/>
      <c r="E47" s="4"/>
      <c r="F47" s="4"/>
      <c r="G47" s="3"/>
    </row>
    <row r="48" spans="1:10">
      <c r="A48" s="4" t="s">
        <v>41</v>
      </c>
      <c r="B48" s="4"/>
      <c r="C48" s="4"/>
      <c r="D48" s="4"/>
      <c r="E48" s="4"/>
      <c r="F48" s="4"/>
      <c r="G48" s="3"/>
    </row>
  </sheetData>
  <mergeCells count="36">
    <mergeCell ref="A32:E32"/>
    <mergeCell ref="A37:E37"/>
    <mergeCell ref="A38:E38"/>
    <mergeCell ref="A39:E39"/>
    <mergeCell ref="A42:E42"/>
    <mergeCell ref="A33:E33"/>
    <mergeCell ref="A36:E36"/>
    <mergeCell ref="A40:E40"/>
    <mergeCell ref="A41:E41"/>
    <mergeCell ref="A31:E31"/>
    <mergeCell ref="A17:E17"/>
    <mergeCell ref="A21:E21"/>
    <mergeCell ref="A19:E19"/>
    <mergeCell ref="A20:E20"/>
    <mergeCell ref="A23:J23"/>
    <mergeCell ref="A25:J25"/>
    <mergeCell ref="A28:E28"/>
    <mergeCell ref="A29:E29"/>
    <mergeCell ref="A30:E30"/>
    <mergeCell ref="A11:E11"/>
    <mergeCell ref="A12:E12"/>
    <mergeCell ref="A13:E13"/>
    <mergeCell ref="A14:E14"/>
    <mergeCell ref="A16:E16"/>
    <mergeCell ref="A15:E15"/>
    <mergeCell ref="A7:E7"/>
    <mergeCell ref="A8:E8"/>
    <mergeCell ref="A9:E9"/>
    <mergeCell ref="A10:E10"/>
    <mergeCell ref="A1:J1"/>
    <mergeCell ref="A2:B2"/>
    <mergeCell ref="A3:B3"/>
    <mergeCell ref="A4:B4"/>
    <mergeCell ref="C2:J2"/>
    <mergeCell ref="C3:J3"/>
    <mergeCell ref="C4:J4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2530-2C70-4115-987B-E39B734C422B}">
  <dimension ref="B2:AZ54"/>
  <sheetViews>
    <sheetView topLeftCell="B32" workbookViewId="0">
      <selection activeCell="D46" sqref="D46:E47"/>
    </sheetView>
  </sheetViews>
  <sheetFormatPr defaultRowHeight="15"/>
  <cols>
    <col min="2" max="2" width="28.85546875" customWidth="1"/>
    <col min="3" max="3" width="18" customWidth="1"/>
    <col min="4" max="4" width="16.5703125" customWidth="1"/>
    <col min="5" max="5" width="14.7109375" customWidth="1"/>
    <col min="6" max="6" width="13.42578125" customWidth="1"/>
    <col min="7" max="7" width="12.85546875" customWidth="1"/>
    <col min="8" max="8" width="16.42578125" customWidth="1"/>
    <col min="9" max="9" width="15.42578125" customWidth="1"/>
    <col min="10" max="10" width="15.28515625" customWidth="1"/>
    <col min="11" max="11" width="13.5703125" customWidth="1"/>
    <col min="12" max="15" width="8.5703125"/>
  </cols>
  <sheetData>
    <row r="2" spans="2:52">
      <c r="B2" s="177" t="s">
        <v>2</v>
      </c>
      <c r="C2" s="178"/>
      <c r="D2" s="178"/>
      <c r="E2" s="179"/>
      <c r="F2" s="24"/>
      <c r="G2" s="24"/>
      <c r="H2" s="24"/>
      <c r="I2" s="24"/>
      <c r="J2" s="24"/>
      <c r="AZ2" s="71" t="s">
        <v>99</v>
      </c>
    </row>
    <row r="3" spans="2:52">
      <c r="B3" s="26" t="s">
        <v>45</v>
      </c>
      <c r="C3" s="180">
        <v>19</v>
      </c>
      <c r="D3" s="181"/>
      <c r="E3" s="180"/>
      <c r="F3" s="27"/>
      <c r="G3" s="27"/>
      <c r="H3" s="27"/>
      <c r="I3" s="27"/>
      <c r="J3" s="27"/>
    </row>
    <row r="4" spans="2:52">
      <c r="B4" s="28" t="s">
        <v>4</v>
      </c>
      <c r="C4" s="182">
        <f>Results!C3</f>
        <v>45231</v>
      </c>
      <c r="D4" s="182"/>
      <c r="E4" s="183"/>
      <c r="F4" s="29"/>
      <c r="G4" s="30"/>
      <c r="H4" s="31"/>
      <c r="I4" s="31"/>
      <c r="J4" s="32"/>
    </row>
    <row r="6" spans="2:52" ht="15.75" thickBot="1">
      <c r="B6" s="74" t="s">
        <v>46</v>
      </c>
      <c r="C6" s="33"/>
      <c r="D6" s="33"/>
      <c r="E6" s="33"/>
      <c r="F6" s="33"/>
      <c r="G6" s="33"/>
      <c r="H6" s="33"/>
      <c r="I6" s="23"/>
    </row>
    <row r="7" spans="2:52" ht="15.75" thickTop="1">
      <c r="B7" s="184"/>
      <c r="C7" s="184"/>
      <c r="D7" s="184"/>
      <c r="E7" s="184"/>
      <c r="F7" s="35" t="s">
        <v>11</v>
      </c>
      <c r="G7" s="35" t="s">
        <v>0</v>
      </c>
      <c r="H7" s="35" t="s">
        <v>1</v>
      </c>
    </row>
    <row r="8" spans="2:52">
      <c r="B8" s="176" t="s">
        <v>47</v>
      </c>
      <c r="C8" s="176"/>
      <c r="D8" s="176"/>
      <c r="E8" s="176"/>
      <c r="F8" s="37">
        <f>Results!H11</f>
        <v>958218.26963667246</v>
      </c>
      <c r="G8" s="37">
        <f>Results!I11</f>
        <v>1035671.7914353008</v>
      </c>
      <c r="H8" s="65">
        <f>Results!J11</f>
        <v>1117845.6599999999</v>
      </c>
    </row>
    <row r="10" spans="2:52" ht="15.75" thickBot="1">
      <c r="B10" s="74" t="s">
        <v>48</v>
      </c>
      <c r="C10" s="33"/>
      <c r="D10" s="33"/>
      <c r="E10" s="33"/>
      <c r="F10" s="33"/>
      <c r="G10" s="33"/>
      <c r="H10" s="33"/>
    </row>
    <row r="11" spans="2:52" ht="15.75" thickTop="1">
      <c r="B11" s="184"/>
      <c r="C11" s="184"/>
      <c r="D11" s="184"/>
      <c r="E11" s="184"/>
      <c r="F11" s="35" t="s">
        <v>11</v>
      </c>
      <c r="G11" s="35" t="s">
        <v>0</v>
      </c>
      <c r="H11" s="35" t="s">
        <v>1</v>
      </c>
      <c r="I11" s="34"/>
      <c r="J11" s="34"/>
      <c r="K11" s="34"/>
    </row>
    <row r="12" spans="2:52">
      <c r="B12" s="176" t="s">
        <v>47</v>
      </c>
      <c r="C12" s="176"/>
      <c r="D12" s="176"/>
      <c r="E12" s="176"/>
      <c r="F12" s="36">
        <f>Results!H37</f>
        <v>0.9401732664372231</v>
      </c>
      <c r="G12" s="36">
        <f>Results!I37</f>
        <v>0.96045934642191733</v>
      </c>
      <c r="H12" s="36">
        <f>Results!J37</f>
        <v>0.97099999999999997</v>
      </c>
      <c r="I12" s="34"/>
      <c r="J12" s="34"/>
      <c r="K12" s="34"/>
    </row>
    <row r="13" spans="2:52">
      <c r="I13" s="34"/>
      <c r="J13" s="34"/>
      <c r="K13" s="34"/>
    </row>
    <row r="14" spans="2:52" ht="15.75" thickBot="1">
      <c r="B14" s="74" t="s">
        <v>49</v>
      </c>
      <c r="C14" s="74"/>
      <c r="D14" s="74"/>
      <c r="E14" s="74"/>
      <c r="F14" s="74"/>
      <c r="G14" s="23"/>
      <c r="H14" s="23"/>
      <c r="I14" s="23"/>
      <c r="J14" s="23"/>
    </row>
    <row r="15" spans="2:52" ht="15.75" thickTop="1">
      <c r="B15" s="185"/>
      <c r="C15" s="186"/>
      <c r="D15" s="186"/>
      <c r="E15" s="187"/>
      <c r="F15" s="35" t="s">
        <v>1</v>
      </c>
      <c r="G15" s="23"/>
      <c r="H15" s="23"/>
      <c r="I15" s="23"/>
      <c r="J15" s="23"/>
    </row>
    <row r="16" spans="2:52">
      <c r="B16" s="176" t="s">
        <v>47</v>
      </c>
      <c r="C16" s="176"/>
      <c r="D16" s="176"/>
      <c r="E16" s="176"/>
      <c r="F16" s="36">
        <f>Results!J38</f>
        <v>0.86699999999999999</v>
      </c>
      <c r="G16" s="23"/>
      <c r="H16" s="23"/>
      <c r="I16" s="23"/>
      <c r="J16" s="23"/>
    </row>
    <row r="18" spans="2:21" ht="15.75" thickBot="1">
      <c r="B18" s="74" t="s">
        <v>50</v>
      </c>
      <c r="C18" s="74"/>
      <c r="D18" s="74"/>
      <c r="E18" s="74"/>
      <c r="F18" s="74"/>
      <c r="G18" s="74"/>
      <c r="H18" s="74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</row>
    <row r="19" spans="2:21" ht="15.75" thickTop="1">
      <c r="B19" s="176" t="s">
        <v>47</v>
      </c>
      <c r="C19" s="176"/>
      <c r="D19" s="176"/>
      <c r="E19" s="176"/>
      <c r="F19" s="190">
        <f>(F12*F8+G12*G8+H12*H8)/SUM(F8:H8)</f>
        <v>0.95799908973849146</v>
      </c>
      <c r="G19" s="191"/>
      <c r="H19" s="192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0" spans="2:21">
      <c r="B20" s="30"/>
      <c r="C20" s="30"/>
      <c r="D20" s="30"/>
      <c r="E20" s="30"/>
      <c r="F20" s="30"/>
      <c r="G20" s="30"/>
      <c r="H20" s="30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</row>
    <row r="21" spans="2:21" ht="15.75" thickBot="1">
      <c r="B21" s="74" t="s">
        <v>97</v>
      </c>
      <c r="C21" s="74"/>
      <c r="D21" s="74"/>
      <c r="E21" s="74"/>
      <c r="F21" s="74"/>
      <c r="G21" s="74"/>
      <c r="H21" s="74"/>
      <c r="I21" s="23"/>
      <c r="J21" s="74" t="s">
        <v>98</v>
      </c>
      <c r="K21" s="33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2:21" ht="15.75" thickTop="1">
      <c r="B22" s="176" t="s">
        <v>47</v>
      </c>
      <c r="C22" s="176"/>
      <c r="D22" s="176"/>
      <c r="E22" s="176"/>
      <c r="F22" s="193">
        <f>ROUNDDOWN(0.75*F19+0.25*F16,4)</f>
        <v>0.93520000000000003</v>
      </c>
      <c r="G22" s="194"/>
      <c r="H22" s="195"/>
      <c r="I22" s="25" t="s">
        <v>51</v>
      </c>
      <c r="J22" s="188">
        <f>ROUNDDOWN(F19*0.5+F16*0.5,4)</f>
        <v>0.91239999999999999</v>
      </c>
      <c r="K22" s="189"/>
      <c r="L22" s="25" t="s">
        <v>51</v>
      </c>
      <c r="M22" s="23"/>
      <c r="N22" s="23"/>
      <c r="O22" s="23"/>
      <c r="P22" s="23"/>
      <c r="Q22" s="23"/>
      <c r="R22" s="23"/>
      <c r="S22" s="23"/>
      <c r="T22" s="23"/>
      <c r="U22" s="23"/>
    </row>
    <row r="23" spans="2:21">
      <c r="B23" s="25" t="s">
        <v>52</v>
      </c>
      <c r="C23" s="23"/>
      <c r="D23" s="23"/>
      <c r="E23" s="23"/>
      <c r="F23" s="23"/>
      <c r="G23" s="23"/>
      <c r="H23" s="23"/>
      <c r="I23" s="23"/>
      <c r="J23" s="25" t="s">
        <v>53</v>
      </c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2:21" ht="15.75" thickBot="1"/>
    <row r="25" spans="2:21" ht="15.75" customHeight="1" thickBot="1">
      <c r="B25" s="164" t="s">
        <v>54</v>
      </c>
      <c r="C25" s="165"/>
      <c r="D25" s="165"/>
      <c r="E25" s="165"/>
      <c r="F25" s="165"/>
      <c r="G25" s="165"/>
      <c r="H25" s="165"/>
      <c r="I25" s="165"/>
      <c r="J25" s="165"/>
      <c r="K25" s="166"/>
    </row>
    <row r="26" spans="2:21" ht="30">
      <c r="B26" s="167" t="s">
        <v>83</v>
      </c>
      <c r="C26" s="169" t="s">
        <v>55</v>
      </c>
      <c r="D26" s="171" t="s">
        <v>56</v>
      </c>
      <c r="E26" s="169" t="s">
        <v>57</v>
      </c>
      <c r="F26" s="55" t="s">
        <v>58</v>
      </c>
      <c r="G26" s="55" t="s">
        <v>59</v>
      </c>
      <c r="H26" s="55" t="s">
        <v>60</v>
      </c>
      <c r="I26" s="55" t="s">
        <v>61</v>
      </c>
      <c r="J26" s="55" t="s">
        <v>62</v>
      </c>
      <c r="K26" s="56" t="s">
        <v>63</v>
      </c>
    </row>
    <row r="27" spans="2:21" ht="31.5">
      <c r="B27" s="168"/>
      <c r="C27" s="170"/>
      <c r="D27" s="172"/>
      <c r="E27" s="170"/>
      <c r="F27" s="57" t="s">
        <v>64</v>
      </c>
      <c r="G27" s="57" t="s">
        <v>65</v>
      </c>
      <c r="H27" s="57" t="s">
        <v>66</v>
      </c>
      <c r="I27" s="57" t="s">
        <v>67</v>
      </c>
      <c r="J27" s="57" t="s">
        <v>67</v>
      </c>
      <c r="K27" s="58" t="s">
        <v>67</v>
      </c>
    </row>
    <row r="28" spans="2:21" ht="28.5">
      <c r="B28" s="38" t="s">
        <v>84</v>
      </c>
      <c r="C28" s="39">
        <v>20</v>
      </c>
      <c r="D28" s="40">
        <v>0.185</v>
      </c>
      <c r="E28" s="41">
        <v>0</v>
      </c>
      <c r="F28" s="42">
        <f t="shared" ref="F28" si="0">C28*8760*D28*(1-E28)</f>
        <v>32412</v>
      </c>
      <c r="G28" s="43">
        <f>$F$22</f>
        <v>0.93520000000000003</v>
      </c>
      <c r="H28" s="44">
        <f>ROUNDDOWN((F28*G28),0)</f>
        <v>30311</v>
      </c>
      <c r="I28" s="45">
        <v>0</v>
      </c>
      <c r="J28" s="45">
        <v>0</v>
      </c>
      <c r="K28" s="46">
        <f t="shared" ref="K28" si="1">H28-I28-J28</f>
        <v>30311</v>
      </c>
    </row>
    <row r="29" spans="2:21" ht="15.75" thickBot="1">
      <c r="B29" s="66" t="s">
        <v>68</v>
      </c>
      <c r="C29" s="47">
        <f>SUM(C28:C28)</f>
        <v>20</v>
      </c>
      <c r="D29" s="48"/>
      <c r="E29" s="48"/>
      <c r="F29" s="49">
        <f>ROUNDDOWN((SUM(F28:F28)),0)</f>
        <v>32412</v>
      </c>
      <c r="G29" s="49"/>
      <c r="H29" s="50">
        <f>ROUNDDOWN((SUM(H28:H28)),0)</f>
        <v>30311</v>
      </c>
      <c r="I29" s="51">
        <f>SUM(I28:I28)</f>
        <v>0</v>
      </c>
      <c r="J29" s="51">
        <f>SUM(J28:J28)</f>
        <v>0</v>
      </c>
      <c r="K29" s="52">
        <f>ROUNDDOWN((SUM(K28:K28)),0)</f>
        <v>30311</v>
      </c>
    </row>
    <row r="30" spans="2:21">
      <c r="B30" s="53"/>
      <c r="C30" s="53"/>
      <c r="D30" s="53"/>
      <c r="E30" s="53"/>
      <c r="F30" s="53"/>
      <c r="G30" s="53"/>
      <c r="H30" s="53"/>
      <c r="I30" s="53"/>
      <c r="J30" s="53"/>
      <c r="K30" s="53"/>
    </row>
    <row r="32" spans="2:21" ht="15" customHeight="1">
      <c r="B32" s="116" t="s">
        <v>69</v>
      </c>
      <c r="C32" s="117"/>
      <c r="D32" s="173" t="s">
        <v>102</v>
      </c>
      <c r="E32" s="59" t="s">
        <v>58</v>
      </c>
      <c r="F32" s="59" t="s">
        <v>85</v>
      </c>
      <c r="G32" s="116" t="s">
        <v>94</v>
      </c>
      <c r="H32" s="117"/>
      <c r="I32" s="133" t="s">
        <v>86</v>
      </c>
      <c r="J32" s="134"/>
      <c r="K32" s="173" t="s">
        <v>87</v>
      </c>
      <c r="L32" s="173" t="s">
        <v>95</v>
      </c>
      <c r="M32" s="163" t="s">
        <v>88</v>
      </c>
      <c r="N32" s="163"/>
    </row>
    <row r="33" spans="2:15">
      <c r="B33" s="118"/>
      <c r="C33" s="119"/>
      <c r="D33" s="175"/>
      <c r="E33" s="173" t="s">
        <v>70</v>
      </c>
      <c r="F33" s="173" t="s">
        <v>89</v>
      </c>
      <c r="G33" s="118"/>
      <c r="H33" s="119"/>
      <c r="I33" s="135"/>
      <c r="J33" s="136"/>
      <c r="K33" s="174"/>
      <c r="L33" s="174"/>
      <c r="M33" s="163"/>
      <c r="N33" s="163"/>
    </row>
    <row r="34" spans="2:15">
      <c r="B34" s="78" t="s">
        <v>103</v>
      </c>
      <c r="C34" s="59" t="s">
        <v>104</v>
      </c>
      <c r="D34" s="174"/>
      <c r="E34" s="174"/>
      <c r="F34" s="174"/>
      <c r="G34" s="131" t="s">
        <v>70</v>
      </c>
      <c r="H34" s="132"/>
      <c r="I34" s="131" t="s">
        <v>90</v>
      </c>
      <c r="J34" s="132"/>
      <c r="K34" s="59" t="s">
        <v>90</v>
      </c>
      <c r="L34" s="59" t="s">
        <v>90</v>
      </c>
      <c r="M34" s="163" t="s">
        <v>90</v>
      </c>
      <c r="N34" s="163"/>
    </row>
    <row r="35" spans="2:15">
      <c r="B35" s="79">
        <v>44776</v>
      </c>
      <c r="C35" s="79">
        <v>44926</v>
      </c>
      <c r="D35" s="54">
        <f>C35-B35+1</f>
        <v>151</v>
      </c>
      <c r="E35" s="68">
        <f>($F$29/365)*D35</f>
        <v>13408.8</v>
      </c>
      <c r="F35" s="69">
        <v>7.0000000000000001E-3</v>
      </c>
      <c r="G35" s="130">
        <f>E35*(1-F35)</f>
        <v>13314.938399999999</v>
      </c>
      <c r="H35" s="130"/>
      <c r="I35" s="129">
        <f>ROUNDDOWN((G35*$F$22),0)</f>
        <v>12452</v>
      </c>
      <c r="J35" s="129"/>
      <c r="K35" s="70">
        <f>$I$28</f>
        <v>0</v>
      </c>
      <c r="L35" s="70">
        <f>$J$29</f>
        <v>0</v>
      </c>
      <c r="M35" s="129">
        <f>I35-K35-L35</f>
        <v>12452</v>
      </c>
      <c r="N35" s="129"/>
    </row>
    <row r="36" spans="2:15">
      <c r="B36" s="79">
        <v>44927</v>
      </c>
      <c r="C36" s="79">
        <v>45291</v>
      </c>
      <c r="D36" s="54">
        <f t="shared" ref="D36:D40" si="2">C36-B36+1</f>
        <v>365</v>
      </c>
      <c r="E36" s="68">
        <f t="shared" ref="E36:E40" si="3">($F$29/365)*D36</f>
        <v>32412</v>
      </c>
      <c r="F36" s="69">
        <v>1.4E-2</v>
      </c>
      <c r="G36" s="130">
        <f t="shared" ref="G36:G37" si="4">E36*(1-F36)</f>
        <v>31958.232</v>
      </c>
      <c r="H36" s="130"/>
      <c r="I36" s="125">
        <f t="shared" ref="I36:I40" si="5">ROUNDDOWN((G36*$F$22),0)</f>
        <v>29887</v>
      </c>
      <c r="J36" s="126"/>
      <c r="K36" s="70">
        <f t="shared" ref="K36:K38" si="6">$I$28</f>
        <v>0</v>
      </c>
      <c r="L36" s="70">
        <f t="shared" ref="L36:L37" si="7">$J$29</f>
        <v>0</v>
      </c>
      <c r="M36" s="125">
        <f t="shared" ref="M36:M40" si="8">I36-K36-L36</f>
        <v>29887</v>
      </c>
      <c r="N36" s="126"/>
    </row>
    <row r="37" spans="2:15">
      <c r="B37" s="79">
        <v>45292</v>
      </c>
      <c r="C37" s="79">
        <v>45657</v>
      </c>
      <c r="D37" s="54">
        <f t="shared" si="2"/>
        <v>366</v>
      </c>
      <c r="E37" s="68">
        <f t="shared" si="3"/>
        <v>32500.799999999999</v>
      </c>
      <c r="F37" s="69">
        <v>2.1000000000000001E-2</v>
      </c>
      <c r="G37" s="130">
        <f t="shared" si="4"/>
        <v>31818.283199999998</v>
      </c>
      <c r="H37" s="130"/>
      <c r="I37" s="125">
        <f t="shared" si="5"/>
        <v>29756</v>
      </c>
      <c r="J37" s="126"/>
      <c r="K37" s="70">
        <f t="shared" si="6"/>
        <v>0</v>
      </c>
      <c r="L37" s="70">
        <f t="shared" si="7"/>
        <v>0</v>
      </c>
      <c r="M37" s="125">
        <f t="shared" si="8"/>
        <v>29756</v>
      </c>
      <c r="N37" s="126"/>
    </row>
    <row r="38" spans="2:15">
      <c r="B38" s="79">
        <v>45658</v>
      </c>
      <c r="C38" s="79">
        <v>46022</v>
      </c>
      <c r="D38" s="54">
        <f t="shared" si="2"/>
        <v>365</v>
      </c>
      <c r="E38" s="68">
        <f t="shared" si="3"/>
        <v>32412</v>
      </c>
      <c r="F38" s="69">
        <v>2.8000000000000001E-2</v>
      </c>
      <c r="G38" s="130">
        <f t="shared" ref="G38:G40" si="9">E38*(1-F38)</f>
        <v>31504.464</v>
      </c>
      <c r="H38" s="130"/>
      <c r="I38" s="125">
        <f t="shared" si="5"/>
        <v>29462</v>
      </c>
      <c r="J38" s="126"/>
      <c r="K38" s="70">
        <f t="shared" si="6"/>
        <v>0</v>
      </c>
      <c r="L38" s="70">
        <f t="shared" ref="L38:L40" si="10">$J$29</f>
        <v>0</v>
      </c>
      <c r="M38" s="125">
        <f t="shared" si="8"/>
        <v>29462</v>
      </c>
      <c r="N38" s="126"/>
    </row>
    <row r="39" spans="2:15">
      <c r="B39" s="79">
        <v>46023</v>
      </c>
      <c r="C39" s="79">
        <v>46387</v>
      </c>
      <c r="D39" s="54">
        <f t="shared" si="2"/>
        <v>365</v>
      </c>
      <c r="E39" s="68">
        <f t="shared" si="3"/>
        <v>32412</v>
      </c>
      <c r="F39" s="69">
        <v>3.5000000000000003E-2</v>
      </c>
      <c r="G39" s="130">
        <f t="shared" si="9"/>
        <v>31277.579999999998</v>
      </c>
      <c r="H39" s="130"/>
      <c r="I39" s="125">
        <f t="shared" si="5"/>
        <v>29250</v>
      </c>
      <c r="J39" s="126"/>
      <c r="K39" s="70">
        <f t="shared" ref="K39:K40" si="11">$I$28</f>
        <v>0</v>
      </c>
      <c r="L39" s="70">
        <f t="shared" si="10"/>
        <v>0</v>
      </c>
      <c r="M39" s="125">
        <f t="shared" si="8"/>
        <v>29250</v>
      </c>
      <c r="N39" s="126"/>
    </row>
    <row r="40" spans="2:15">
      <c r="B40" s="79">
        <v>46388</v>
      </c>
      <c r="C40" s="79">
        <v>46601</v>
      </c>
      <c r="D40" s="54">
        <f t="shared" si="2"/>
        <v>214</v>
      </c>
      <c r="E40" s="68">
        <f t="shared" si="3"/>
        <v>19003.2</v>
      </c>
      <c r="F40" s="69">
        <v>4.2000000000000003E-2</v>
      </c>
      <c r="G40" s="130">
        <f t="shared" si="9"/>
        <v>18205.065600000002</v>
      </c>
      <c r="H40" s="130"/>
      <c r="I40" s="125">
        <f t="shared" si="5"/>
        <v>17025</v>
      </c>
      <c r="J40" s="126"/>
      <c r="K40" s="70">
        <f t="shared" si="11"/>
        <v>0</v>
      </c>
      <c r="L40" s="70">
        <f t="shared" si="10"/>
        <v>0</v>
      </c>
      <c r="M40" s="125">
        <f t="shared" si="8"/>
        <v>17025</v>
      </c>
      <c r="N40" s="126"/>
    </row>
    <row r="41" spans="2:15">
      <c r="B41" s="122" t="s">
        <v>91</v>
      </c>
      <c r="C41" s="123"/>
      <c r="D41" s="123"/>
      <c r="E41" s="123"/>
      <c r="F41" s="124"/>
      <c r="G41" s="120">
        <f>SUM(G35:H40)</f>
        <v>158078.5632</v>
      </c>
      <c r="H41" s="121"/>
      <c r="I41" s="127">
        <f>SUM(I35:J40)</f>
        <v>147832</v>
      </c>
      <c r="J41" s="128"/>
      <c r="K41" s="81"/>
      <c r="L41" s="82"/>
      <c r="M41" s="161">
        <f>SUM(M35:N40)</f>
        <v>147832</v>
      </c>
      <c r="N41" s="162"/>
    </row>
    <row r="42" spans="2:15" ht="15.75" thickBot="1">
      <c r="B42" s="67"/>
      <c r="C42" s="67"/>
      <c r="D42" s="67"/>
      <c r="E42" s="67"/>
      <c r="F42" s="67"/>
      <c r="G42" s="67"/>
      <c r="H42" s="80"/>
      <c r="I42" s="67"/>
      <c r="J42" s="67"/>
      <c r="K42" s="67"/>
      <c r="L42" s="67"/>
      <c r="M42" s="67"/>
      <c r="N42" s="67"/>
      <c r="O42" s="67"/>
    </row>
    <row r="43" spans="2:15">
      <c r="B43" s="141" t="s">
        <v>96</v>
      </c>
      <c r="C43" s="142"/>
      <c r="D43" s="145">
        <v>5</v>
      </c>
      <c r="E43" s="146"/>
      <c r="F43" s="72"/>
      <c r="G43" s="60"/>
      <c r="H43" s="60"/>
      <c r="I43" s="60"/>
      <c r="J43" s="60"/>
    </row>
    <row r="44" spans="2:15" ht="15.75" thickBot="1">
      <c r="B44" s="143"/>
      <c r="C44" s="144"/>
      <c r="D44" s="147"/>
      <c r="E44" s="148"/>
      <c r="F44" s="72"/>
      <c r="G44" s="60"/>
      <c r="H44" s="60"/>
      <c r="I44" s="60"/>
      <c r="J44" s="60"/>
    </row>
    <row r="45" spans="2:15" ht="15.75" thickBot="1">
      <c r="B45" s="72"/>
      <c r="C45" s="72"/>
      <c r="D45" s="72"/>
      <c r="E45" s="72"/>
      <c r="F45" s="60"/>
      <c r="G45" s="60"/>
      <c r="H45" s="72"/>
      <c r="I45" s="72"/>
      <c r="J45" s="72"/>
    </row>
    <row r="46" spans="2:15" ht="15" customHeight="1">
      <c r="B46" s="149" t="s">
        <v>92</v>
      </c>
      <c r="C46" s="150"/>
      <c r="D46" s="153">
        <f>G41/D43</f>
        <v>31615.712640000002</v>
      </c>
      <c r="E46" s="154"/>
      <c r="F46" s="60"/>
      <c r="G46" s="157" t="s">
        <v>93</v>
      </c>
      <c r="H46" s="158"/>
      <c r="I46" s="137">
        <f>ROUNDDOWN(D46*F22,0)</f>
        <v>29567</v>
      </c>
      <c r="J46" s="138"/>
    </row>
    <row r="47" spans="2:15" ht="15.75" thickBot="1">
      <c r="B47" s="151"/>
      <c r="C47" s="152"/>
      <c r="D47" s="155"/>
      <c r="E47" s="156"/>
      <c r="F47" s="60"/>
      <c r="G47" s="159"/>
      <c r="H47" s="160"/>
      <c r="I47" s="139"/>
      <c r="J47" s="140"/>
    </row>
    <row r="54" spans="4:4">
      <c r="D54" s="73"/>
    </row>
  </sheetData>
  <mergeCells count="59">
    <mergeCell ref="J22:K22"/>
    <mergeCell ref="B19:E19"/>
    <mergeCell ref="F19:H19"/>
    <mergeCell ref="F22:H22"/>
    <mergeCell ref="B22:E22"/>
    <mergeCell ref="B16:E16"/>
    <mergeCell ref="B2:E2"/>
    <mergeCell ref="C3:E3"/>
    <mergeCell ref="C4:E4"/>
    <mergeCell ref="B12:E12"/>
    <mergeCell ref="B7:E7"/>
    <mergeCell ref="B11:E11"/>
    <mergeCell ref="B15:E15"/>
    <mergeCell ref="B8:E8"/>
    <mergeCell ref="M32:N33"/>
    <mergeCell ref="B25:K25"/>
    <mergeCell ref="B26:B27"/>
    <mergeCell ref="C26:C27"/>
    <mergeCell ref="D26:D27"/>
    <mergeCell ref="E26:E27"/>
    <mergeCell ref="E33:E34"/>
    <mergeCell ref="F33:F34"/>
    <mergeCell ref="G32:H33"/>
    <mergeCell ref="L32:L33"/>
    <mergeCell ref="K32:K33"/>
    <mergeCell ref="M34:N34"/>
    <mergeCell ref="D32:D34"/>
    <mergeCell ref="I46:J47"/>
    <mergeCell ref="I40:J40"/>
    <mergeCell ref="M40:N40"/>
    <mergeCell ref="B43:C44"/>
    <mergeCell ref="D43:E44"/>
    <mergeCell ref="B46:C47"/>
    <mergeCell ref="D46:E47"/>
    <mergeCell ref="G46:H47"/>
    <mergeCell ref="M41:N41"/>
    <mergeCell ref="M35:N35"/>
    <mergeCell ref="M37:N37"/>
    <mergeCell ref="M38:N38"/>
    <mergeCell ref="M39:N39"/>
    <mergeCell ref="G36:H36"/>
    <mergeCell ref="M36:N36"/>
    <mergeCell ref="G38:H38"/>
    <mergeCell ref="G39:H39"/>
    <mergeCell ref="I39:J39"/>
    <mergeCell ref="I38:J38"/>
    <mergeCell ref="G35:H35"/>
    <mergeCell ref="I35:J35"/>
    <mergeCell ref="G37:H37"/>
    <mergeCell ref="I37:J37"/>
    <mergeCell ref="B32:C33"/>
    <mergeCell ref="G41:H41"/>
    <mergeCell ref="B41:F41"/>
    <mergeCell ref="I36:J36"/>
    <mergeCell ref="I41:J41"/>
    <mergeCell ref="G40:H40"/>
    <mergeCell ref="G34:H34"/>
    <mergeCell ref="I32:J33"/>
    <mergeCell ref="I34:J34"/>
  </mergeCells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957D-1B18-46D3-BA91-D80FC9583B99}">
  <dimension ref="B4:I9"/>
  <sheetViews>
    <sheetView workbookViewId="0">
      <selection activeCell="I8" sqref="I8"/>
    </sheetView>
  </sheetViews>
  <sheetFormatPr defaultRowHeight="12.75"/>
  <cols>
    <col min="1" max="2" width="9.140625" style="60"/>
    <col min="3" max="3" width="14.85546875" style="60" customWidth="1"/>
    <col min="4" max="4" width="18.42578125" style="60" customWidth="1"/>
    <col min="5" max="5" width="18.85546875" style="60" customWidth="1"/>
    <col min="6" max="6" width="16.7109375" style="60" customWidth="1"/>
    <col min="7" max="7" width="18.7109375" style="60" customWidth="1"/>
    <col min="8" max="8" width="13.85546875" style="60" customWidth="1"/>
    <col min="9" max="9" width="22.7109375" style="60" customWidth="1"/>
    <col min="10" max="16384" width="9.140625" style="60"/>
  </cols>
  <sheetData>
    <row r="4" spans="2:9">
      <c r="B4" s="196" t="s">
        <v>71</v>
      </c>
      <c r="C4" s="196"/>
      <c r="D4" s="196"/>
      <c r="E4" s="196"/>
    </row>
    <row r="5" spans="2:9" ht="30">
      <c r="B5" s="61" t="s">
        <v>72</v>
      </c>
      <c r="C5" s="62" t="s">
        <v>73</v>
      </c>
      <c r="D5" s="62" t="s">
        <v>74</v>
      </c>
      <c r="E5" s="62" t="s">
        <v>75</v>
      </c>
      <c r="F5" s="62" t="s">
        <v>76</v>
      </c>
      <c r="G5" s="62" t="s">
        <v>77</v>
      </c>
      <c r="H5" s="61" t="s">
        <v>78</v>
      </c>
      <c r="I5" s="61" t="s">
        <v>79</v>
      </c>
    </row>
    <row r="6" spans="2:9" ht="15">
      <c r="B6" s="63" t="s">
        <v>80</v>
      </c>
      <c r="C6" s="76">
        <f>'EF_ER Estimation'!G35</f>
        <v>13314.938399999999</v>
      </c>
      <c r="D6" s="76">
        <f>'EF_ER Estimation'!G37</f>
        <v>31818.283199999998</v>
      </c>
      <c r="E6" s="76">
        <f>'EF_ER Estimation'!G39</f>
        <v>31277.579999999998</v>
      </c>
      <c r="F6" s="76">
        <f>'EF_ER Estimation'!I37</f>
        <v>29756</v>
      </c>
      <c r="G6" s="76">
        <f>'EF_ER Estimation'!G40</f>
        <v>18205.065600000002</v>
      </c>
      <c r="H6" s="76">
        <f>SUM(C6:G6)</f>
        <v>124371.86719999999</v>
      </c>
      <c r="I6" s="76">
        <f>AVERAGE(C6:G6)</f>
        <v>24874.373439999999</v>
      </c>
    </row>
    <row r="7" spans="2:9">
      <c r="B7" s="63" t="s">
        <v>81</v>
      </c>
      <c r="C7" s="75">
        <f>'EF_ER Estimation'!M35</f>
        <v>12452</v>
      </c>
      <c r="D7" s="75">
        <f>'EF_ER Estimation'!M37</f>
        <v>29756</v>
      </c>
      <c r="E7" s="75">
        <f>'EF_ER Estimation'!M38</f>
        <v>29462</v>
      </c>
      <c r="F7" s="75">
        <f>'EF_ER Estimation'!M39</f>
        <v>29250</v>
      </c>
      <c r="G7" s="75">
        <f>'EF_ER Estimation'!M40</f>
        <v>17025</v>
      </c>
      <c r="H7" s="75">
        <f>SUM(C7:G7)</f>
        <v>117945</v>
      </c>
      <c r="I7" s="75">
        <f>'EF_ER Estimation'!I46</f>
        <v>29567</v>
      </c>
    </row>
    <row r="8" spans="2:9" ht="63.75">
      <c r="B8" s="63" t="s">
        <v>82</v>
      </c>
      <c r="C8" s="77" t="s">
        <v>100</v>
      </c>
      <c r="D8" s="77" t="s">
        <v>100</v>
      </c>
      <c r="E8" s="77" t="s">
        <v>100</v>
      </c>
      <c r="F8" s="77" t="s">
        <v>100</v>
      </c>
      <c r="G8" s="77" t="s">
        <v>100</v>
      </c>
      <c r="H8" s="77" t="s">
        <v>101</v>
      </c>
      <c r="I8" s="77" t="s">
        <v>100</v>
      </c>
    </row>
    <row r="9" spans="2:9" ht="14.25">
      <c r="C9" s="64"/>
    </row>
  </sheetData>
  <mergeCells count="1"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EF_ER Estimation</vt:lpstr>
      <vt:lpstr>SDG Estimation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Harkaran Singh</dc:creator>
  <cp:lastModifiedBy>MD Meraj Ali</cp:lastModifiedBy>
  <cp:lastPrinted>2023-11-09T05:19:00Z</cp:lastPrinted>
  <dcterms:created xsi:type="dcterms:W3CDTF">2023-10-31T18:17:39Z</dcterms:created>
  <dcterms:modified xsi:type="dcterms:W3CDTF">2024-11-18T12:26:19Z</dcterms:modified>
</cp:coreProperties>
</file>