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vcs024-my.sharepoint.com/personal/pverma_verra_org/Documents/Documents/Review/4234_RIDI_Hydro Solar_Nepal/Response to PRR3/"/>
    </mc:Choice>
  </mc:AlternateContent>
  <xr:revisionPtr revIDLastSave="0" documentId="13_ncr:1_{BEC35EE2-8763-4620-AC08-D14728C38B14}" xr6:coauthVersionLast="47" xr6:coauthVersionMax="47" xr10:uidLastSave="{00000000-0000-0000-0000-000000000000}"/>
  <bookViews>
    <workbookView xWindow="-110" yWindow="-110" windowWidth="19420" windowHeight="11500" firstSheet="3" activeTab="4" xr2:uid="{00000000-000D-0000-FFFF-FFFF00000000}"/>
  </bookViews>
  <sheets>
    <sheet name="ER Calculation" sheetId="2" r:id="rId1"/>
    <sheet name="Estimated ERs" sheetId="4" r:id="rId2"/>
    <sheet name="EF &amp; ER" sheetId="7" r:id="rId3"/>
    <sheet name="Generation Sheet " sheetId="1" r:id="rId4"/>
    <sheet name="wintage wise" sheetId="3" r:id="rId5"/>
    <sheet name="Meter details" sheetId="5" r:id="rId6"/>
    <sheet name="indian and nepal ele system" sheetId="6" r:id="rId7"/>
  </sheets>
  <externalReferences>
    <externalReference r:id="rId8"/>
  </externalReferenc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10" i="1" l="1"/>
  <c r="BA11" i="1"/>
  <c r="BA12" i="1"/>
  <c r="BA13" i="1"/>
  <c r="BA14" i="1"/>
  <c r="BA9" i="1"/>
  <c r="AO9" i="1"/>
  <c r="AD9" i="1"/>
  <c r="J37" i="7"/>
  <c r="J36" i="7"/>
  <c r="J35" i="7"/>
  <c r="E36" i="7"/>
  <c r="J34" i="7"/>
  <c r="K28" i="7"/>
  <c r="E28" i="7"/>
  <c r="K27" i="7"/>
  <c r="E27" i="7"/>
  <c r="J19" i="7"/>
  <c r="J22" i="7" s="1"/>
  <c r="D19" i="7"/>
  <c r="D22" i="7" s="1"/>
  <c r="N45" i="6"/>
  <c r="O45" i="6" s="1"/>
  <c r="N44" i="6"/>
  <c r="N43" i="6"/>
  <c r="O43" i="6" s="1"/>
  <c r="K30" i="7" l="1"/>
  <c r="K31" i="7" s="1"/>
  <c r="S9" i="1" s="1"/>
  <c r="E30" i="7"/>
  <c r="J38" i="7"/>
  <c r="P5" i="4" l="1"/>
  <c r="P7" i="4"/>
  <c r="P6" i="4"/>
  <c r="E37" i="7"/>
  <c r="E38" i="7" s="1"/>
  <c r="E31" i="7"/>
  <c r="P8" i="4" l="1"/>
  <c r="Q12" i="1" l="1"/>
  <c r="Q10" i="1"/>
  <c r="Q9" i="1"/>
  <c r="AB13" i="1"/>
  <c r="AX16" i="1"/>
  <c r="AX17" i="1"/>
  <c r="AX18" i="1"/>
  <c r="AX19" i="1"/>
  <c r="AX20" i="1"/>
  <c r="AX21" i="1"/>
  <c r="AX22" i="1"/>
  <c r="AX23" i="1"/>
  <c r="AX24" i="1"/>
  <c r="AX25" i="1"/>
  <c r="AX26" i="1"/>
  <c r="AX27" i="1"/>
  <c r="AX28" i="1"/>
  <c r="AX29" i="1"/>
  <c r="AX15" i="1"/>
  <c r="AY29" i="1"/>
  <c r="AY28" i="1"/>
  <c r="AY27" i="1"/>
  <c r="AY26" i="1"/>
  <c r="AY25" i="1"/>
  <c r="AY24" i="1"/>
  <c r="AY23" i="1"/>
  <c r="AY22" i="1"/>
  <c r="AY21" i="1"/>
  <c r="AY20" i="1"/>
  <c r="AY19" i="1"/>
  <c r="AY18" i="1"/>
  <c r="AY17" i="1"/>
  <c r="AY16" i="1"/>
  <c r="AY15" i="1"/>
  <c r="AM29" i="1"/>
  <c r="AM28" i="1"/>
  <c r="AM27" i="1"/>
  <c r="AM26" i="1"/>
  <c r="AM25" i="1"/>
  <c r="AM24" i="1"/>
  <c r="AM23" i="1"/>
  <c r="AM22" i="1"/>
  <c r="AM21" i="1"/>
  <c r="AM20" i="1"/>
  <c r="AM19" i="1"/>
  <c r="AL29" i="1"/>
  <c r="AL20" i="1"/>
  <c r="AL21" i="1"/>
  <c r="AL22" i="1"/>
  <c r="AL23" i="1"/>
  <c r="AL24" i="1"/>
  <c r="AL25" i="1"/>
  <c r="AL26" i="1"/>
  <c r="AL27" i="1"/>
  <c r="AL28" i="1"/>
  <c r="AL19" i="1"/>
  <c r="AB29" i="1"/>
  <c r="AB28" i="1"/>
  <c r="AB27" i="1"/>
  <c r="AB26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13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P10" i="1"/>
  <c r="R10" i="1" s="1"/>
  <c r="T10" i="1" s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9" i="1"/>
  <c r="R9" i="1"/>
  <c r="T9" i="1" s="1"/>
  <c r="AC9" i="1"/>
  <c r="AE9" i="1" s="1"/>
  <c r="AC10" i="1"/>
  <c r="AE10" i="1" s="1"/>
  <c r="H5" i="4" l="1"/>
  <c r="I5" i="4" s="1"/>
  <c r="H6" i="4"/>
  <c r="I6" i="4" s="1"/>
  <c r="H7" i="4"/>
  <c r="I7" i="4" s="1"/>
  <c r="H8" i="4"/>
  <c r="I8" i="4" s="1"/>
  <c r="H9" i="4" l="1"/>
  <c r="H12" i="4" s="1"/>
  <c r="I9" i="4"/>
  <c r="C12" i="2" l="1"/>
  <c r="I12" i="4"/>
  <c r="AY30" i="1"/>
  <c r="AX30" i="1"/>
  <c r="AZ29" i="1"/>
  <c r="BB29" i="1" s="1"/>
  <c r="AZ28" i="1"/>
  <c r="BB28" i="1" s="1"/>
  <c r="AZ27" i="1"/>
  <c r="BB27" i="1" s="1"/>
  <c r="AZ26" i="1"/>
  <c r="BB26" i="1" s="1"/>
  <c r="AZ25" i="1"/>
  <c r="BB25" i="1" s="1"/>
  <c r="AZ24" i="1"/>
  <c r="BB24" i="1" s="1"/>
  <c r="AZ23" i="1"/>
  <c r="BB23" i="1" s="1"/>
  <c r="AZ22" i="1"/>
  <c r="BB22" i="1" s="1"/>
  <c r="AZ21" i="1"/>
  <c r="BB21" i="1" s="1"/>
  <c r="AZ20" i="1"/>
  <c r="BB20" i="1" s="1"/>
  <c r="AZ19" i="1"/>
  <c r="BB19" i="1" s="1"/>
  <c r="AZ18" i="1"/>
  <c r="BB18" i="1" s="1"/>
  <c r="AZ17" i="1"/>
  <c r="BB17" i="1" s="1"/>
  <c r="AZ16" i="1"/>
  <c r="BB16" i="1" s="1"/>
  <c r="AZ15" i="1"/>
  <c r="BB15" i="1" s="1"/>
  <c r="AZ14" i="1"/>
  <c r="BB14" i="1" s="1"/>
  <c r="AZ13" i="1"/>
  <c r="BB13" i="1" s="1"/>
  <c r="AZ12" i="1"/>
  <c r="BB12" i="1" s="1"/>
  <c r="AZ11" i="1"/>
  <c r="BB11" i="1" s="1"/>
  <c r="AZ10" i="1"/>
  <c r="BB10" i="1" s="1"/>
  <c r="AZ9" i="1"/>
  <c r="BB9" i="1" s="1"/>
  <c r="AZ8" i="1"/>
  <c r="AZ7" i="1"/>
  <c r="AZ6" i="1"/>
  <c r="AM30" i="1"/>
  <c r="AL30" i="1"/>
  <c r="AN29" i="1"/>
  <c r="AP29" i="1" s="1"/>
  <c r="AN28" i="1"/>
  <c r="AP28" i="1" s="1"/>
  <c r="AN27" i="1"/>
  <c r="AP27" i="1" s="1"/>
  <c r="AN26" i="1"/>
  <c r="AP26" i="1" s="1"/>
  <c r="AN25" i="1"/>
  <c r="AP25" i="1" s="1"/>
  <c r="AN24" i="1"/>
  <c r="AP24" i="1" s="1"/>
  <c r="AN23" i="1"/>
  <c r="AP23" i="1" s="1"/>
  <c r="AN22" i="1"/>
  <c r="AP22" i="1" s="1"/>
  <c r="AN21" i="1"/>
  <c r="AP21" i="1" s="1"/>
  <c r="AN20" i="1"/>
  <c r="AP20" i="1" s="1"/>
  <c r="AN19" i="1"/>
  <c r="AP19" i="1" s="1"/>
  <c r="AN18" i="1"/>
  <c r="AP18" i="1" s="1"/>
  <c r="AN17" i="1"/>
  <c r="AP17" i="1" s="1"/>
  <c r="AN16" i="1"/>
  <c r="AP16" i="1" s="1"/>
  <c r="AN15" i="1"/>
  <c r="AP15" i="1" s="1"/>
  <c r="AN14" i="1"/>
  <c r="AP14" i="1" s="1"/>
  <c r="AN13" i="1"/>
  <c r="AP13" i="1" s="1"/>
  <c r="AN12" i="1"/>
  <c r="AP12" i="1" s="1"/>
  <c r="AN11" i="1"/>
  <c r="AP11" i="1" s="1"/>
  <c r="AN10" i="1"/>
  <c r="AP10" i="1" s="1"/>
  <c r="AN9" i="1"/>
  <c r="AP9" i="1" s="1"/>
  <c r="AN8" i="1"/>
  <c r="AN7" i="1"/>
  <c r="AN6" i="1"/>
  <c r="AB30" i="1"/>
  <c r="AA30" i="1"/>
  <c r="AC29" i="1"/>
  <c r="AE29" i="1" s="1"/>
  <c r="AC28" i="1"/>
  <c r="AE28" i="1" s="1"/>
  <c r="AC27" i="1"/>
  <c r="AE27" i="1" s="1"/>
  <c r="AC26" i="1"/>
  <c r="AE26" i="1" s="1"/>
  <c r="AC25" i="1"/>
  <c r="AE25" i="1" s="1"/>
  <c r="AC24" i="1"/>
  <c r="AE24" i="1" s="1"/>
  <c r="AC23" i="1"/>
  <c r="AE23" i="1" s="1"/>
  <c r="AC22" i="1"/>
  <c r="AE22" i="1" s="1"/>
  <c r="AC21" i="1"/>
  <c r="AE21" i="1" s="1"/>
  <c r="AC20" i="1"/>
  <c r="AE20" i="1" s="1"/>
  <c r="AC19" i="1"/>
  <c r="AE19" i="1" s="1"/>
  <c r="AC18" i="1"/>
  <c r="AE18" i="1" s="1"/>
  <c r="AC17" i="1"/>
  <c r="AE17" i="1" s="1"/>
  <c r="AC16" i="1"/>
  <c r="AE16" i="1" s="1"/>
  <c r="AC15" i="1"/>
  <c r="AE15" i="1" s="1"/>
  <c r="AC14" i="1"/>
  <c r="AE14" i="1" s="1"/>
  <c r="AC13" i="1"/>
  <c r="AE13" i="1" s="1"/>
  <c r="AC12" i="1"/>
  <c r="AE12" i="1" s="1"/>
  <c r="AC11" i="1"/>
  <c r="AE11" i="1" s="1"/>
  <c r="AC8" i="1"/>
  <c r="AC7" i="1"/>
  <c r="AC6" i="1"/>
  <c r="Q30" i="1"/>
  <c r="P30" i="1"/>
  <c r="R29" i="1"/>
  <c r="T29" i="1" s="1"/>
  <c r="R28" i="1"/>
  <c r="T28" i="1" s="1"/>
  <c r="R27" i="1"/>
  <c r="T27" i="1" s="1"/>
  <c r="U29" i="1" s="1"/>
  <c r="R26" i="1"/>
  <c r="T26" i="1" s="1"/>
  <c r="R25" i="1"/>
  <c r="T25" i="1" s="1"/>
  <c r="R24" i="1"/>
  <c r="T24" i="1" s="1"/>
  <c r="R23" i="1"/>
  <c r="T23" i="1" s="1"/>
  <c r="R22" i="1"/>
  <c r="T22" i="1" s="1"/>
  <c r="R21" i="1"/>
  <c r="T21" i="1" s="1"/>
  <c r="R20" i="1"/>
  <c r="T20" i="1" s="1"/>
  <c r="R19" i="1"/>
  <c r="T19" i="1" s="1"/>
  <c r="R18" i="1"/>
  <c r="T18" i="1" s="1"/>
  <c r="R17" i="1"/>
  <c r="T17" i="1" s="1"/>
  <c r="R16" i="1"/>
  <c r="T16" i="1" s="1"/>
  <c r="R15" i="1"/>
  <c r="T15" i="1" s="1"/>
  <c r="R14" i="1"/>
  <c r="T14" i="1" s="1"/>
  <c r="R13" i="1"/>
  <c r="T13" i="1" s="1"/>
  <c r="R12" i="1"/>
  <c r="T12" i="1" s="1"/>
  <c r="R11" i="1"/>
  <c r="T11" i="1" s="1"/>
  <c r="R8" i="1"/>
  <c r="R7" i="1"/>
  <c r="R6" i="1"/>
  <c r="I7" i="1"/>
  <c r="C8" i="3" s="1"/>
  <c r="D8" i="3" s="1"/>
  <c r="I8" i="1"/>
  <c r="C9" i="3" s="1"/>
  <c r="D9" i="3" s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C24" i="3" s="1"/>
  <c r="D24" i="3" s="1"/>
  <c r="I24" i="1"/>
  <c r="C25" i="3" s="1"/>
  <c r="D25" i="3" s="1"/>
  <c r="I25" i="1"/>
  <c r="I26" i="1"/>
  <c r="I27" i="1"/>
  <c r="I28" i="1"/>
  <c r="I29" i="1"/>
  <c r="I6" i="1"/>
  <c r="G8" i="4"/>
  <c r="C12" i="3" l="1"/>
  <c r="D12" i="3" s="1"/>
  <c r="C21" i="3"/>
  <c r="D21" i="3" s="1"/>
  <c r="C20" i="3"/>
  <c r="D20" i="3" s="1"/>
  <c r="AQ29" i="1"/>
  <c r="C22" i="3"/>
  <c r="D22" i="3" s="1"/>
  <c r="C13" i="3"/>
  <c r="D13" i="3" s="1"/>
  <c r="C10" i="3"/>
  <c r="D10" i="3" s="1"/>
  <c r="C23" i="3"/>
  <c r="D23" i="3" s="1"/>
  <c r="C7" i="3"/>
  <c r="C19" i="3"/>
  <c r="D19" i="3" s="1"/>
  <c r="U26" i="1"/>
  <c r="K7" i="3"/>
  <c r="C30" i="3"/>
  <c r="D30" i="3" s="1"/>
  <c r="C18" i="3"/>
  <c r="D18" i="3" s="1"/>
  <c r="AQ24" i="1"/>
  <c r="C29" i="3"/>
  <c r="D29" i="3" s="1"/>
  <c r="C28" i="3"/>
  <c r="D28" i="3" s="1"/>
  <c r="T30" i="1"/>
  <c r="U13" i="1"/>
  <c r="C15" i="3"/>
  <c r="D15" i="3" s="1"/>
  <c r="C11" i="3"/>
  <c r="D11" i="3" s="1"/>
  <c r="J6" i="3"/>
  <c r="BC24" i="1"/>
  <c r="J7" i="3"/>
  <c r="BC29" i="1"/>
  <c r="C17" i="3"/>
  <c r="D17" i="3" s="1"/>
  <c r="C16" i="3"/>
  <c r="D16" i="3" s="1"/>
  <c r="AE30" i="1"/>
  <c r="AP30" i="1"/>
  <c r="C27" i="3"/>
  <c r="D27" i="3" s="1"/>
  <c r="C26" i="3"/>
  <c r="D26" i="3" s="1"/>
  <c r="C14" i="3"/>
  <c r="D14" i="3" s="1"/>
  <c r="AF24" i="1"/>
  <c r="AF29" i="1"/>
  <c r="J5" i="3"/>
  <c r="BB30" i="1"/>
  <c r="AC30" i="1"/>
  <c r="AN30" i="1"/>
  <c r="AZ30" i="1"/>
  <c r="AZ33" i="1" s="1"/>
  <c r="C18" i="2" s="1"/>
  <c r="C20" i="2" s="1"/>
  <c r="D20" i="2" s="1"/>
  <c r="R30" i="1"/>
  <c r="AZ34" i="1" s="1"/>
  <c r="C17" i="2" s="1"/>
  <c r="C19" i="2" s="1"/>
  <c r="D19" i="2" s="1"/>
  <c r="L7" i="4"/>
  <c r="G30" i="1"/>
  <c r="I7" i="3" l="1"/>
  <c r="I5" i="3"/>
  <c r="K5" i="3"/>
  <c r="J8" i="3"/>
  <c r="K6" i="3"/>
  <c r="I6" i="3"/>
  <c r="D7" i="3"/>
  <c r="D31" i="3" s="1"/>
  <c r="C31" i="3"/>
  <c r="AZ31" i="1"/>
  <c r="O7" i="4"/>
  <c r="N7" i="4"/>
  <c r="I8" i="3" l="1"/>
  <c r="C14" i="2" s="1"/>
  <c r="K8" i="3"/>
  <c r="I30" i="1"/>
  <c r="E9" i="4" l="1"/>
  <c r="H30" i="1" l="1"/>
  <c r="L8" i="4" l="1"/>
  <c r="G7" i="4"/>
  <c r="L6" i="4"/>
  <c r="N6" i="4" s="1"/>
  <c r="G6" i="4"/>
  <c r="L5" i="4"/>
  <c r="N5" i="4" s="1"/>
  <c r="G5" i="4"/>
  <c r="O8" i="4" l="1"/>
  <c r="Q8" i="4" s="1"/>
  <c r="T8" i="4" s="1"/>
  <c r="N8" i="4"/>
  <c r="O6" i="4"/>
  <c r="Q6" i="4" s="1"/>
  <c r="T6" i="4" s="1"/>
  <c r="O5" i="4"/>
  <c r="Q7" i="4"/>
  <c r="Q5" i="4"/>
  <c r="T5" i="4" s="1"/>
  <c r="O9" i="4" l="1"/>
  <c r="T7" i="4"/>
  <c r="Q9" i="4"/>
  <c r="T9" i="4" s="1"/>
  <c r="C13" i="2" s="1"/>
  <c r="C10" i="2" l="1"/>
  <c r="C8" i="2"/>
  <c r="C15" i="2" l="1"/>
  <c r="F11" i="2" l="1"/>
  <c r="I11" i="2" s="1"/>
</calcChain>
</file>

<file path=xl/sharedStrings.xml><?xml version="1.0" encoding="utf-8"?>
<sst xmlns="http://schemas.openxmlformats.org/spreadsheetml/2006/main" count="363" uniqueCount="213">
  <si>
    <t>Month</t>
  </si>
  <si>
    <t xml:space="preserve">Billing Cyle </t>
  </si>
  <si>
    <t xml:space="preserve">Intial Date </t>
  </si>
  <si>
    <t>Final Date</t>
  </si>
  <si>
    <t>Monitoring Period</t>
  </si>
  <si>
    <t>From</t>
  </si>
  <si>
    <t>To</t>
  </si>
  <si>
    <t>No of days for current monitoirng period</t>
  </si>
  <si>
    <t>Total Capacity of the Project (MW)</t>
  </si>
  <si>
    <t>Total net electricity supplied to the grid (MWh)</t>
  </si>
  <si>
    <t>Annual Estimated Emission Reductions as per PDD</t>
  </si>
  <si>
    <t>Change in emission reduction</t>
  </si>
  <si>
    <t>Baseline Emissions</t>
  </si>
  <si>
    <t>Project Emissions</t>
  </si>
  <si>
    <t>Leakage Emissions</t>
  </si>
  <si>
    <t xml:space="preserve">Total Emission Reduction </t>
  </si>
  <si>
    <r>
      <t>BE</t>
    </r>
    <r>
      <rPr>
        <b/>
        <vertAlign val="subscript"/>
        <sz val="9"/>
        <color theme="1"/>
        <rFont val="Arial"/>
        <family val="2"/>
      </rPr>
      <t>y</t>
    </r>
    <r>
      <rPr>
        <b/>
        <sz val="9"/>
        <color theme="1"/>
        <rFont val="Arial"/>
        <family val="2"/>
      </rPr>
      <t xml:space="preserve"> (tCO</t>
    </r>
    <r>
      <rPr>
        <b/>
        <vertAlign val="sub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>e)</t>
    </r>
  </si>
  <si>
    <r>
      <t>PE</t>
    </r>
    <r>
      <rPr>
        <b/>
        <vertAlign val="subscript"/>
        <sz val="9"/>
        <color theme="1"/>
        <rFont val="Arial"/>
        <family val="2"/>
      </rPr>
      <t>y</t>
    </r>
    <r>
      <rPr>
        <b/>
        <sz val="9"/>
        <color theme="1"/>
        <rFont val="Arial"/>
        <family val="2"/>
      </rPr>
      <t xml:space="preserve"> (tCO</t>
    </r>
    <r>
      <rPr>
        <b/>
        <vertAlign val="sub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>e)</t>
    </r>
  </si>
  <si>
    <r>
      <t>LE</t>
    </r>
    <r>
      <rPr>
        <b/>
        <vertAlign val="subscript"/>
        <sz val="9"/>
        <color theme="1"/>
        <rFont val="Arial"/>
        <family val="2"/>
      </rPr>
      <t>y</t>
    </r>
    <r>
      <rPr>
        <b/>
        <sz val="9"/>
        <color theme="1"/>
        <rFont val="Arial"/>
        <family val="2"/>
      </rPr>
      <t xml:space="preserve"> (tCO</t>
    </r>
    <r>
      <rPr>
        <b/>
        <vertAlign val="sub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>e)</t>
    </r>
  </si>
  <si>
    <r>
      <t>ER</t>
    </r>
    <r>
      <rPr>
        <b/>
        <vertAlign val="subscript"/>
        <sz val="9"/>
        <color theme="1"/>
        <rFont val="Arial"/>
        <family val="2"/>
      </rPr>
      <t>y</t>
    </r>
    <r>
      <rPr>
        <b/>
        <sz val="9"/>
        <color theme="1"/>
        <rFont val="Arial"/>
        <family val="2"/>
      </rPr>
      <t xml:space="preserve"> (tCO</t>
    </r>
    <r>
      <rPr>
        <b/>
        <vertAlign val="sub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>e)</t>
    </r>
  </si>
  <si>
    <t>Invoice (KWh)</t>
  </si>
  <si>
    <t>-</t>
  </si>
  <si>
    <t>Total</t>
  </si>
  <si>
    <t>Months</t>
  </si>
  <si>
    <t>Net Electricity Generation(KWh)</t>
  </si>
  <si>
    <t>Net Electricity Generation(MWh)</t>
  </si>
  <si>
    <t>PLF</t>
  </si>
  <si>
    <t>Start Date of instance wise operation             (COD Date)</t>
  </si>
  <si>
    <t>End Date of Current Monitoring Period</t>
  </si>
  <si>
    <t>No of days in Monitoring period</t>
  </si>
  <si>
    <t>Net Generation</t>
  </si>
  <si>
    <t xml:space="preserve">Baseline Emission factor  </t>
  </si>
  <si>
    <t xml:space="preserve">Baseline emissions </t>
  </si>
  <si>
    <t>Emission Reductions</t>
  </si>
  <si>
    <t>Year  1</t>
  </si>
  <si>
    <t>Year 2           (Degradation Factor)</t>
  </si>
  <si>
    <t>Year 1</t>
  </si>
  <si>
    <t>Year 2</t>
  </si>
  <si>
    <t xml:space="preserve"> (MWh/year) </t>
  </si>
  <si>
    <r>
      <t>(tCO</t>
    </r>
    <r>
      <rPr>
        <b/>
        <vertAlign val="subscript"/>
        <sz val="12"/>
        <rFont val="Calibri"/>
        <family val="2"/>
      </rPr>
      <t>2</t>
    </r>
    <r>
      <rPr>
        <b/>
        <sz val="12"/>
        <rFont val="Calibri"/>
        <family val="2"/>
      </rPr>
      <t>/MWh)</t>
    </r>
  </si>
  <si>
    <r>
      <t>(tCO</t>
    </r>
    <r>
      <rPr>
        <b/>
        <vertAlign val="subscript"/>
        <sz val="12"/>
        <rFont val="Calibri"/>
        <family val="2"/>
      </rPr>
      <t>2</t>
    </r>
    <r>
      <rPr>
        <b/>
        <sz val="12"/>
        <rFont val="Calibri"/>
        <family val="2"/>
      </rPr>
      <t>e/ year)</t>
    </r>
  </si>
  <si>
    <r>
      <t xml:space="preserve"> (tCO</t>
    </r>
    <r>
      <rPr>
        <b/>
        <vertAlign val="subscript"/>
        <sz val="12"/>
        <rFont val="Calibri"/>
        <family val="2"/>
      </rPr>
      <t>2</t>
    </r>
    <r>
      <rPr>
        <b/>
        <sz val="12"/>
        <rFont val="Calibri"/>
        <family val="2"/>
      </rPr>
      <t>e/ year)</t>
    </r>
  </si>
  <si>
    <t>Estimated Emission Reductions as per Joint PD &amp; MR for the current Monitoring Perod</t>
  </si>
  <si>
    <t>SPV Name</t>
  </si>
  <si>
    <t>S.No.</t>
  </si>
  <si>
    <t>Monthly Genration</t>
  </si>
  <si>
    <t>Location</t>
  </si>
  <si>
    <t>Capacity (MWp)</t>
  </si>
  <si>
    <t>Project ref: VCS 4234</t>
  </si>
  <si>
    <t>Project Name: RIDI Grouped Hydro Solar Power Project in Nepal</t>
  </si>
  <si>
    <t>Taplejung</t>
  </si>
  <si>
    <t>Yangwarak</t>
  </si>
  <si>
    <t>Chandragadi Airport</t>
  </si>
  <si>
    <t>Kaberi-B1 Cascade</t>
  </si>
  <si>
    <t>9.94 MW</t>
  </si>
  <si>
    <t>Hydro</t>
  </si>
  <si>
    <t>NEA Grid</t>
  </si>
  <si>
    <t>Nepal</t>
  </si>
  <si>
    <t>Pachthar/     Taplejung</t>
  </si>
  <si>
    <t>Ambarpur, Nagi</t>
  </si>
  <si>
    <t>Chandrapur Solar</t>
  </si>
  <si>
    <t>4.0 MW</t>
  </si>
  <si>
    <t>Solar</t>
  </si>
  <si>
    <t>Rautahat</t>
  </si>
  <si>
    <t>Chandranigahpur</t>
  </si>
  <si>
    <t>Simara Airport</t>
  </si>
  <si>
    <t>Dhalkeber Solar</t>
  </si>
  <si>
    <t>1.0 MW</t>
  </si>
  <si>
    <t>Dhanusa</t>
  </si>
  <si>
    <t>Dhalkebar</t>
  </si>
  <si>
    <t>Janakpur Airport</t>
  </si>
  <si>
    <t>Simara Solar</t>
  </si>
  <si>
    <t>Parsa</t>
  </si>
  <si>
    <t>Simara</t>
  </si>
  <si>
    <t>cascade Kabeli B1-Hydro Power plant</t>
  </si>
  <si>
    <t>chandrapur-Solar Power plant</t>
  </si>
  <si>
    <t>dhalkebar-Solar Power plant</t>
  </si>
  <si>
    <t>simara-Solar Power plant</t>
  </si>
  <si>
    <t>1. Upper ingwa</t>
  </si>
  <si>
    <t>2. chandrapur</t>
  </si>
  <si>
    <t>3.dhalkebar</t>
  </si>
  <si>
    <t>4. simara</t>
  </si>
  <si>
    <t>5. cascade Kabeli B1</t>
  </si>
  <si>
    <t>COD - 15-05-2022</t>
  </si>
  <si>
    <t>Capacity :- 9.7 MW</t>
  </si>
  <si>
    <t>Capacity - 4 MW</t>
  </si>
  <si>
    <t>COD - 22-August-2021</t>
  </si>
  <si>
    <t>Capacity -1 MW</t>
  </si>
  <si>
    <t>COD - 16-Jnauary-2022</t>
  </si>
  <si>
    <t>COD - 24-july-2022</t>
  </si>
  <si>
    <t>Capacity :-  1 MW</t>
  </si>
  <si>
    <t>Capacity -9.94 MW</t>
  </si>
  <si>
    <t>COD- 26-March-2022</t>
  </si>
  <si>
    <t>M/s RIDI Power</t>
  </si>
  <si>
    <t>export</t>
  </si>
  <si>
    <t>Import</t>
  </si>
  <si>
    <t>Net Minimum KWh</t>
  </si>
  <si>
    <t xml:space="preserve"> </t>
  </si>
  <si>
    <t>Calibration Detail</t>
  </si>
  <si>
    <t>Main Meter Serial No.</t>
  </si>
  <si>
    <t xml:space="preserve">Check Meter Serial No. </t>
  </si>
  <si>
    <t>Make</t>
  </si>
  <si>
    <t>Accuracy class</t>
  </si>
  <si>
    <t>Year</t>
  </si>
  <si>
    <t xml:space="preserve">Date of calibration </t>
  </si>
  <si>
    <t>Validity of calibration</t>
  </si>
  <si>
    <t>Elester</t>
  </si>
  <si>
    <t>0.2s</t>
  </si>
  <si>
    <t>Chandranighapur</t>
  </si>
  <si>
    <t>Ametek</t>
  </si>
  <si>
    <t>kabeli B1</t>
  </si>
  <si>
    <t>Upper Ingwa</t>
  </si>
  <si>
    <t>Annual Estimated Electricty generation</t>
  </si>
  <si>
    <t>EX- ANTE EMISSION REDUCTION CALCULATIONS OF PROPOSED PROJECT ACTIVITY -RIDI Power Co. Ltd</t>
  </si>
  <si>
    <t>Report Date</t>
  </si>
  <si>
    <t>Report Version</t>
  </si>
  <si>
    <t>Ambrapur, Negi</t>
  </si>
  <si>
    <t>For entire crediting period of 7 years</t>
  </si>
  <si>
    <t>Mwh</t>
  </si>
  <si>
    <t>tco2</t>
  </si>
  <si>
    <t>INDIA: CENTRAL ELECTRICITY AUTHORITY: CO2 BASELINE DATABASE</t>
  </si>
  <si>
    <t xml:space="preserve">VERSION </t>
  </si>
  <si>
    <t>DATE</t>
  </si>
  <si>
    <t>BASELINE METHODOLOGY</t>
  </si>
  <si>
    <t>AMS-I.D/ Ver 18.0 and "Tool to Calculate the Emission Factor for an Electricity System", Version 7.0</t>
  </si>
  <si>
    <t>EMISSION FACTORS</t>
  </si>
  <si>
    <t>Emission Factors (tCO2/MWh) (excl. Imports)</t>
  </si>
  <si>
    <t>2015-16</t>
  </si>
  <si>
    <t>2016-17</t>
  </si>
  <si>
    <t>2017-18</t>
  </si>
  <si>
    <t>2018-19</t>
  </si>
  <si>
    <t>2019-20</t>
  </si>
  <si>
    <t>2020-21</t>
  </si>
  <si>
    <t>Emission Factors (tCO2/MWh) (incl. Imports)</t>
  </si>
  <si>
    <t xml:space="preserve">Weighted Average Emission Rate </t>
  </si>
  <si>
    <t>Weighted Average Emission Rate (2)</t>
  </si>
  <si>
    <t xml:space="preserve">Simple Operating Margin (1) </t>
  </si>
  <si>
    <t xml:space="preserve">Simple Operating Margin (1) (2) </t>
  </si>
  <si>
    <t>Build Margin</t>
  </si>
  <si>
    <t>Build Margin (not adjusted for imports)</t>
  </si>
  <si>
    <t xml:space="preserve">Combined Margin (1) </t>
  </si>
  <si>
    <t>Combined Margin (1) (2)</t>
  </si>
  <si>
    <t xml:space="preserve">(1) Operating margin is based on the data for the same year. This corresponds to the ex post option </t>
  </si>
  <si>
    <t xml:space="preserve">      given in "Tool to Calculate the Emission Factor for an Electricity System", Ver. 7.0 (p.16)</t>
  </si>
  <si>
    <t>(2) Adjustments for imports from other Indian grids are based on operating margin of exporting grid.</t>
  </si>
  <si>
    <t xml:space="preserve">       For imports from other countries, an emission factor of zero is used.</t>
  </si>
  <si>
    <t xml:space="preserve">       See "Tool to Calculate the Emission Factor for an Electricity System", Ver. 7.0 (p.10 &amp; 11), options a+b</t>
  </si>
  <si>
    <t>GENERATION DATA</t>
  </si>
  <si>
    <t>EMISSION DATA</t>
  </si>
  <si>
    <t>Gross Generation Total (GWh)</t>
  </si>
  <si>
    <t>Absolute Emissions Total (tCO2)</t>
  </si>
  <si>
    <t>Net Generation Total (GWh)</t>
  </si>
  <si>
    <t>Absolute Emissions OM (tCO2)</t>
  </si>
  <si>
    <t>Share of Must-Run (Hydro/Nuclear) (% of Net Generation)</t>
  </si>
  <si>
    <t>Absolute Emissions BM (tCO2)</t>
  </si>
  <si>
    <t>Net Generation in Operating Margin (GWh)</t>
  </si>
  <si>
    <t>Net Imports (GWh)</t>
  </si>
  <si>
    <t>20% of Net Generation (GWh)</t>
  </si>
  <si>
    <t>Share of Net Imports (% of Net Generation)</t>
  </si>
  <si>
    <t>Net Generation in Build Margin (GWh)</t>
  </si>
  <si>
    <t>NEPAL DATA</t>
  </si>
  <si>
    <t>Particulars</t>
  </si>
  <si>
    <t>2021*</t>
  </si>
  <si>
    <t>Availability (GWh)</t>
  </si>
  <si>
    <t>MWh</t>
  </si>
  <si>
    <t>NEA Own Generation</t>
  </si>
  <si>
    <t>Power Purchase from IPPs</t>
  </si>
  <si>
    <t>Power Purchase from India</t>
  </si>
  <si>
    <t>Total Availability (GWh)</t>
  </si>
  <si>
    <t>Peak Demand (MW)</t>
  </si>
  <si>
    <t>* Provisional Figures (Subject to audit)</t>
  </si>
  <si>
    <t>Peak Demad MW</t>
  </si>
  <si>
    <t>Source:</t>
  </si>
  <si>
    <t>Nepal Electricity Authority Annual Report 2021-22_ https://www.nea.org.np/annual_report</t>
  </si>
  <si>
    <t>CENTRAL ELECTRICITY AUTHORITY: CO2 BASELINE DATABASE</t>
  </si>
  <si>
    <t>VERSION</t>
  </si>
  <si>
    <t>Net Generation in Operating Margin (GWH) (incl. Imports)</t>
  </si>
  <si>
    <t>2021-22</t>
  </si>
  <si>
    <t>Indian Grid</t>
  </si>
  <si>
    <t>Simple Operating Margin (tCO2/MWh) (incl. Imports) (1) (2)</t>
  </si>
  <si>
    <t>Build Margin (tCO2/MWh) (not adjusted for imports)</t>
  </si>
  <si>
    <t>Weighted Generation Operating Margin</t>
  </si>
  <si>
    <t>Combined Margin Emission Factor</t>
  </si>
  <si>
    <t>Nepal Grid</t>
  </si>
  <si>
    <t xml:space="preserve">Nepal Generation </t>
  </si>
  <si>
    <t>Connected system weighted average combined Emission Factor for hydro instances</t>
  </si>
  <si>
    <t>Connected system weighted average combined Emission Factor for solar instances</t>
  </si>
  <si>
    <t>ER calculation</t>
  </si>
  <si>
    <t>site</t>
  </si>
  <si>
    <t>plant capacity</t>
  </si>
  <si>
    <t>plf</t>
  </si>
  <si>
    <t>annual generation</t>
  </si>
  <si>
    <t>Project capacity (MW)</t>
  </si>
  <si>
    <t xml:space="preserve">PLF (%) </t>
  </si>
  <si>
    <t>chandrapur</t>
  </si>
  <si>
    <t>Annual Generation for first year of crediting period(MWh)</t>
  </si>
  <si>
    <t>dhalkebar</t>
  </si>
  <si>
    <t>Emission Factor (tCO2/MW)</t>
  </si>
  <si>
    <t>simara</t>
  </si>
  <si>
    <t>Annual Emission Reductions for first year of crediting period (tCO2)</t>
  </si>
  <si>
    <t>cascade Kabeli B1</t>
  </si>
  <si>
    <t>Annual degradation from 2nd year onwards (%)</t>
  </si>
  <si>
    <t>Total generation</t>
  </si>
  <si>
    <t>emission factor</t>
  </si>
  <si>
    <t>emission reduction</t>
  </si>
  <si>
    <t>Emission reduction</t>
  </si>
  <si>
    <t>Total net electricity supplied to the grid (MWh) -Solar</t>
  </si>
  <si>
    <t>Total net electricity supplied to the grid (MWh) -Hydro</t>
  </si>
  <si>
    <t>13.05.2025</t>
  </si>
  <si>
    <t xml:space="preserve">Annual Estimated Emission reduction </t>
  </si>
  <si>
    <t>Actual VERs Generated for this Monitoring Period -solar</t>
  </si>
  <si>
    <t>Actual VERs Generated for this Monitoring Period -Hydro</t>
  </si>
  <si>
    <t>Actual VERs Generated for this Monitoring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</si>
</sst>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(* #,##0_);_(* \(#,##0\);_(* &quot;-&quot;_);_(@_)"/>
    <numFmt numFmtId="164" formatCode="_ * #,##0.00_ ;_ * \-#,##0.00_ ;_ * &quot;-&quot;??_ ;_ @_ "/>
    <numFmt numFmtId="165" formatCode="#,##0.0000"/>
    <numFmt numFmtId="166" formatCode="0.0000"/>
    <numFmt numFmtId="167" formatCode="0.000"/>
    <numFmt numFmtId="168" formatCode="_ * #,##0_ ;_ * \-#,##0_ ;_ * &quot;-&quot;??_ ;_ @_ "/>
    <numFmt numFmtId="169" formatCode="0.0"/>
    <numFmt numFmtId="170" formatCode="[$-409]d/mmm/yy;@"/>
    <numFmt numFmtId="171" formatCode="0.0%"/>
    <numFmt numFmtId="172" formatCode="[$-14009]dd/mm/yy;@"/>
    <numFmt numFmtId="173" formatCode="_(* #,##0.0000_);_(* \(#,##0.0000\);_(* &quot;-&quot;_);_(@_)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vertAlign val="subscript"/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Times New Roman"/>
      <family val="1"/>
    </font>
    <font>
      <b/>
      <vertAlign val="subscript"/>
      <sz val="12"/>
      <name val="Calibri"/>
      <family val="2"/>
    </font>
    <font>
      <b/>
      <sz val="12"/>
      <name val="Calibri"/>
      <family val="2"/>
    </font>
    <font>
      <sz val="10.5"/>
      <color rgb="FF000000"/>
      <name val="Franklin Gothic Book"/>
      <family val="2"/>
    </font>
    <font>
      <sz val="12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mbria"/>
      <family val="1"/>
    </font>
    <font>
      <sz val="11"/>
      <name val="Cambria"/>
      <family val="1"/>
    </font>
    <font>
      <b/>
      <sz val="10.5"/>
      <color rgb="FF000000"/>
      <name val="Calibri"/>
      <family val="2"/>
      <scheme val="minor"/>
    </font>
    <font>
      <sz val="10.5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.5"/>
      <color rgb="FF000000"/>
      <name val="Arial"/>
      <family val="2"/>
    </font>
    <font>
      <b/>
      <u val="double"/>
      <sz val="12"/>
      <color theme="0"/>
      <name val="Calibri"/>
      <family val="2"/>
      <scheme val="minor"/>
    </font>
    <font>
      <b/>
      <sz val="11.5"/>
      <color rgb="FFFFFFFF"/>
      <name val="Calibri"/>
      <family val="2"/>
    </font>
    <font>
      <sz val="11.5"/>
      <color rgb="FF000000"/>
      <name val="Calibri Light"/>
      <family val="2"/>
    </font>
    <font>
      <sz val="12"/>
      <color theme="1"/>
      <name val="Times New Roman"/>
      <family val="1"/>
    </font>
    <font>
      <sz val="11"/>
      <color indexed="8"/>
      <name val="Calibri"/>
      <family val="2"/>
    </font>
    <font>
      <sz val="14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7CB0"/>
        <bgColor indexed="64"/>
      </patternFill>
    </fill>
    <fill>
      <patternFill patternType="solid">
        <fgColor rgb="FFBEDCEE"/>
        <bgColor indexed="64"/>
      </patternFill>
    </fill>
    <fill>
      <patternFill patternType="solid">
        <fgColor rgb="FFD8EAF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theme="8" tint="0.59999389629810485"/>
      </top>
      <bottom style="thin">
        <color theme="8" tint="0.59999389629810485"/>
      </bottom>
      <diagonal/>
    </border>
    <border>
      <left style="thin">
        <color theme="8" tint="0.59999389629810485"/>
      </left>
      <right style="thin">
        <color theme="8" tint="0.59999389629810485"/>
      </right>
      <top style="thin">
        <color theme="8" tint="0.59999389629810485"/>
      </top>
      <bottom style="thin">
        <color theme="8" tint="0.59999389629810485"/>
      </bottom>
      <diagonal/>
    </border>
    <border>
      <left/>
      <right style="thin">
        <color theme="8" tint="0.59999389629810485"/>
      </right>
      <top style="thin">
        <color theme="8" tint="0.59999389629810485"/>
      </top>
      <bottom/>
      <diagonal/>
    </border>
    <border>
      <left/>
      <right/>
      <top/>
      <bottom style="thin">
        <color theme="8" tint="0.59999389629810485"/>
      </bottom>
      <diagonal/>
    </border>
    <border>
      <left/>
      <right style="thin">
        <color theme="8" tint="0.59999389629810485"/>
      </right>
      <top/>
      <bottom style="thin">
        <color theme="8" tint="0.59999389629810485"/>
      </bottom>
      <diagonal/>
    </border>
    <border>
      <left style="thin">
        <color theme="8" tint="0.59999389629810485"/>
      </left>
      <right/>
      <top style="thin">
        <color theme="8" tint="0.59999389629810485"/>
      </top>
      <bottom style="thin">
        <color theme="8" tint="0.59999389629810485"/>
      </bottom>
      <diagonal/>
    </border>
    <border>
      <left/>
      <right style="thin">
        <color theme="8" tint="0.59999389629810485"/>
      </right>
      <top/>
      <bottom/>
      <diagonal/>
    </border>
    <border>
      <left/>
      <right style="thin">
        <color theme="8" tint="0.59999389629810485"/>
      </right>
      <top style="thin">
        <color theme="8" tint="0.59999389629810485"/>
      </top>
      <bottom style="thin">
        <color theme="8" tint="0.59999389629810485"/>
      </bottom>
      <diagonal/>
    </border>
    <border>
      <left style="thin">
        <color indexed="64"/>
      </left>
      <right style="thin">
        <color indexed="64"/>
      </right>
      <top style="thin">
        <color rgb="FFA295F3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2" fillId="0" borderId="0"/>
    <xf numFmtId="0" fontId="11" fillId="0" borderId="0"/>
    <xf numFmtId="0" fontId="13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25" fillId="0" borderId="0" applyNumberFormat="0" applyFill="0" applyBorder="0" applyAlignment="0" applyProtection="0"/>
    <xf numFmtId="9" fontId="11" fillId="0" borderId="0" applyFont="0" applyFill="0" applyBorder="0" applyAlignment="0" applyProtection="0"/>
    <xf numFmtId="0" fontId="31" fillId="0" borderId="0"/>
  </cellStyleXfs>
  <cellXfs count="385">
    <xf numFmtId="0" fontId="0" fillId="0" borderId="0" xfId="0"/>
    <xf numFmtId="0" fontId="1" fillId="4" borderId="7" xfId="0" applyFont="1" applyFill="1" applyBorder="1" applyAlignment="1">
      <alignment horizont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8" fillId="0" borderId="0" xfId="0" applyFont="1"/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1" fontId="0" fillId="0" borderId="0" xfId="0" applyNumberFormat="1"/>
    <xf numFmtId="0" fontId="7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14" fontId="0" fillId="2" borderId="9" xfId="0" applyNumberFormat="1" applyFill="1" applyBorder="1" applyAlignment="1">
      <alignment horizontal="center" vertical="center"/>
    </xf>
    <xf numFmtId="17" fontId="0" fillId="2" borderId="0" xfId="0" applyNumberFormat="1" applyFill="1" applyAlignment="1">
      <alignment horizontal="center" vertical="center"/>
    </xf>
    <xf numFmtId="0" fontId="20" fillId="2" borderId="9" xfId="0" applyFont="1" applyFill="1" applyBorder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17" fontId="0" fillId="2" borderId="8" xfId="0" applyNumberFormat="1" applyFill="1" applyBorder="1" applyAlignment="1">
      <alignment horizontal="center" vertical="center"/>
    </xf>
    <xf numFmtId="17" fontId="0" fillId="0" borderId="12" xfId="0" applyNumberFormat="1" applyBorder="1" applyAlignment="1">
      <alignment horizontal="center" vertical="center"/>
    </xf>
    <xf numFmtId="17" fontId="0" fillId="0" borderId="15" xfId="0" applyNumberFormat="1" applyBorder="1" applyAlignment="1">
      <alignment horizontal="center" vertical="center"/>
    </xf>
    <xf numFmtId="17" fontId="0" fillId="0" borderId="5" xfId="0" applyNumberFormat="1" applyBorder="1" applyAlignment="1">
      <alignment horizontal="center" vertical="center"/>
    </xf>
    <xf numFmtId="15" fontId="8" fillId="0" borderId="10" xfId="0" applyNumberFormat="1" applyFont="1" applyBorder="1" applyAlignment="1">
      <alignment horizontal="center" vertical="center"/>
    </xf>
    <xf numFmtId="15" fontId="8" fillId="0" borderId="11" xfId="0" applyNumberFormat="1" applyFont="1" applyBorder="1" applyAlignment="1">
      <alignment horizontal="center" vertical="center"/>
    </xf>
    <xf numFmtId="167" fontId="0" fillId="0" borderId="0" xfId="0" applyNumberFormat="1"/>
    <xf numFmtId="0" fontId="7" fillId="2" borderId="36" xfId="0" applyFont="1" applyFill="1" applyBorder="1" applyAlignment="1">
      <alignment horizontal="center" vertical="center"/>
    </xf>
    <xf numFmtId="2" fontId="0" fillId="2" borderId="35" xfId="0" applyNumberFormat="1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1" fontId="1" fillId="5" borderId="21" xfId="0" applyNumberFormat="1" applyFont="1" applyFill="1" applyBorder="1" applyAlignment="1">
      <alignment horizontal="center" vertical="center"/>
    </xf>
    <xf numFmtId="17" fontId="1" fillId="2" borderId="20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7" fontId="0" fillId="2" borderId="6" xfId="0" applyNumberFormat="1" applyFill="1" applyBorder="1" applyAlignment="1">
      <alignment horizontal="center" vertical="center"/>
    </xf>
    <xf numFmtId="0" fontId="6" fillId="2" borderId="24" xfId="0" applyFont="1" applyFill="1" applyBorder="1" applyAlignment="1">
      <alignment vertical="center" wrapText="1"/>
    </xf>
    <xf numFmtId="0" fontId="0" fillId="2" borderId="26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4" borderId="6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0" fillId="6" borderId="0" xfId="0" applyFill="1"/>
    <xf numFmtId="0" fontId="21" fillId="6" borderId="46" xfId="0" applyFont="1" applyFill="1" applyBorder="1" applyAlignment="1">
      <alignment horizontal="center" vertical="center" wrapText="1"/>
    </xf>
    <xf numFmtId="0" fontId="21" fillId="6" borderId="30" xfId="0" applyFont="1" applyFill="1" applyBorder="1" applyAlignment="1">
      <alignment horizontal="center" vertical="center" wrapText="1"/>
    </xf>
    <xf numFmtId="0" fontId="22" fillId="6" borderId="0" xfId="0" applyFont="1" applyFill="1" applyAlignment="1">
      <alignment horizontal="left" vertical="center" wrapText="1" indent="1"/>
    </xf>
    <xf numFmtId="0" fontId="21" fillId="6" borderId="32" xfId="0" applyFont="1" applyFill="1" applyBorder="1" applyAlignment="1">
      <alignment horizontal="center" vertical="center" wrapText="1"/>
    </xf>
    <xf numFmtId="14" fontId="0" fillId="2" borderId="29" xfId="0" applyNumberFormat="1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17" fontId="0" fillId="2" borderId="28" xfId="0" applyNumberForma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16" fillId="12" borderId="9" xfId="0" applyFont="1" applyFill="1" applyBorder="1" applyAlignment="1">
      <alignment vertical="center" wrapText="1"/>
    </xf>
    <xf numFmtId="167" fontId="17" fillId="12" borderId="9" xfId="4" applyNumberFormat="1" applyFont="1" applyFill="1" applyBorder="1" applyAlignment="1">
      <alignment horizontal="center" vertical="center"/>
    </xf>
    <xf numFmtId="10" fontId="17" fillId="12" borderId="9" xfId="0" applyNumberFormat="1" applyFont="1" applyFill="1" applyBorder="1" applyAlignment="1">
      <alignment horizontal="center" vertical="center"/>
    </xf>
    <xf numFmtId="3" fontId="17" fillId="14" borderId="9" xfId="2" applyNumberFormat="1" applyFont="1" applyFill="1" applyBorder="1" applyAlignment="1">
      <alignment horizontal="center" vertical="center" wrapText="1"/>
    </xf>
    <xf numFmtId="1" fontId="17" fillId="14" borderId="9" xfId="4" applyNumberFormat="1" applyFont="1" applyFill="1" applyBorder="1" applyAlignment="1">
      <alignment horizontal="center" vertical="center"/>
    </xf>
    <xf numFmtId="1" fontId="16" fillId="14" borderId="9" xfId="0" applyNumberFormat="1" applyFont="1" applyFill="1" applyBorder="1" applyAlignment="1">
      <alignment horizontal="center" vertical="center" wrapText="1"/>
    </xf>
    <xf numFmtId="3" fontId="17" fillId="14" borderId="9" xfId="3" applyNumberFormat="1" applyFont="1" applyFill="1" applyBorder="1" applyAlignment="1">
      <alignment horizontal="center" vertical="center" wrapText="1"/>
    </xf>
    <xf numFmtId="0" fontId="17" fillId="14" borderId="9" xfId="2" applyFont="1" applyFill="1" applyBorder="1" applyAlignment="1">
      <alignment horizontal="center" vertical="center"/>
    </xf>
    <xf numFmtId="0" fontId="0" fillId="12" borderId="9" xfId="0" applyFill="1" applyBorder="1" applyAlignment="1">
      <alignment horizontal="center" vertical="center"/>
    </xf>
    <xf numFmtId="17" fontId="0" fillId="10" borderId="8" xfId="0" applyNumberFormat="1" applyFill="1" applyBorder="1" applyAlignment="1">
      <alignment horizontal="center" vertical="center"/>
    </xf>
    <xf numFmtId="170" fontId="0" fillId="10" borderId="6" xfId="0" quotePrefix="1" applyNumberFormat="1" applyFill="1" applyBorder="1" applyAlignment="1">
      <alignment horizontal="center" vertical="center"/>
    </xf>
    <xf numFmtId="170" fontId="0" fillId="10" borderId="25" xfId="0" applyNumberFormat="1" applyFill="1" applyBorder="1" applyAlignment="1">
      <alignment horizontal="center" vertical="center"/>
    </xf>
    <xf numFmtId="0" fontId="0" fillId="10" borderId="25" xfId="0" applyFill="1" applyBorder="1" applyAlignment="1">
      <alignment horizontal="center" vertical="center"/>
    </xf>
    <xf numFmtId="0" fontId="0" fillId="10" borderId="9" xfId="0" applyFill="1" applyBorder="1" applyAlignment="1">
      <alignment horizontal="center" vertical="center"/>
    </xf>
    <xf numFmtId="0" fontId="0" fillId="10" borderId="26" xfId="0" applyFill="1" applyBorder="1" applyAlignment="1">
      <alignment horizontal="center" vertical="center"/>
    </xf>
    <xf numFmtId="170" fontId="0" fillId="10" borderId="8" xfId="0" applyNumberFormat="1" applyFill="1" applyBorder="1" applyAlignment="1">
      <alignment horizontal="center" vertical="center"/>
    </xf>
    <xf numFmtId="170" fontId="0" fillId="10" borderId="9" xfId="0" applyNumberFormat="1" applyFill="1" applyBorder="1" applyAlignment="1">
      <alignment horizontal="center" vertical="center"/>
    </xf>
    <xf numFmtId="170" fontId="0" fillId="10" borderId="32" xfId="0" applyNumberFormat="1" applyFill="1" applyBorder="1" applyAlignment="1">
      <alignment horizontal="center" vertical="center"/>
    </xf>
    <xf numFmtId="170" fontId="0" fillId="10" borderId="28" xfId="0" applyNumberFormat="1" applyFill="1" applyBorder="1" applyAlignment="1">
      <alignment horizontal="center" vertical="center"/>
    </xf>
    <xf numFmtId="170" fontId="0" fillId="10" borderId="29" xfId="0" applyNumberFormat="1" applyFill="1" applyBorder="1" applyAlignment="1">
      <alignment horizontal="center" vertical="center"/>
    </xf>
    <xf numFmtId="0" fontId="0" fillId="10" borderId="29" xfId="0" applyFill="1" applyBorder="1" applyAlignment="1">
      <alignment horizontal="center" vertical="center"/>
    </xf>
    <xf numFmtId="170" fontId="0" fillId="10" borderId="38" xfId="0" applyNumberFormat="1" applyFill="1" applyBorder="1" applyAlignment="1">
      <alignment horizontal="center" vertical="center"/>
    </xf>
    <xf numFmtId="17" fontId="0" fillId="10" borderId="6" xfId="0" applyNumberFormat="1" applyFill="1" applyBorder="1" applyAlignment="1">
      <alignment horizontal="center" vertical="center"/>
    </xf>
    <xf numFmtId="0" fontId="0" fillId="10" borderId="7" xfId="0" applyFill="1" applyBorder="1" applyAlignment="1">
      <alignment horizontal="center" vertical="center"/>
    </xf>
    <xf numFmtId="17" fontId="0" fillId="10" borderId="10" xfId="0" applyNumberFormat="1" applyFill="1" applyBorder="1" applyAlignment="1">
      <alignment horizontal="center" vertical="center"/>
    </xf>
    <xf numFmtId="170" fontId="0" fillId="10" borderId="39" xfId="0" applyNumberFormat="1" applyFill="1" applyBorder="1" applyAlignment="1">
      <alignment horizontal="center" vertical="center"/>
    </xf>
    <xf numFmtId="170" fontId="0" fillId="10" borderId="34" xfId="0" applyNumberFormat="1" applyFill="1" applyBorder="1" applyAlignment="1">
      <alignment horizontal="center" vertical="center"/>
    </xf>
    <xf numFmtId="0" fontId="0" fillId="10" borderId="34" xfId="0" applyFill="1" applyBorder="1" applyAlignment="1">
      <alignment horizontal="center" vertical="center"/>
    </xf>
    <xf numFmtId="0" fontId="0" fillId="10" borderId="11" xfId="0" applyFill="1" applyBorder="1" applyAlignment="1">
      <alignment horizontal="center" vertical="center"/>
    </xf>
    <xf numFmtId="170" fontId="0" fillId="10" borderId="6" xfId="0" applyNumberFormat="1" applyFill="1" applyBorder="1" applyAlignment="1">
      <alignment horizontal="center" vertical="center"/>
    </xf>
    <xf numFmtId="170" fontId="0" fillId="10" borderId="33" xfId="0" applyNumberFormat="1" applyFill="1" applyBorder="1" applyAlignment="1">
      <alignment horizontal="center" vertical="center"/>
    </xf>
    <xf numFmtId="170" fontId="0" fillId="10" borderId="10" xfId="0" applyNumberFormat="1" applyFill="1" applyBorder="1" applyAlignment="1">
      <alignment horizontal="center" vertical="center"/>
    </xf>
    <xf numFmtId="170" fontId="0" fillId="10" borderId="51" xfId="0" applyNumberFormat="1" applyFill="1" applyBorder="1" applyAlignment="1">
      <alignment horizontal="center" vertical="center"/>
    </xf>
    <xf numFmtId="0" fontId="0" fillId="10" borderId="9" xfId="0" quotePrefix="1" applyFill="1" applyBorder="1" applyAlignment="1">
      <alignment horizontal="center" vertical="center"/>
    </xf>
    <xf numFmtId="17" fontId="1" fillId="2" borderId="52" xfId="0" applyNumberFormat="1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14" fontId="0" fillId="10" borderId="25" xfId="0" applyNumberFormat="1" applyFill="1" applyBorder="1" applyAlignment="1">
      <alignment horizontal="center" vertical="center"/>
    </xf>
    <xf numFmtId="14" fontId="0" fillId="10" borderId="9" xfId="0" applyNumberFormat="1" applyFill="1" applyBorder="1" applyAlignment="1">
      <alignment horizontal="center" vertical="center"/>
    </xf>
    <xf numFmtId="0" fontId="20" fillId="10" borderId="9" xfId="0" applyFont="1" applyFill="1" applyBorder="1" applyAlignment="1">
      <alignment horizontal="center" vertical="center"/>
    </xf>
    <xf numFmtId="14" fontId="0" fillId="10" borderId="34" xfId="0" applyNumberFormat="1" applyFill="1" applyBorder="1" applyAlignment="1">
      <alignment horizontal="center" vertical="center"/>
    </xf>
    <xf numFmtId="17" fontId="0" fillId="10" borderId="9" xfId="0" applyNumberFormat="1" applyFill="1" applyBorder="1" applyAlignment="1">
      <alignment horizontal="center" vertical="center"/>
    </xf>
    <xf numFmtId="17" fontId="0" fillId="10" borderId="25" xfId="0" applyNumberFormat="1" applyFill="1" applyBorder="1" applyAlignment="1">
      <alignment horizontal="center" vertical="center"/>
    </xf>
    <xf numFmtId="17" fontId="0" fillId="10" borderId="34" xfId="0" applyNumberFormat="1" applyFill="1" applyBorder="1" applyAlignment="1">
      <alignment horizontal="center" vertical="center"/>
    </xf>
    <xf numFmtId="2" fontId="0" fillId="2" borderId="42" xfId="0" applyNumberFormat="1" applyFill="1" applyBorder="1" applyAlignment="1">
      <alignment horizontal="center" vertical="center"/>
    </xf>
    <xf numFmtId="2" fontId="0" fillId="2" borderId="46" xfId="0" applyNumberFormat="1" applyFill="1" applyBorder="1" applyAlignment="1">
      <alignment horizontal="center" vertical="center"/>
    </xf>
    <xf numFmtId="0" fontId="9" fillId="4" borderId="2" xfId="0" applyFont="1" applyFill="1" applyBorder="1"/>
    <xf numFmtId="0" fontId="9" fillId="4" borderId="39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6" fillId="11" borderId="0" xfId="0" applyFont="1" applyFill="1" applyAlignment="1">
      <alignment horizontal="center" vertical="center"/>
    </xf>
    <xf numFmtId="0" fontId="6" fillId="11" borderId="3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1" fillId="15" borderId="2" xfId="0" applyFont="1" applyFill="1" applyBorder="1"/>
    <xf numFmtId="0" fontId="1" fillId="15" borderId="43" xfId="0" applyFont="1" applyFill="1" applyBorder="1"/>
    <xf numFmtId="0" fontId="1" fillId="15" borderId="3" xfId="0" applyFont="1" applyFill="1" applyBorder="1"/>
    <xf numFmtId="0" fontId="1" fillId="10" borderId="50" xfId="0" applyFont="1" applyFill="1" applyBorder="1" applyAlignment="1">
      <alignment horizontal="center"/>
    </xf>
    <xf numFmtId="0" fontId="1" fillId="10" borderId="23" xfId="0" applyFont="1" applyFill="1" applyBorder="1"/>
    <xf numFmtId="0" fontId="1" fillId="10" borderId="37" xfId="0" applyFont="1" applyFill="1" applyBorder="1"/>
    <xf numFmtId="17" fontId="1" fillId="10" borderId="38" xfId="0" applyNumberFormat="1" applyFont="1" applyFill="1" applyBorder="1"/>
    <xf numFmtId="0" fontId="1" fillId="10" borderId="0" xfId="0" applyFont="1" applyFill="1"/>
    <xf numFmtId="0" fontId="1" fillId="10" borderId="24" xfId="0" applyFont="1" applyFill="1" applyBorder="1"/>
    <xf numFmtId="0" fontId="1" fillId="10" borderId="40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1" fillId="0" borderId="2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/>
    <xf numFmtId="0" fontId="1" fillId="0" borderId="2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26" xfId="0" applyNumberForma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2" fontId="0" fillId="0" borderId="34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0" xfId="0" applyBorder="1"/>
    <xf numFmtId="0" fontId="0" fillId="0" borderId="23" xfId="0" applyBorder="1"/>
    <xf numFmtId="0" fontId="0" fillId="0" borderId="37" xfId="0" applyBorder="1"/>
    <xf numFmtId="0" fontId="0" fillId="0" borderId="38" xfId="0" applyBorder="1"/>
    <xf numFmtId="0" fontId="0" fillId="0" borderId="24" xfId="0" applyBorder="1"/>
    <xf numFmtId="0" fontId="0" fillId="0" borderId="39" xfId="0" applyBorder="1"/>
    <xf numFmtId="0" fontId="0" fillId="0" borderId="36" xfId="0" applyBorder="1"/>
    <xf numFmtId="0" fontId="0" fillId="0" borderId="40" xfId="0" applyBorder="1"/>
    <xf numFmtId="0" fontId="0" fillId="0" borderId="3" xfId="0" applyBorder="1"/>
    <xf numFmtId="0" fontId="1" fillId="0" borderId="4" xfId="0" applyFont="1" applyBorder="1"/>
    <xf numFmtId="0" fontId="1" fillId="0" borderId="6" xfId="0" applyFont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26" xfId="0" applyBorder="1" applyAlignment="1">
      <alignment horizontal="center"/>
    </xf>
    <xf numFmtId="0" fontId="1" fillId="0" borderId="8" xfId="0" applyFont="1" applyBorder="1" applyAlignment="1">
      <alignment horizontal="left"/>
    </xf>
    <xf numFmtId="171" fontId="0" fillId="0" borderId="9" xfId="7" applyNumberFormat="1" applyFont="1" applyBorder="1" applyAlignment="1">
      <alignment horizontal="center"/>
    </xf>
    <xf numFmtId="171" fontId="0" fillId="0" borderId="26" xfId="7" applyNumberFormat="1" applyFont="1" applyBorder="1" applyAlignment="1">
      <alignment horizontal="center"/>
    </xf>
    <xf numFmtId="0" fontId="0" fillId="0" borderId="10" xfId="0" applyBorder="1" applyAlignment="1">
      <alignment horizontal="left"/>
    </xf>
    <xf numFmtId="0" fontId="28" fillId="16" borderId="9" xfId="0" applyFont="1" applyFill="1" applyBorder="1" applyAlignment="1">
      <alignment horizontal="center" vertical="center" wrapText="1"/>
    </xf>
    <xf numFmtId="0" fontId="28" fillId="16" borderId="9" xfId="0" applyFont="1" applyFill="1" applyBorder="1" applyAlignment="1">
      <alignment vertical="center" wrapText="1"/>
    </xf>
    <xf numFmtId="0" fontId="29" fillId="17" borderId="9" xfId="0" applyFont="1" applyFill="1" applyBorder="1" applyAlignment="1">
      <alignment vertical="center" wrapText="1"/>
    </xf>
    <xf numFmtId="0" fontId="30" fillId="17" borderId="9" xfId="0" applyFont="1" applyFill="1" applyBorder="1" applyAlignment="1">
      <alignment vertical="center" wrapText="1"/>
    </xf>
    <xf numFmtId="0" fontId="29" fillId="18" borderId="9" xfId="0" applyFont="1" applyFill="1" applyBorder="1" applyAlignment="1">
      <alignment vertical="center" wrapText="1"/>
    </xf>
    <xf numFmtId="3" fontId="29" fillId="18" borderId="9" xfId="0" applyNumberFormat="1" applyFont="1" applyFill="1" applyBorder="1" applyAlignment="1">
      <alignment vertical="center" wrapText="1"/>
    </xf>
    <xf numFmtId="3" fontId="29" fillId="17" borderId="9" xfId="0" applyNumberFormat="1" applyFont="1" applyFill="1" applyBorder="1" applyAlignment="1">
      <alignment vertical="center" wrapText="1"/>
    </xf>
    <xf numFmtId="3" fontId="29" fillId="18" borderId="56" xfId="0" applyNumberFormat="1" applyFont="1" applyFill="1" applyBorder="1" applyAlignment="1">
      <alignment vertical="center" wrapText="1"/>
    </xf>
    <xf numFmtId="0" fontId="0" fillId="0" borderId="31" xfId="0" applyBorder="1"/>
    <xf numFmtId="0" fontId="0" fillId="0" borderId="32" xfId="0" applyBorder="1"/>
    <xf numFmtId="0" fontId="1" fillId="2" borderId="58" xfId="0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4" fontId="1" fillId="2" borderId="9" xfId="0" applyNumberFormat="1" applyFont="1" applyFill="1" applyBorder="1" applyAlignment="1">
      <alignment horizontal="right"/>
    </xf>
    <xf numFmtId="4" fontId="1" fillId="2" borderId="26" xfId="0" applyNumberFormat="1" applyFont="1" applyFill="1" applyBorder="1" applyAlignment="1">
      <alignment horizontal="right"/>
    </xf>
    <xf numFmtId="4" fontId="1" fillId="2" borderId="61" xfId="0" applyNumberFormat="1" applyFont="1" applyFill="1" applyBorder="1" applyAlignment="1">
      <alignment horizontal="right"/>
    </xf>
    <xf numFmtId="0" fontId="1" fillId="0" borderId="34" xfId="0" applyFont="1" applyBorder="1"/>
    <xf numFmtId="3" fontId="0" fillId="2" borderId="34" xfId="0" applyNumberForma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3" fontId="0" fillId="2" borderId="0" xfId="0" applyNumberFormat="1" applyFill="1" applyAlignment="1">
      <alignment horizontal="right"/>
    </xf>
    <xf numFmtId="0" fontId="0" fillId="0" borderId="0" xfId="0" applyAlignment="1">
      <alignment horizontal="left"/>
    </xf>
    <xf numFmtId="0" fontId="0" fillId="0" borderId="63" xfId="0" applyBorder="1" applyAlignment="1">
      <alignment horizontal="left"/>
    </xf>
    <xf numFmtId="0" fontId="0" fillId="0" borderId="59" xfId="0" applyBorder="1" applyAlignment="1">
      <alignment horizontal="left"/>
    </xf>
    <xf numFmtId="0" fontId="1" fillId="2" borderId="60" xfId="0" applyFont="1" applyFill="1" applyBorder="1" applyAlignment="1">
      <alignment horizontal="center"/>
    </xf>
    <xf numFmtId="0" fontId="1" fillId="2" borderId="64" xfId="0" applyFont="1" applyFill="1" applyBorder="1" applyAlignment="1">
      <alignment horizontal="center"/>
    </xf>
    <xf numFmtId="4" fontId="1" fillId="2" borderId="65" xfId="0" applyNumberFormat="1" applyFont="1" applyFill="1" applyBorder="1" applyAlignment="1">
      <alignment horizontal="right"/>
    </xf>
    <xf numFmtId="165" fontId="0" fillId="2" borderId="66" xfId="0" applyNumberFormat="1" applyFill="1" applyBorder="1" applyAlignment="1">
      <alignment horizontal="right"/>
    </xf>
    <xf numFmtId="165" fontId="0" fillId="2" borderId="11" xfId="0" applyNumberFormat="1" applyFill="1" applyBorder="1" applyAlignment="1">
      <alignment horizontal="right"/>
    </xf>
    <xf numFmtId="165" fontId="0" fillId="2" borderId="64" xfId="0" applyNumberFormat="1" applyFill="1" applyBorder="1" applyAlignment="1">
      <alignment horizontal="right"/>
    </xf>
    <xf numFmtId="0" fontId="1" fillId="2" borderId="65" xfId="0" applyFont="1" applyFill="1" applyBorder="1" applyAlignment="1">
      <alignment horizontal="center"/>
    </xf>
    <xf numFmtId="165" fontId="0" fillId="2" borderId="34" xfId="0" applyNumberFormat="1" applyFill="1" applyBorder="1" applyAlignment="1">
      <alignment horizontal="right"/>
    </xf>
    <xf numFmtId="165" fontId="0" fillId="2" borderId="65" xfId="0" applyNumberFormat="1" applyFill="1" applyBorder="1" applyAlignment="1">
      <alignment horizontal="right"/>
    </xf>
    <xf numFmtId="0" fontId="0" fillId="0" borderId="59" xfId="0" applyBorder="1"/>
    <xf numFmtId="0" fontId="1" fillId="0" borderId="49" xfId="0" applyFont="1" applyBorder="1"/>
    <xf numFmtId="166" fontId="0" fillId="0" borderId="65" xfId="0" applyNumberFormat="1" applyBorder="1" applyAlignment="1">
      <alignment horizontal="center" vertical="center"/>
    </xf>
    <xf numFmtId="0" fontId="1" fillId="2" borderId="62" xfId="0" applyFont="1" applyFill="1" applyBorder="1" applyAlignment="1">
      <alignment horizontal="center"/>
    </xf>
    <xf numFmtId="166" fontId="0" fillId="0" borderId="0" xfId="0" applyNumberFormat="1" applyAlignment="1">
      <alignment horizontal="center"/>
    </xf>
    <xf numFmtId="0" fontId="1" fillId="0" borderId="0" xfId="0" applyFont="1"/>
    <xf numFmtId="0" fontId="1" fillId="0" borderId="9" xfId="0" applyFont="1" applyBorder="1"/>
    <xf numFmtId="166" fontId="0" fillId="0" borderId="9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0" fontId="1" fillId="10" borderId="38" xfId="0" applyFont="1" applyFill="1" applyBorder="1"/>
    <xf numFmtId="10" fontId="1" fillId="10" borderId="7" xfId="8" applyNumberFormat="1" applyFont="1" applyFill="1" applyBorder="1" applyAlignment="1">
      <alignment vertical="center"/>
    </xf>
    <xf numFmtId="2" fontId="0" fillId="0" borderId="26" xfId="0" applyNumberFormat="1" applyBorder="1"/>
    <xf numFmtId="10" fontId="0" fillId="0" borderId="26" xfId="7" applyNumberFormat="1" applyFont="1" applyFill="1" applyBorder="1"/>
    <xf numFmtId="41" fontId="0" fillId="0" borderId="26" xfId="0" applyNumberFormat="1" applyBorder="1"/>
    <xf numFmtId="173" fontId="0" fillId="0" borderId="26" xfId="0" applyNumberFormat="1" applyBorder="1"/>
    <xf numFmtId="10" fontId="0" fillId="0" borderId="11" xfId="0" applyNumberFormat="1" applyBorder="1"/>
    <xf numFmtId="166" fontId="0" fillId="0" borderId="0" xfId="0" applyNumberFormat="1"/>
    <xf numFmtId="0" fontId="6" fillId="11" borderId="0" xfId="0" applyFont="1" applyFill="1" applyAlignment="1">
      <alignment horizontal="center" vertical="center" wrapText="1"/>
    </xf>
    <xf numFmtId="0" fontId="0" fillId="2" borderId="48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71" xfId="0" applyFill="1" applyBorder="1" applyAlignment="1">
      <alignment horizontal="center" vertical="center"/>
    </xf>
    <xf numFmtId="0" fontId="0" fillId="10" borderId="48" xfId="0" applyFill="1" applyBorder="1" applyAlignment="1">
      <alignment horizontal="center" vertical="center"/>
    </xf>
    <xf numFmtId="0" fontId="0" fillId="10" borderId="31" xfId="0" applyFill="1" applyBorder="1" applyAlignment="1">
      <alignment horizontal="center" vertical="center"/>
    </xf>
    <xf numFmtId="0" fontId="0" fillId="10" borderId="49" xfId="0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166" fontId="0" fillId="10" borderId="9" xfId="0" applyNumberForma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/>
    </xf>
    <xf numFmtId="164" fontId="0" fillId="7" borderId="9" xfId="0" applyNumberFormat="1" applyFill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/>
    </xf>
    <xf numFmtId="0" fontId="1" fillId="0" borderId="7" xfId="0" applyFont="1" applyBorder="1"/>
    <xf numFmtId="0" fontId="1" fillId="0" borderId="26" xfId="0" applyFont="1" applyBorder="1"/>
    <xf numFmtId="0" fontId="1" fillId="0" borderId="11" xfId="0" applyFont="1" applyBorder="1"/>
    <xf numFmtId="169" fontId="0" fillId="2" borderId="0" xfId="0" applyNumberFormat="1" applyFill="1" applyAlignment="1">
      <alignment horizontal="center" vertical="center"/>
    </xf>
    <xf numFmtId="169" fontId="1" fillId="0" borderId="26" xfId="0" applyNumberFormat="1" applyFont="1" applyBorder="1"/>
    <xf numFmtId="1" fontId="1" fillId="0" borderId="26" xfId="0" applyNumberFormat="1" applyFont="1" applyBorder="1"/>
    <xf numFmtId="2" fontId="1" fillId="7" borderId="4" xfId="0" applyNumberFormat="1" applyFont="1" applyFill="1" applyBorder="1"/>
    <xf numFmtId="1" fontId="1" fillId="0" borderId="11" xfId="0" applyNumberFormat="1" applyFont="1" applyBorder="1"/>
    <xf numFmtId="169" fontId="1" fillId="0" borderId="40" xfId="0" applyNumberFormat="1" applyFont="1" applyBorder="1" applyAlignment="1">
      <alignment horizontal="center" vertical="center"/>
    </xf>
    <xf numFmtId="0" fontId="12" fillId="12" borderId="9" xfId="2" applyFont="1" applyFill="1" applyBorder="1" applyAlignment="1">
      <alignment horizontal="center" vertical="center" wrapText="1"/>
    </xf>
    <xf numFmtId="0" fontId="12" fillId="12" borderId="9" xfId="2" applyFont="1" applyFill="1" applyBorder="1" applyAlignment="1">
      <alignment horizontal="center" vertical="center"/>
    </xf>
    <xf numFmtId="0" fontId="12" fillId="14" borderId="9" xfId="2" applyFont="1" applyFill="1" applyBorder="1" applyAlignment="1">
      <alignment horizontal="center" vertical="center" wrapText="1"/>
    </xf>
    <xf numFmtId="0" fontId="12" fillId="14" borderId="9" xfId="3" applyFont="1" applyFill="1" applyBorder="1" applyAlignment="1">
      <alignment horizontal="center" vertical="center" wrapText="1"/>
    </xf>
    <xf numFmtId="0" fontId="12" fillId="13" borderId="9" xfId="3" applyFont="1" applyFill="1" applyBorder="1" applyAlignment="1">
      <alignment horizontal="center" vertical="center" wrapText="1"/>
    </xf>
    <xf numFmtId="165" fontId="12" fillId="13" borderId="9" xfId="3" applyNumberFormat="1" applyFont="1" applyFill="1" applyBorder="1" applyAlignment="1">
      <alignment horizontal="center" vertical="center" wrapText="1"/>
    </xf>
    <xf numFmtId="169" fontId="17" fillId="3" borderId="9" xfId="0" applyNumberFormat="1" applyFont="1" applyFill="1" applyBorder="1" applyAlignment="1">
      <alignment horizontal="center" vertical="center"/>
    </xf>
    <xf numFmtId="15" fontId="16" fillId="14" borderId="9" xfId="0" applyNumberFormat="1" applyFont="1" applyFill="1" applyBorder="1" applyAlignment="1">
      <alignment horizontal="center" vertical="center" wrapText="1"/>
    </xf>
    <xf numFmtId="166" fontId="17" fillId="14" borderId="9" xfId="3" applyNumberFormat="1" applyFont="1" applyFill="1" applyBorder="1" applyAlignment="1">
      <alignment horizontal="center" vertical="center" wrapText="1"/>
    </xf>
    <xf numFmtId="3" fontId="17" fillId="13" borderId="9" xfId="3" applyNumberFormat="1" applyFont="1" applyFill="1" applyBorder="1" applyAlignment="1">
      <alignment horizontal="center" vertical="center" wrapText="1"/>
    </xf>
    <xf numFmtId="167" fontId="12" fillId="12" borderId="9" xfId="2" applyNumberFormat="1" applyFont="1" applyFill="1" applyBorder="1" applyAlignment="1">
      <alignment horizontal="center" vertical="center"/>
    </xf>
    <xf numFmtId="0" fontId="12" fillId="12" borderId="9" xfId="2" applyFont="1" applyFill="1" applyBorder="1" applyAlignment="1">
      <alignment vertical="center"/>
    </xf>
    <xf numFmtId="0" fontId="18" fillId="14" borderId="9" xfId="2" applyFont="1" applyFill="1" applyBorder="1" applyAlignment="1">
      <alignment horizontal="left" vertical="center"/>
    </xf>
    <xf numFmtId="3" fontId="12" fillId="14" borderId="9" xfId="2" applyNumberFormat="1" applyFont="1" applyFill="1" applyBorder="1" applyAlignment="1">
      <alignment horizontal="center" vertical="center"/>
    </xf>
    <xf numFmtId="1" fontId="12" fillId="14" borderId="9" xfId="2" applyNumberFormat="1" applyFont="1" applyFill="1" applyBorder="1" applyAlignment="1">
      <alignment horizontal="center" vertical="center"/>
    </xf>
    <xf numFmtId="3" fontId="12" fillId="13" borderId="9" xfId="2" applyNumberFormat="1" applyFont="1" applyFill="1" applyBorder="1" applyAlignment="1">
      <alignment horizontal="right" vertical="center"/>
    </xf>
    <xf numFmtId="2" fontId="12" fillId="3" borderId="9" xfId="2" applyNumberFormat="1" applyFont="1" applyFill="1" applyBorder="1" applyAlignment="1">
      <alignment horizontal="center" vertical="center"/>
    </xf>
    <xf numFmtId="1" fontId="12" fillId="3" borderId="9" xfId="2" applyNumberFormat="1" applyFont="1" applyFill="1" applyBorder="1" applyAlignment="1">
      <alignment horizontal="center" vertical="center"/>
    </xf>
    <xf numFmtId="10" fontId="0" fillId="0" borderId="9" xfId="0" applyNumberFormat="1" applyBorder="1" applyAlignment="1">
      <alignment horizontal="center"/>
    </xf>
    <xf numFmtId="168" fontId="11" fillId="0" borderId="9" xfId="5" applyNumberFormat="1" applyFont="1" applyBorder="1" applyAlignment="1">
      <alignment horizontal="center"/>
    </xf>
    <xf numFmtId="168" fontId="11" fillId="0" borderId="9" xfId="5" applyNumberFormat="1" applyFont="1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23" fillId="7" borderId="9" xfId="0" applyFont="1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 vertical="center"/>
    </xf>
    <xf numFmtId="0" fontId="24" fillId="8" borderId="9" xfId="0" applyFont="1" applyFill="1" applyBorder="1" applyAlignment="1">
      <alignment horizontal="center" wrapText="1"/>
    </xf>
    <xf numFmtId="14" fontId="24" fillId="8" borderId="9" xfId="0" applyNumberFormat="1" applyFont="1" applyFill="1" applyBorder="1" applyAlignment="1">
      <alignment horizontal="center" wrapText="1"/>
    </xf>
    <xf numFmtId="0" fontId="25" fillId="8" borderId="9" xfId="6" applyFill="1" applyBorder="1" applyAlignment="1">
      <alignment horizontal="center" wrapText="1"/>
    </xf>
    <xf numFmtId="0" fontId="26" fillId="8" borderId="9" xfId="0" applyFont="1" applyFill="1" applyBorder="1" applyAlignment="1">
      <alignment horizontal="center" wrapText="1"/>
    </xf>
    <xf numFmtId="14" fontId="26" fillId="8" borderId="9" xfId="0" applyNumberFormat="1" applyFont="1" applyFill="1" applyBorder="1" applyAlignment="1">
      <alignment horizontal="center" wrapText="1"/>
    </xf>
    <xf numFmtId="0" fontId="8" fillId="0" borderId="9" xfId="0" applyFont="1" applyBorder="1"/>
    <xf numFmtId="0" fontId="32" fillId="0" borderId="9" xfId="0" applyFont="1" applyBorder="1"/>
    <xf numFmtId="0" fontId="8" fillId="7" borderId="9" xfId="0" applyFont="1" applyFill="1" applyBorder="1"/>
    <xf numFmtId="0" fontId="32" fillId="7" borderId="9" xfId="0" applyFont="1" applyFill="1" applyBorder="1"/>
    <xf numFmtId="10" fontId="0" fillId="20" borderId="9" xfId="0" applyNumberFormat="1" applyFill="1" applyBorder="1" applyAlignment="1">
      <alignment horizontal="center" vertical="center"/>
    </xf>
    <xf numFmtId="10" fontId="0" fillId="20" borderId="30" xfId="0" applyNumberFormat="1" applyFill="1" applyBorder="1" applyAlignment="1">
      <alignment horizontal="center" vertical="center"/>
    </xf>
    <xf numFmtId="3" fontId="0" fillId="2" borderId="9" xfId="0" applyNumberFormat="1" applyFill="1" applyBorder="1" applyAlignment="1">
      <alignment horizontal="center" vertical="center"/>
    </xf>
    <xf numFmtId="3" fontId="1" fillId="7" borderId="9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167" fontId="0" fillId="0" borderId="9" xfId="0" applyNumberFormat="1" applyBorder="1" applyAlignment="1">
      <alignment vertical="center"/>
    </xf>
    <xf numFmtId="168" fontId="0" fillId="0" borderId="9" xfId="5" applyNumberFormat="1" applyFont="1" applyBorder="1" applyAlignment="1"/>
    <xf numFmtId="17" fontId="3" fillId="4" borderId="9" xfId="1" applyNumberFormat="1" applyFont="1" applyFill="1" applyBorder="1" applyAlignment="1">
      <alignment horizontal="center" vertical="center" wrapText="1"/>
    </xf>
    <xf numFmtId="17" fontId="4" fillId="4" borderId="9" xfId="1" applyNumberFormat="1" applyFont="1" applyFill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2" fillId="12" borderId="9" xfId="2" applyFont="1" applyFill="1" applyBorder="1" applyAlignment="1">
      <alignment horizontal="center" vertical="center"/>
    </xf>
    <xf numFmtId="0" fontId="27" fillId="9" borderId="9" xfId="2" applyFont="1" applyFill="1" applyBorder="1" applyAlignment="1">
      <alignment horizontal="center" vertical="center" wrapText="1"/>
    </xf>
    <xf numFmtId="0" fontId="12" fillId="12" borderId="9" xfId="2" applyFont="1" applyFill="1" applyBorder="1" applyAlignment="1">
      <alignment horizontal="center" vertical="center" wrapText="1"/>
    </xf>
    <xf numFmtId="0" fontId="12" fillId="14" borderId="9" xfId="2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/>
    </xf>
    <xf numFmtId="0" fontId="1" fillId="12" borderId="9" xfId="0" applyFont="1" applyFill="1" applyBorder="1" applyAlignment="1">
      <alignment horizontal="center" vertical="center" wrapText="1"/>
    </xf>
    <xf numFmtId="0" fontId="12" fillId="3" borderId="9" xfId="2" applyFont="1" applyFill="1" applyBorder="1" applyAlignment="1">
      <alignment horizontal="center" vertical="center" wrapText="1"/>
    </xf>
    <xf numFmtId="0" fontId="1" fillId="19" borderId="9" xfId="0" applyFont="1" applyFill="1" applyBorder="1" applyAlignment="1">
      <alignment horizontal="left" wrapText="1"/>
    </xf>
    <xf numFmtId="166" fontId="1" fillId="19" borderId="9" xfId="0" applyNumberFormat="1" applyFont="1" applyFill="1" applyBorder="1" applyAlignment="1">
      <alignment horizontal="center"/>
    </xf>
    <xf numFmtId="0" fontId="0" fillId="0" borderId="16" xfId="0" applyBorder="1"/>
    <xf numFmtId="0" fontId="0" fillId="0" borderId="47" xfId="0" applyBorder="1"/>
    <xf numFmtId="0" fontId="0" fillId="0" borderId="55" xfId="0" applyBorder="1"/>
    <xf numFmtId="0" fontId="0" fillId="0" borderId="9" xfId="0" applyBorder="1" applyAlignment="1">
      <alignment horizontal="right"/>
    </xf>
    <xf numFmtId="10" fontId="1" fillId="10" borderId="13" xfId="8" applyNumberFormat="1" applyFont="1" applyFill="1" applyBorder="1" applyAlignment="1">
      <alignment vertical="center"/>
    </xf>
    <xf numFmtId="10" fontId="1" fillId="10" borderId="44" xfId="8" applyNumberFormat="1" applyFont="1" applyFill="1" applyBorder="1" applyAlignment="1">
      <alignment vertical="center"/>
    </xf>
    <xf numFmtId="10" fontId="1" fillId="10" borderId="35" xfId="8" applyNumberFormat="1" applyFont="1" applyFill="1" applyBorder="1" applyAlignment="1">
      <alignment vertical="center"/>
    </xf>
    <xf numFmtId="0" fontId="0" fillId="0" borderId="18" xfId="0" applyBorder="1"/>
    <xf numFmtId="0" fontId="0" fillId="0" borderId="68" xfId="0" applyBorder="1"/>
    <xf numFmtId="0" fontId="0" fillId="0" borderId="32" xfId="0" applyBorder="1"/>
    <xf numFmtId="0" fontId="1" fillId="10" borderId="13" xfId="0" applyFont="1" applyFill="1" applyBorder="1" applyAlignment="1">
      <alignment horizontal="center"/>
    </xf>
    <xf numFmtId="0" fontId="1" fillId="10" borderId="44" xfId="0" applyFont="1" applyFill="1" applyBorder="1" applyAlignment="1">
      <alignment horizontal="center"/>
    </xf>
    <xf numFmtId="0" fontId="1" fillId="10" borderId="57" xfId="0" applyFont="1" applyFill="1" applyBorder="1" applyAlignment="1">
      <alignment horizontal="center"/>
    </xf>
    <xf numFmtId="166" fontId="0" fillId="0" borderId="34" xfId="0" applyNumberFormat="1" applyBorder="1" applyAlignment="1">
      <alignment horizontal="center"/>
    </xf>
    <xf numFmtId="166" fontId="0" fillId="0" borderId="11" xfId="0" applyNumberFormat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10" borderId="23" xfId="0" applyFont="1" applyFill="1" applyBorder="1" applyAlignment="1">
      <alignment horizontal="center"/>
    </xf>
    <xf numFmtId="0" fontId="1" fillId="10" borderId="37" xfId="0" applyFont="1" applyFill="1" applyBorder="1" applyAlignment="1">
      <alignment horizontal="center"/>
    </xf>
    <xf numFmtId="0" fontId="0" fillId="0" borderId="50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37" xfId="0" applyBorder="1" applyAlignment="1">
      <alignment horizontal="left"/>
    </xf>
    <xf numFmtId="172" fontId="0" fillId="0" borderId="14" xfId="0" applyNumberFormat="1" applyBorder="1" applyAlignment="1">
      <alignment horizontal="left"/>
    </xf>
    <xf numFmtId="172" fontId="0" fillId="0" borderId="69" xfId="0" applyNumberFormat="1" applyBorder="1" applyAlignment="1">
      <alignment horizontal="left"/>
    </xf>
    <xf numFmtId="172" fontId="0" fillId="0" borderId="70" xfId="0" applyNumberFormat="1" applyBorder="1" applyAlignment="1">
      <alignment horizontal="left"/>
    </xf>
    <xf numFmtId="166" fontId="0" fillId="0" borderId="49" xfId="0" applyNumberFormat="1" applyBorder="1" applyAlignment="1">
      <alignment horizontal="center" vertical="center"/>
    </xf>
    <xf numFmtId="166" fontId="0" fillId="0" borderId="47" xfId="0" applyNumberFormat="1" applyBorder="1" applyAlignment="1">
      <alignment horizontal="center" vertical="center"/>
    </xf>
    <xf numFmtId="166" fontId="0" fillId="0" borderId="67" xfId="0" applyNumberForma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 wrapText="1"/>
    </xf>
    <xf numFmtId="0" fontId="6" fillId="11" borderId="43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11" borderId="2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11" borderId="38" xfId="0" applyFont="1" applyFill="1" applyBorder="1" applyAlignment="1">
      <alignment horizontal="center" vertical="center"/>
    </xf>
    <xf numFmtId="0" fontId="6" fillId="11" borderId="24" xfId="0" applyFont="1" applyFill="1" applyBorder="1" applyAlignment="1">
      <alignment horizontal="center" vertical="center"/>
    </xf>
    <xf numFmtId="0" fontId="6" fillId="11" borderId="39" xfId="0" applyFont="1" applyFill="1" applyBorder="1" applyAlignment="1">
      <alignment horizontal="center" vertical="center"/>
    </xf>
    <xf numFmtId="0" fontId="6" fillId="11" borderId="40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43" xfId="0" applyFont="1" applyFill="1" applyBorder="1" applyAlignment="1">
      <alignment horizontal="center" vertical="center"/>
    </xf>
    <xf numFmtId="0" fontId="6" fillId="11" borderId="6" xfId="0" applyFont="1" applyFill="1" applyBorder="1" applyAlignment="1">
      <alignment horizontal="center" vertical="center"/>
    </xf>
    <xf numFmtId="0" fontId="6" fillId="11" borderId="7" xfId="0" applyFont="1" applyFill="1" applyBorder="1" applyAlignment="1">
      <alignment horizontal="center" vertical="center"/>
    </xf>
    <xf numFmtId="0" fontId="6" fillId="11" borderId="8" xfId="0" applyFont="1" applyFill="1" applyBorder="1" applyAlignment="1">
      <alignment horizontal="center" vertical="center"/>
    </xf>
    <xf numFmtId="0" fontId="6" fillId="11" borderId="26" xfId="0" applyFont="1" applyFill="1" applyBorder="1" applyAlignment="1">
      <alignment horizontal="center" vertical="center"/>
    </xf>
    <xf numFmtId="0" fontId="6" fillId="11" borderId="28" xfId="0" applyFont="1" applyFill="1" applyBorder="1" applyAlignment="1">
      <alignment horizontal="center" vertical="center"/>
    </xf>
    <xf numFmtId="0" fontId="6" fillId="11" borderId="27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11" borderId="33" xfId="0" applyFont="1" applyFill="1" applyBorder="1" applyAlignment="1">
      <alignment horizontal="center" vertical="center"/>
    </xf>
    <xf numFmtId="0" fontId="6" fillId="11" borderId="45" xfId="0" applyFont="1" applyFill="1" applyBorder="1" applyAlignment="1">
      <alignment horizontal="center" vertical="center"/>
    </xf>
    <xf numFmtId="0" fontId="6" fillId="11" borderId="10" xfId="0" applyFont="1" applyFill="1" applyBorder="1" applyAlignment="1">
      <alignment horizontal="center" vertical="center"/>
    </xf>
    <xf numFmtId="0" fontId="6" fillId="11" borderId="1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11" borderId="42" xfId="0" applyFont="1" applyFill="1" applyBorder="1" applyAlignment="1">
      <alignment horizontal="center" vertical="center" wrapText="1"/>
    </xf>
    <xf numFmtId="0" fontId="6" fillId="3" borderId="74" xfId="0" applyFont="1" applyFill="1" applyBorder="1" applyAlignment="1">
      <alignment horizontal="center" vertical="center"/>
    </xf>
    <xf numFmtId="0" fontId="6" fillId="3" borderId="75" xfId="0" applyFont="1" applyFill="1" applyBorder="1" applyAlignment="1">
      <alignment horizontal="center" vertical="center"/>
    </xf>
    <xf numFmtId="0" fontId="6" fillId="3" borderId="52" xfId="0" applyFont="1" applyFill="1" applyBorder="1" applyAlignment="1">
      <alignment horizontal="center" vertical="center"/>
    </xf>
    <xf numFmtId="0" fontId="6" fillId="3" borderId="73" xfId="0" applyFont="1" applyFill="1" applyBorder="1" applyAlignment="1">
      <alignment horizontal="center" vertical="center" wrapText="1"/>
    </xf>
    <xf numFmtId="0" fontId="6" fillId="3" borderId="51" xfId="0" applyFont="1" applyFill="1" applyBorder="1" applyAlignment="1">
      <alignment horizontal="center" vertical="center" wrapText="1"/>
    </xf>
    <xf numFmtId="0" fontId="6" fillId="3" borderId="53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34" xfId="0" applyFont="1" applyBorder="1" applyAlignment="1">
      <alignment horizontal="left"/>
    </xf>
    <xf numFmtId="0" fontId="1" fillId="15" borderId="2" xfId="0" applyFont="1" applyFill="1" applyBorder="1" applyAlignment="1">
      <alignment horizontal="left" wrapText="1"/>
    </xf>
    <xf numFmtId="0" fontId="1" fillId="15" borderId="43" xfId="0" applyFont="1" applyFill="1" applyBorder="1" applyAlignment="1">
      <alignment horizontal="left" wrapText="1"/>
    </xf>
    <xf numFmtId="0" fontId="1" fillId="15" borderId="3" xfId="0" applyFont="1" applyFill="1" applyBorder="1" applyAlignment="1">
      <alignment horizontal="left" wrapText="1"/>
    </xf>
    <xf numFmtId="3" fontId="29" fillId="18" borderId="9" xfId="0" applyNumberFormat="1" applyFont="1" applyFill="1" applyBorder="1" applyAlignment="1">
      <alignment horizontal="center" vertical="center" wrapText="1"/>
    </xf>
    <xf numFmtId="0" fontId="29" fillId="17" borderId="9" xfId="0" applyFont="1" applyFill="1" applyBorder="1" applyAlignment="1">
      <alignment vertical="center" wrapText="1"/>
    </xf>
    <xf numFmtId="0" fontId="0" fillId="0" borderId="13" xfId="0" applyBorder="1" applyAlignment="1">
      <alignment horizontal="left"/>
    </xf>
    <xf numFmtId="0" fontId="0" fillId="0" borderId="44" xfId="0" applyBorder="1" applyAlignment="1">
      <alignment horizontal="left"/>
    </xf>
    <xf numFmtId="0" fontId="0" fillId="0" borderId="35" xfId="0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0" fillId="0" borderId="0" xfId="0" applyAlignment="1">
      <alignment horizontal="center"/>
    </xf>
    <xf numFmtId="0" fontId="1" fillId="10" borderId="50" xfId="0" applyFont="1" applyFill="1" applyBorder="1" applyAlignment="1">
      <alignment horizontal="center"/>
    </xf>
    <xf numFmtId="0" fontId="1" fillId="10" borderId="38" xfId="0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0" fontId="1" fillId="10" borderId="24" xfId="0" applyFont="1" applyFill="1" applyBorder="1" applyAlignment="1">
      <alignment horizontal="center"/>
    </xf>
    <xf numFmtId="0" fontId="1" fillId="10" borderId="39" xfId="0" applyFont="1" applyFill="1" applyBorder="1" applyAlignment="1">
      <alignment horizontal="center"/>
    </xf>
    <xf numFmtId="0" fontId="1" fillId="10" borderId="36" xfId="0" applyFont="1" applyFill="1" applyBorder="1" applyAlignment="1">
      <alignment horizontal="center"/>
    </xf>
    <xf numFmtId="0" fontId="1" fillId="10" borderId="39" xfId="0" applyFont="1" applyFill="1" applyBorder="1" applyAlignment="1">
      <alignment horizontal="left" wrapText="1"/>
    </xf>
    <xf numFmtId="0" fontId="1" fillId="10" borderId="36" xfId="0" applyFont="1" applyFill="1" applyBorder="1" applyAlignment="1">
      <alignment horizontal="left"/>
    </xf>
    <xf numFmtId="0" fontId="1" fillId="10" borderId="40" xfId="0" applyFont="1" applyFill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55" xfId="0" applyBorder="1" applyAlignment="1">
      <alignment horizontal="center"/>
    </xf>
  </cellXfs>
  <cellStyles count="9">
    <cellStyle name="Comma" xfId="5" builtinId="3"/>
    <cellStyle name="Hyperlink" xfId="6" builtinId="8"/>
    <cellStyle name="Normal" xfId="0" builtinId="0"/>
    <cellStyle name="Normal 16" xfId="2" xr:uid="{00000000-0005-0000-0000-000003000000}"/>
    <cellStyle name="Normal_Marketing Managers CDM status" xfId="1" xr:uid="{00000000-0005-0000-0000-000004000000}"/>
    <cellStyle name="Normal_Sheet1 2" xfId="3" xr:uid="{00000000-0005-0000-0000-000005000000}"/>
    <cellStyle name="Normal_shyam_financial" xfId="8" xr:uid="{00000000-0005-0000-0000-000006000000}"/>
    <cellStyle name="Percent" xfId="7" builtinId="5"/>
    <cellStyle name="Percent 6" xfId="4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hared%20with%20Me/Rutupuran%20Kiran_%20Ongoing%20Projects/Ridi%20Power_VVAL%20352%20&amp;%20VVER%20808_VCS%204234/DOE%20&amp;%20Secretariat%20Submission/DVR%20july%202023/ER_Nepal_Hydro%2025.64%20MW_ver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a and Nepal Elec System"/>
      <sheetName val="Emission Reduction Calculation"/>
    </sheetNames>
    <sheetDataSet>
      <sheetData sheetId="0">
        <row r="43">
          <cell r="Q43">
            <v>6052000</v>
          </cell>
        </row>
        <row r="45">
          <cell r="P45">
            <v>2826000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0"/>
  <sheetViews>
    <sheetView showGridLines="0" topLeftCell="A2" zoomScale="80" zoomScaleNormal="80" zoomScaleSheetLayoutView="90" workbookViewId="0">
      <selection activeCell="G19" sqref="G19"/>
    </sheetView>
  </sheetViews>
  <sheetFormatPr defaultColWidth="8.6328125" defaultRowHeight="14.5" x14ac:dyDescent="0.35"/>
  <cols>
    <col min="1" max="1" width="7.08984375" customWidth="1"/>
    <col min="2" max="2" width="110.36328125" customWidth="1"/>
    <col min="3" max="3" width="14" style="3" customWidth="1"/>
    <col min="4" max="4" width="14.36328125" customWidth="1"/>
    <col min="6" max="6" width="22.08984375" customWidth="1"/>
    <col min="7" max="7" width="23.6328125" customWidth="1"/>
    <col min="8" max="8" width="18.54296875" bestFit="1" customWidth="1"/>
    <col min="9" max="9" width="21.90625" bestFit="1" customWidth="1"/>
  </cols>
  <sheetData>
    <row r="1" spans="2:9" ht="15" thickBot="1" x14ac:dyDescent="0.4"/>
    <row r="2" spans="2:9" ht="30" customHeight="1" thickBot="1" x14ac:dyDescent="0.6">
      <c r="B2" s="99" t="s">
        <v>49</v>
      </c>
      <c r="C2" s="102" t="s">
        <v>114</v>
      </c>
      <c r="D2" s="101" t="s">
        <v>208</v>
      </c>
    </row>
    <row r="3" spans="2:9" ht="36.75" customHeight="1" thickBot="1" x14ac:dyDescent="0.4">
      <c r="B3" s="100" t="s">
        <v>48</v>
      </c>
      <c r="C3" s="101" t="s">
        <v>115</v>
      </c>
      <c r="D3" s="223">
        <v>7</v>
      </c>
    </row>
    <row r="4" spans="2:9" ht="15" thickBot="1" x14ac:dyDescent="0.4"/>
    <row r="5" spans="2:9" ht="18.75" customHeight="1" x14ac:dyDescent="0.35">
      <c r="B5" s="268" t="s">
        <v>4</v>
      </c>
      <c r="C5" s="40" t="s">
        <v>5</v>
      </c>
      <c r="D5" s="1" t="s">
        <v>6</v>
      </c>
    </row>
    <row r="6" spans="2:9" ht="27" customHeight="1" thickBot="1" x14ac:dyDescent="0.4">
      <c r="B6" s="269"/>
      <c r="C6" s="24">
        <v>44430</v>
      </c>
      <c r="D6" s="25">
        <v>45077</v>
      </c>
    </row>
    <row r="8" spans="2:9" ht="19.5" customHeight="1" x14ac:dyDescent="0.45">
      <c r="B8" s="253" t="s">
        <v>7</v>
      </c>
      <c r="C8" s="261">
        <f>D6-C6+1</f>
        <v>648</v>
      </c>
    </row>
    <row r="9" spans="2:9" ht="18.5" x14ac:dyDescent="0.45">
      <c r="B9" s="253" t="s">
        <v>8</v>
      </c>
      <c r="C9" s="262">
        <v>15.94</v>
      </c>
      <c r="F9" s="264" t="s">
        <v>12</v>
      </c>
      <c r="G9" s="265" t="s">
        <v>13</v>
      </c>
      <c r="H9" s="265" t="s">
        <v>14</v>
      </c>
      <c r="I9" s="264" t="s">
        <v>15</v>
      </c>
    </row>
    <row r="10" spans="2:9" ht="17.25" customHeight="1" x14ac:dyDescent="0.45">
      <c r="B10" s="253" t="s">
        <v>9</v>
      </c>
      <c r="C10" s="263">
        <f>'wintage wise'!D31</f>
        <v>62606</v>
      </c>
      <c r="F10" s="264" t="s">
        <v>16</v>
      </c>
      <c r="G10" s="264" t="s">
        <v>17</v>
      </c>
      <c r="H10" s="264" t="s">
        <v>18</v>
      </c>
      <c r="I10" s="264" t="s">
        <v>19</v>
      </c>
    </row>
    <row r="11" spans="2:9" ht="18.5" x14ac:dyDescent="0.45">
      <c r="B11" s="5"/>
      <c r="F11" s="266">
        <f>C14</f>
        <v>18234</v>
      </c>
      <c r="G11" s="267">
        <v>0</v>
      </c>
      <c r="H11" s="267">
        <v>0</v>
      </c>
      <c r="I11" s="266">
        <f>F11-G11-H11</f>
        <v>18234</v>
      </c>
    </row>
    <row r="12" spans="2:9" ht="18.5" x14ac:dyDescent="0.45">
      <c r="B12" s="253" t="s">
        <v>10</v>
      </c>
      <c r="C12" s="259">
        <f>'Estimated ERs'!I9</f>
        <v>19547</v>
      </c>
    </row>
    <row r="13" spans="2:9" ht="18.5" x14ac:dyDescent="0.45">
      <c r="B13" s="253" t="s">
        <v>42</v>
      </c>
      <c r="C13" s="259">
        <f>'Estimated ERs'!T9</f>
        <v>24279</v>
      </c>
    </row>
    <row r="14" spans="2:9" ht="18.5" x14ac:dyDescent="0.45">
      <c r="B14" s="253" t="s">
        <v>212</v>
      </c>
      <c r="C14" s="260">
        <f>'wintage wise'!I8</f>
        <v>18234</v>
      </c>
    </row>
    <row r="15" spans="2:9" ht="18.5" x14ac:dyDescent="0.45">
      <c r="B15" s="253" t="s">
        <v>11</v>
      </c>
      <c r="C15" s="257">
        <f>(C14-C13)/C13</f>
        <v>-0.248980600518967</v>
      </c>
    </row>
    <row r="17" spans="2:4" ht="18.5" x14ac:dyDescent="0.45">
      <c r="B17" s="253" t="s">
        <v>206</v>
      </c>
      <c r="C17" s="254">
        <f>ROUNDDOWN('Generation Sheet '!AZ34,0)</f>
        <v>13627</v>
      </c>
    </row>
    <row r="18" spans="2:4" ht="18.5" x14ac:dyDescent="0.45">
      <c r="B18" s="253" t="s">
        <v>207</v>
      </c>
      <c r="C18" s="254">
        <f>ROUNDDOWN('Generation Sheet '!AZ33,0)</f>
        <v>48979</v>
      </c>
    </row>
    <row r="19" spans="2:4" ht="18.5" x14ac:dyDescent="0.45">
      <c r="B19" s="255" t="s">
        <v>210</v>
      </c>
      <c r="C19" s="256">
        <f>ROUNDDOWN(C17*0.2965,0)</f>
        <v>4040</v>
      </c>
      <c r="D19" s="258">
        <f>(C19-4745)/4745</f>
        <v>-0.14857744994731295</v>
      </c>
    </row>
    <row r="20" spans="2:4" ht="18.5" x14ac:dyDescent="0.45">
      <c r="B20" s="255" t="s">
        <v>211</v>
      </c>
      <c r="C20" s="256">
        <f>ROUNDDOWN(C18*0.2898,0)</f>
        <v>14194</v>
      </c>
      <c r="D20" s="257">
        <f>(C20-19534)/19534</f>
        <v>-0.27336950957305212</v>
      </c>
    </row>
  </sheetData>
  <mergeCells count="1">
    <mergeCell ref="B5:B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T19"/>
  <sheetViews>
    <sheetView topLeftCell="F1" zoomScale="80" zoomScaleNormal="80" workbookViewId="0">
      <selection activeCell="Z9" sqref="Z9"/>
    </sheetView>
  </sheetViews>
  <sheetFormatPr defaultColWidth="8.6328125" defaultRowHeight="14.5" x14ac:dyDescent="0.35"/>
  <cols>
    <col min="1" max="1" width="4.36328125" customWidth="1"/>
    <col min="2" max="2" width="5.54296875" style="39" bestFit="1" customWidth="1"/>
    <col min="3" max="3" width="33.6328125" bestFit="1" customWidth="1"/>
    <col min="4" max="4" width="16.08984375" bestFit="1" customWidth="1"/>
    <col min="5" max="5" width="9.54296875" customWidth="1"/>
    <col min="6" max="6" width="10.36328125" customWidth="1"/>
    <col min="7" max="7" width="15.1796875" customWidth="1"/>
    <col min="8" max="8" width="15.90625" customWidth="1"/>
    <col min="9" max="9" width="15.1796875" customWidth="1"/>
    <col min="10" max="10" width="14.453125" customWidth="1"/>
    <col min="11" max="11" width="14.54296875" customWidth="1"/>
    <col min="12" max="12" width="10.1796875" bestFit="1" customWidth="1"/>
    <col min="13" max="13" width="11" customWidth="1"/>
    <col min="14" max="14" width="11.453125" customWidth="1"/>
    <col min="15" max="15" width="13.453125" customWidth="1"/>
    <col min="16" max="16" width="15.54296875" bestFit="1" customWidth="1"/>
    <col min="17" max="17" width="13.54296875" bestFit="1" customWidth="1"/>
    <col min="18" max="20" width="14.08984375" bestFit="1" customWidth="1"/>
  </cols>
  <sheetData>
    <row r="2" spans="2:20" ht="16.5" customHeight="1" x14ac:dyDescent="0.35">
      <c r="B2" s="273" t="s">
        <v>113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</row>
    <row r="3" spans="2:20" ht="31" x14ac:dyDescent="0.35">
      <c r="B3" s="276" t="s">
        <v>44</v>
      </c>
      <c r="C3" s="277" t="s">
        <v>43</v>
      </c>
      <c r="D3" s="274" t="s">
        <v>46</v>
      </c>
      <c r="E3" s="274" t="s">
        <v>47</v>
      </c>
      <c r="F3" s="272" t="s">
        <v>26</v>
      </c>
      <c r="G3" s="272"/>
      <c r="H3" s="278" t="s">
        <v>112</v>
      </c>
      <c r="I3" s="278" t="s">
        <v>209</v>
      </c>
      <c r="J3" s="275" t="s">
        <v>27</v>
      </c>
      <c r="K3" s="275" t="s">
        <v>28</v>
      </c>
      <c r="L3" s="275" t="s">
        <v>29</v>
      </c>
      <c r="M3" s="275"/>
      <c r="N3" s="275"/>
      <c r="O3" s="227" t="s">
        <v>30</v>
      </c>
      <c r="P3" s="227" t="s">
        <v>31</v>
      </c>
      <c r="Q3" s="227" t="s">
        <v>32</v>
      </c>
      <c r="R3" s="227" t="s">
        <v>13</v>
      </c>
      <c r="S3" s="227" t="s">
        <v>14</v>
      </c>
      <c r="T3" s="228" t="s">
        <v>33</v>
      </c>
    </row>
    <row r="4" spans="2:20" ht="44" customHeight="1" x14ac:dyDescent="0.35">
      <c r="B4" s="276"/>
      <c r="C4" s="277"/>
      <c r="D4" s="274"/>
      <c r="E4" s="274"/>
      <c r="F4" s="224" t="s">
        <v>34</v>
      </c>
      <c r="G4" s="224" t="s">
        <v>35</v>
      </c>
      <c r="H4" s="278"/>
      <c r="I4" s="278"/>
      <c r="J4" s="275"/>
      <c r="K4" s="275"/>
      <c r="L4" s="226" t="s">
        <v>22</v>
      </c>
      <c r="M4" s="226" t="s">
        <v>36</v>
      </c>
      <c r="N4" s="226" t="s">
        <v>37</v>
      </c>
      <c r="O4" s="227" t="s">
        <v>38</v>
      </c>
      <c r="P4" s="227" t="s">
        <v>39</v>
      </c>
      <c r="Q4" s="227" t="s">
        <v>40</v>
      </c>
      <c r="R4" s="227" t="s">
        <v>41</v>
      </c>
      <c r="S4" s="227" t="s">
        <v>41</v>
      </c>
      <c r="T4" s="229" t="s">
        <v>41</v>
      </c>
    </row>
    <row r="5" spans="2:20" ht="15.5" x14ac:dyDescent="0.35">
      <c r="B5" s="61">
        <v>1</v>
      </c>
      <c r="C5" s="53" t="s">
        <v>75</v>
      </c>
      <c r="D5" s="53" t="s">
        <v>64</v>
      </c>
      <c r="E5" s="54">
        <v>4</v>
      </c>
      <c r="F5" s="55">
        <v>0.19769999999999999</v>
      </c>
      <c r="G5" s="55">
        <f t="shared" ref="G5:G7" si="0">F5*(1-0.5%)</f>
        <v>0.19671149999999998</v>
      </c>
      <c r="H5" s="230">
        <f t="shared" ref="H5:H8" si="1">E5*F5*365*24</f>
        <v>6927.4079999999994</v>
      </c>
      <c r="I5" s="230">
        <f t="shared" ref="I5:I8" si="2">ROUNDDOWN(H5*P5,0)</f>
        <v>2053</v>
      </c>
      <c r="J5" s="231">
        <v>44430</v>
      </c>
      <c r="K5" s="231">
        <v>45077</v>
      </c>
      <c r="L5" s="57">
        <f t="shared" ref="L5:L8" si="3">(K5-J5)+1</f>
        <v>648</v>
      </c>
      <c r="M5" s="58">
        <v>365</v>
      </c>
      <c r="N5" s="57">
        <f t="shared" ref="N5:N8" si="4">L5-M5</f>
        <v>283</v>
      </c>
      <c r="O5" s="56">
        <f>(E5*((F5*M5*24)+(G5*N5*24)))</f>
        <v>12271.666031999999</v>
      </c>
      <c r="P5" s="232">
        <f>'EF &amp; ER'!K31</f>
        <v>0.29647853120072087</v>
      </c>
      <c r="Q5" s="59">
        <f t="shared" ref="Q5:Q6" si="5">ROUNDDOWN((O5*P5),0)</f>
        <v>3638</v>
      </c>
      <c r="R5" s="60">
        <v>0</v>
      </c>
      <c r="S5" s="60">
        <v>0</v>
      </c>
      <c r="T5" s="233">
        <f t="shared" ref="T5:T6" si="6">Q5-R5-S5</f>
        <v>3638</v>
      </c>
    </row>
    <row r="6" spans="2:20" ht="29.25" customHeight="1" x14ac:dyDescent="0.35">
      <c r="B6" s="61">
        <v>2</v>
      </c>
      <c r="C6" s="53" t="s">
        <v>76</v>
      </c>
      <c r="D6" s="53" t="s">
        <v>69</v>
      </c>
      <c r="E6" s="54">
        <v>1</v>
      </c>
      <c r="F6" s="55">
        <v>0.19450000000000001</v>
      </c>
      <c r="G6" s="55">
        <f t="shared" si="0"/>
        <v>0.19352750000000002</v>
      </c>
      <c r="H6" s="230">
        <f t="shared" si="1"/>
        <v>1703.8200000000002</v>
      </c>
      <c r="I6" s="230">
        <f t="shared" si="2"/>
        <v>505</v>
      </c>
      <c r="J6" s="231">
        <v>44577</v>
      </c>
      <c r="K6" s="231">
        <v>45077</v>
      </c>
      <c r="L6" s="57">
        <f t="shared" si="3"/>
        <v>501</v>
      </c>
      <c r="M6" s="58">
        <v>365</v>
      </c>
      <c r="N6" s="57">
        <f t="shared" si="4"/>
        <v>136</v>
      </c>
      <c r="O6" s="56">
        <f>(E6*((F6*M6*24)+(G6*N6*24)))</f>
        <v>2335.4937600000003</v>
      </c>
      <c r="P6" s="232">
        <f>'EF &amp; ER'!K31</f>
        <v>0.29647853120072087</v>
      </c>
      <c r="Q6" s="59">
        <f t="shared" si="5"/>
        <v>692</v>
      </c>
      <c r="R6" s="60">
        <v>0</v>
      </c>
      <c r="S6" s="60">
        <v>0</v>
      </c>
      <c r="T6" s="233">
        <f t="shared" si="6"/>
        <v>692</v>
      </c>
    </row>
    <row r="7" spans="2:20" ht="45.75" customHeight="1" x14ac:dyDescent="0.35">
      <c r="B7" s="61">
        <v>3</v>
      </c>
      <c r="C7" s="53" t="s">
        <v>77</v>
      </c>
      <c r="D7" s="53" t="s">
        <v>73</v>
      </c>
      <c r="E7" s="54">
        <v>1</v>
      </c>
      <c r="F7" s="55">
        <v>0.18709999999999999</v>
      </c>
      <c r="G7" s="55">
        <f t="shared" si="0"/>
        <v>0.18616449999999998</v>
      </c>
      <c r="H7" s="230">
        <f t="shared" si="1"/>
        <v>1638.9960000000001</v>
      </c>
      <c r="I7" s="230">
        <f t="shared" si="2"/>
        <v>485</v>
      </c>
      <c r="J7" s="231">
        <v>44766</v>
      </c>
      <c r="K7" s="231">
        <v>45077</v>
      </c>
      <c r="L7" s="57">
        <f>(K7-J7)+1</f>
        <v>312</v>
      </c>
      <c r="M7" s="58">
        <v>0</v>
      </c>
      <c r="N7" s="57">
        <f t="shared" si="4"/>
        <v>312</v>
      </c>
      <c r="O7" s="56">
        <f>((E7*F7*L7*24))</f>
        <v>1401.0047999999999</v>
      </c>
      <c r="P7" s="232">
        <f>'EF &amp; ER'!K31</f>
        <v>0.29647853120072087</v>
      </c>
      <c r="Q7" s="59">
        <f>ROUNDDOWN((O7*P7),0)</f>
        <v>415</v>
      </c>
      <c r="R7" s="60">
        <v>0</v>
      </c>
      <c r="S7" s="60">
        <v>0</v>
      </c>
      <c r="T7" s="233">
        <f>Q7-R7-S7</f>
        <v>415</v>
      </c>
    </row>
    <row r="8" spans="2:20" ht="42.75" customHeight="1" x14ac:dyDescent="0.35">
      <c r="B8" s="61">
        <v>4</v>
      </c>
      <c r="C8" s="53" t="s">
        <v>74</v>
      </c>
      <c r="D8" s="53" t="s">
        <v>116</v>
      </c>
      <c r="E8" s="54">
        <v>9.94</v>
      </c>
      <c r="F8" s="55">
        <v>0.65400000000000003</v>
      </c>
      <c r="G8" s="55">
        <f>F8*(1-0%)</f>
        <v>0.65400000000000003</v>
      </c>
      <c r="H8" s="230">
        <f t="shared" si="1"/>
        <v>56946.657599999999</v>
      </c>
      <c r="I8" s="230">
        <f t="shared" si="2"/>
        <v>16504</v>
      </c>
      <c r="J8" s="231">
        <v>44646</v>
      </c>
      <c r="K8" s="231">
        <v>45077</v>
      </c>
      <c r="L8" s="57">
        <f t="shared" si="3"/>
        <v>432</v>
      </c>
      <c r="M8" s="58">
        <v>0</v>
      </c>
      <c r="N8" s="57">
        <f t="shared" si="4"/>
        <v>432</v>
      </c>
      <c r="O8" s="56">
        <f>((E8*F8*L8*24))</f>
        <v>67399.879679999984</v>
      </c>
      <c r="P8" s="232">
        <f>'EF &amp; ER'!E31</f>
        <v>0.28982574904257713</v>
      </c>
      <c r="Q8" s="59">
        <f>ROUNDDOWN((O8*P8),0)</f>
        <v>19534</v>
      </c>
      <c r="R8" s="60">
        <v>0</v>
      </c>
      <c r="S8" s="60">
        <v>0</v>
      </c>
      <c r="T8" s="233">
        <f>Q8-R8-S8</f>
        <v>19534</v>
      </c>
    </row>
    <row r="9" spans="2:20" ht="15.5" x14ac:dyDescent="0.35">
      <c r="B9" s="272" t="s">
        <v>22</v>
      </c>
      <c r="C9" s="272"/>
      <c r="D9" s="225"/>
      <c r="E9" s="234">
        <f>SUM(E5:E8)</f>
        <v>15.94</v>
      </c>
      <c r="F9" s="235"/>
      <c r="G9" s="235"/>
      <c r="H9" s="240">
        <f>SUM(H5:H8)</f>
        <v>67216.881599999993</v>
      </c>
      <c r="I9" s="241">
        <f>SUM(I5:I8)</f>
        <v>19547</v>
      </c>
      <c r="J9" s="236"/>
      <c r="K9" s="236"/>
      <c r="L9" s="236"/>
      <c r="M9" s="236"/>
      <c r="N9" s="236"/>
      <c r="O9" s="237">
        <f>SUM(O5:O8)</f>
        <v>83408.044271999985</v>
      </c>
      <c r="P9" s="237"/>
      <c r="Q9" s="237">
        <f>ROUNDDOWN(SUM(Q5:Q8),0)</f>
        <v>24279</v>
      </c>
      <c r="R9" s="238">
        <v>0</v>
      </c>
      <c r="S9" s="238">
        <v>0</v>
      </c>
      <c r="T9" s="239">
        <f>Q9+R9+S9</f>
        <v>24279</v>
      </c>
    </row>
    <row r="10" spans="2:20" x14ac:dyDescent="0.35">
      <c r="E10" s="26"/>
    </row>
    <row r="11" spans="2:20" ht="15" thickBot="1" x14ac:dyDescent="0.4">
      <c r="C11" t="s">
        <v>97</v>
      </c>
      <c r="G11" t="s">
        <v>97</v>
      </c>
    </row>
    <row r="12" spans="2:20" ht="15" thickBot="1" x14ac:dyDescent="0.4">
      <c r="D12" s="26"/>
      <c r="E12" s="270" t="s">
        <v>117</v>
      </c>
      <c r="F12" s="271"/>
      <c r="G12" s="271"/>
      <c r="H12" s="107">
        <f>H9*7</f>
        <v>470518.17119999998</v>
      </c>
      <c r="I12" s="106">
        <f>I9*7</f>
        <v>136829</v>
      </c>
    </row>
    <row r="13" spans="2:20" x14ac:dyDescent="0.35">
      <c r="H13" s="105" t="s">
        <v>118</v>
      </c>
      <c r="I13" s="105" t="s">
        <v>119</v>
      </c>
    </row>
    <row r="15" spans="2:20" ht="28" x14ac:dyDescent="0.35">
      <c r="D15" s="44" t="s">
        <v>50</v>
      </c>
      <c r="E15" s="44" t="s">
        <v>51</v>
      </c>
      <c r="F15" s="44" t="s">
        <v>52</v>
      </c>
      <c r="G15" s="43"/>
      <c r="H15" s="43"/>
      <c r="I15" s="43"/>
      <c r="J15" s="43"/>
      <c r="K15" s="43"/>
      <c r="L15" s="43"/>
      <c r="M15" s="43"/>
      <c r="N15" s="43"/>
    </row>
    <row r="16" spans="2:20" ht="42" x14ac:dyDescent="0.35">
      <c r="D16" s="45">
        <v>2</v>
      </c>
      <c r="E16" s="44" t="s">
        <v>53</v>
      </c>
      <c r="F16" s="44" t="s">
        <v>54</v>
      </c>
      <c r="G16" s="44" t="s">
        <v>55</v>
      </c>
      <c r="H16" s="44"/>
      <c r="I16" s="44"/>
      <c r="J16" s="44" t="s">
        <v>56</v>
      </c>
      <c r="K16" s="44" t="s">
        <v>57</v>
      </c>
      <c r="L16" s="44" t="s">
        <v>58</v>
      </c>
      <c r="M16" s="46" t="s">
        <v>59</v>
      </c>
      <c r="N16" s="45" t="s">
        <v>52</v>
      </c>
    </row>
    <row r="17" spans="4:14" ht="28" x14ac:dyDescent="0.35">
      <c r="D17" s="45">
        <v>3</v>
      </c>
      <c r="E17" s="44" t="s">
        <v>60</v>
      </c>
      <c r="F17" s="44" t="s">
        <v>61</v>
      </c>
      <c r="G17" s="44" t="s">
        <v>62</v>
      </c>
      <c r="H17" s="44"/>
      <c r="I17" s="44"/>
      <c r="J17" s="44" t="s">
        <v>56</v>
      </c>
      <c r="K17" s="44" t="s">
        <v>57</v>
      </c>
      <c r="L17" s="44" t="s">
        <v>63</v>
      </c>
      <c r="M17" s="47" t="s">
        <v>64</v>
      </c>
      <c r="N17" s="44" t="s">
        <v>65</v>
      </c>
    </row>
    <row r="18" spans="4:14" ht="28" x14ac:dyDescent="0.35">
      <c r="D18" s="45">
        <v>4</v>
      </c>
      <c r="E18" s="44" t="s">
        <v>66</v>
      </c>
      <c r="F18" s="44" t="s">
        <v>67</v>
      </c>
      <c r="G18" s="44" t="s">
        <v>62</v>
      </c>
      <c r="H18" s="44"/>
      <c r="I18" s="44"/>
      <c r="J18" s="44" t="s">
        <v>56</v>
      </c>
      <c r="K18" s="44" t="s">
        <v>57</v>
      </c>
      <c r="L18" s="44" t="s">
        <v>68</v>
      </c>
      <c r="M18" s="44" t="s">
        <v>69</v>
      </c>
      <c r="N18" s="44" t="s">
        <v>70</v>
      </c>
    </row>
    <row r="19" spans="4:14" ht="28" x14ac:dyDescent="0.35">
      <c r="D19" s="45">
        <v>5</v>
      </c>
      <c r="E19" s="44" t="s">
        <v>71</v>
      </c>
      <c r="F19" s="44" t="s">
        <v>67</v>
      </c>
      <c r="G19" s="44" t="s">
        <v>62</v>
      </c>
      <c r="H19" s="44"/>
      <c r="I19" s="44"/>
      <c r="J19" s="44" t="s">
        <v>56</v>
      </c>
      <c r="K19" s="44" t="s">
        <v>57</v>
      </c>
      <c r="L19" s="44" t="s">
        <v>72</v>
      </c>
      <c r="M19" s="44" t="s">
        <v>73</v>
      </c>
      <c r="N19" s="43"/>
    </row>
  </sheetData>
  <mergeCells count="13">
    <mergeCell ref="E12:G12"/>
    <mergeCell ref="B9:C9"/>
    <mergeCell ref="B2:T2"/>
    <mergeCell ref="E3:E4"/>
    <mergeCell ref="F3:G3"/>
    <mergeCell ref="K3:K4"/>
    <mergeCell ref="L3:N3"/>
    <mergeCell ref="B3:B4"/>
    <mergeCell ref="C3:C4"/>
    <mergeCell ref="J3:J4"/>
    <mergeCell ref="D3:D4"/>
    <mergeCell ref="H3:H4"/>
    <mergeCell ref="I3:I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41"/>
  <sheetViews>
    <sheetView topLeftCell="A17" workbookViewId="0">
      <selection activeCell="L36" sqref="L36"/>
    </sheetView>
  </sheetViews>
  <sheetFormatPr defaultRowHeight="14.5" x14ac:dyDescent="0.35"/>
  <cols>
    <col min="1" max="1" width="3.6328125" customWidth="1"/>
    <col min="2" max="3" width="24.453125" customWidth="1"/>
    <col min="4" max="4" width="18" customWidth="1"/>
    <col min="5" max="5" width="12.54296875" bestFit="1" customWidth="1"/>
    <col min="6" max="6" width="13.90625" customWidth="1"/>
    <col min="7" max="7" width="15.90625" bestFit="1" customWidth="1"/>
    <col min="8" max="8" width="13.90625" customWidth="1"/>
    <col min="9" max="9" width="13.6328125" bestFit="1" customWidth="1"/>
    <col min="10" max="10" width="16.453125" bestFit="1" customWidth="1"/>
    <col min="11" max="11" width="11" bestFit="1" customWidth="1"/>
    <col min="12" max="12" width="14" customWidth="1"/>
  </cols>
  <sheetData>
    <row r="1" spans="2:12" ht="15" thickBot="1" x14ac:dyDescent="0.4"/>
    <row r="2" spans="2:12" ht="15" thickBot="1" x14ac:dyDescent="0.4">
      <c r="B2" s="296" t="s">
        <v>174</v>
      </c>
      <c r="C2" s="297"/>
      <c r="D2" s="297"/>
      <c r="E2" s="297"/>
      <c r="F2" s="297"/>
      <c r="G2" s="297"/>
      <c r="H2" s="297"/>
      <c r="I2" s="298"/>
    </row>
    <row r="3" spans="2:12" x14ac:dyDescent="0.35">
      <c r="B3" s="192" t="s">
        <v>175</v>
      </c>
      <c r="C3" s="299">
        <v>18</v>
      </c>
      <c r="D3" s="300"/>
      <c r="E3" s="300"/>
      <c r="F3" s="300"/>
      <c r="G3" s="300"/>
      <c r="H3" s="300"/>
      <c r="I3" s="301"/>
    </row>
    <row r="4" spans="2:12" x14ac:dyDescent="0.35">
      <c r="B4" s="192" t="s">
        <v>122</v>
      </c>
      <c r="C4" s="302">
        <v>44896</v>
      </c>
      <c r="D4" s="303"/>
      <c r="E4" s="303"/>
      <c r="F4" s="303"/>
      <c r="G4" s="303"/>
      <c r="H4" s="303"/>
      <c r="I4" s="304"/>
    </row>
    <row r="5" spans="2:12" ht="15" thickBot="1" x14ac:dyDescent="0.4"/>
    <row r="6" spans="2:12" x14ac:dyDescent="0.35">
      <c r="B6" s="291" t="s">
        <v>176</v>
      </c>
      <c r="C6" s="292"/>
      <c r="D6" s="292"/>
      <c r="E6" s="292"/>
      <c r="F6" s="293"/>
      <c r="G6" s="161"/>
      <c r="H6" s="291" t="s">
        <v>176</v>
      </c>
      <c r="I6" s="292"/>
      <c r="J6" s="292"/>
      <c r="K6" s="292"/>
      <c r="L6" s="293"/>
    </row>
    <row r="7" spans="2:12" x14ac:dyDescent="0.35">
      <c r="B7" s="162"/>
      <c r="C7" s="163"/>
      <c r="D7" s="164" t="s">
        <v>131</v>
      </c>
      <c r="E7" s="165" t="s">
        <v>132</v>
      </c>
      <c r="F7" s="165" t="s">
        <v>177</v>
      </c>
      <c r="G7" s="166"/>
      <c r="H7" s="162"/>
      <c r="I7" s="163"/>
      <c r="J7" s="164" t="s">
        <v>131</v>
      </c>
      <c r="K7" s="165" t="s">
        <v>132</v>
      </c>
      <c r="L7" s="165" t="s">
        <v>177</v>
      </c>
    </row>
    <row r="8" spans="2:12" ht="15" thickBot="1" x14ac:dyDescent="0.4">
      <c r="B8" s="129" t="s">
        <v>178</v>
      </c>
      <c r="C8" s="167"/>
      <c r="D8" s="168">
        <v>965009.19717101986</v>
      </c>
      <c r="E8" s="169">
        <v>958218.26963667246</v>
      </c>
      <c r="F8" s="169">
        <v>1035672</v>
      </c>
      <c r="G8" s="170"/>
      <c r="H8" s="129" t="s">
        <v>178</v>
      </c>
      <c r="I8" s="167"/>
      <c r="J8" s="168">
        <v>965009.19717101986</v>
      </c>
      <c r="K8" s="169">
        <v>958218.26963667246</v>
      </c>
      <c r="L8" s="169">
        <v>1035672</v>
      </c>
    </row>
    <row r="9" spans="2:12" ht="15" thickBot="1" x14ac:dyDescent="0.4">
      <c r="B9" s="171"/>
      <c r="C9" s="171"/>
      <c r="D9" s="171"/>
      <c r="E9" s="171"/>
      <c r="F9" s="171"/>
      <c r="G9" s="172"/>
      <c r="H9" s="173"/>
    </row>
    <row r="10" spans="2:12" x14ac:dyDescent="0.35">
      <c r="B10" s="291" t="s">
        <v>179</v>
      </c>
      <c r="C10" s="292"/>
      <c r="D10" s="292"/>
      <c r="E10" s="292"/>
      <c r="F10" s="293"/>
      <c r="G10" s="174"/>
      <c r="H10" s="291" t="s">
        <v>179</v>
      </c>
      <c r="I10" s="292"/>
      <c r="J10" s="292"/>
      <c r="K10" s="292"/>
      <c r="L10" s="293"/>
    </row>
    <row r="11" spans="2:12" x14ac:dyDescent="0.35">
      <c r="B11" s="162"/>
      <c r="C11" s="163"/>
      <c r="D11" s="164" t="s">
        <v>131</v>
      </c>
      <c r="E11" s="165" t="s">
        <v>132</v>
      </c>
      <c r="F11" s="165" t="s">
        <v>177</v>
      </c>
      <c r="G11" s="176"/>
      <c r="H11" s="162"/>
      <c r="I11" s="163"/>
      <c r="J11" s="164" t="s">
        <v>131</v>
      </c>
      <c r="K11" s="165" t="s">
        <v>132</v>
      </c>
      <c r="L11" s="165" t="s">
        <v>177</v>
      </c>
    </row>
    <row r="12" spans="2:12" ht="15" thickBot="1" x14ac:dyDescent="0.4">
      <c r="B12" s="129" t="s">
        <v>178</v>
      </c>
      <c r="C12" s="167"/>
      <c r="D12" s="177">
        <v>0.95554866735373067</v>
      </c>
      <c r="E12" s="178">
        <v>0.94054960677158816</v>
      </c>
      <c r="F12" s="178">
        <v>0.96050000000000002</v>
      </c>
      <c r="G12" s="179"/>
      <c r="H12" s="129" t="s">
        <v>178</v>
      </c>
      <c r="I12" s="167"/>
      <c r="J12" s="177">
        <v>0.95554866735373067</v>
      </c>
      <c r="K12" s="178">
        <v>0.94054960677158816</v>
      </c>
      <c r="L12" s="178">
        <v>0.96050000000000002</v>
      </c>
    </row>
    <row r="13" spans="2:12" ht="15" thickBot="1" x14ac:dyDescent="0.4">
      <c r="B13" s="171"/>
      <c r="C13" s="171"/>
      <c r="D13" s="171"/>
      <c r="E13" s="171"/>
      <c r="F13" s="171"/>
      <c r="G13" s="173"/>
      <c r="H13" s="171"/>
      <c r="I13" s="171"/>
      <c r="J13" s="171"/>
      <c r="K13" s="171"/>
      <c r="L13" s="171"/>
    </row>
    <row r="14" spans="2:12" x14ac:dyDescent="0.35">
      <c r="B14" s="291" t="s">
        <v>180</v>
      </c>
      <c r="C14" s="292"/>
      <c r="D14" s="292"/>
      <c r="E14" s="292"/>
      <c r="F14" s="293"/>
      <c r="G14" s="180"/>
      <c r="H14" s="291" t="s">
        <v>180</v>
      </c>
      <c r="I14" s="292"/>
      <c r="J14" s="292"/>
      <c r="K14" s="292"/>
      <c r="L14" s="293"/>
    </row>
    <row r="15" spans="2:12" x14ac:dyDescent="0.35">
      <c r="B15" s="162"/>
      <c r="C15" s="163"/>
      <c r="D15" s="164"/>
      <c r="E15" s="164"/>
      <c r="F15" s="165" t="s">
        <v>177</v>
      </c>
      <c r="G15" s="176"/>
      <c r="H15" s="162"/>
      <c r="I15" s="163"/>
      <c r="J15" s="164"/>
      <c r="K15" s="164"/>
      <c r="L15" s="165" t="s">
        <v>177</v>
      </c>
    </row>
    <row r="16" spans="2:12" ht="15" thickBot="1" x14ac:dyDescent="0.4">
      <c r="B16" s="129" t="s">
        <v>178</v>
      </c>
      <c r="C16" s="167"/>
      <c r="D16" s="181"/>
      <c r="E16" s="181"/>
      <c r="F16" s="178">
        <v>0.86870000000000003</v>
      </c>
      <c r="G16" s="182"/>
      <c r="H16" s="129" t="s">
        <v>178</v>
      </c>
      <c r="I16" s="167"/>
      <c r="J16" s="181"/>
      <c r="K16" s="181"/>
      <c r="L16" s="178">
        <v>0.86870000000000003</v>
      </c>
    </row>
    <row r="17" spans="2:12" ht="15" thickBot="1" x14ac:dyDescent="0.4">
      <c r="G17" s="183"/>
    </row>
    <row r="18" spans="2:12" x14ac:dyDescent="0.35">
      <c r="B18" s="291" t="s">
        <v>181</v>
      </c>
      <c r="C18" s="292"/>
      <c r="D18" s="292"/>
      <c r="E18" s="292"/>
      <c r="F18" s="293"/>
      <c r="G18" s="175"/>
      <c r="H18" s="291" t="s">
        <v>181</v>
      </c>
      <c r="I18" s="292"/>
      <c r="J18" s="292"/>
      <c r="K18" s="292"/>
      <c r="L18" s="293"/>
    </row>
    <row r="19" spans="2:12" ht="15" thickBot="1" x14ac:dyDescent="0.4">
      <c r="B19" s="129" t="s">
        <v>178</v>
      </c>
      <c r="C19" s="184"/>
      <c r="D19" s="305">
        <f>(D8*D12+E8*E12+F8*F12)/(D8+E8+F8)</f>
        <v>0.95242439179233651</v>
      </c>
      <c r="E19" s="306"/>
      <c r="F19" s="307"/>
      <c r="G19" s="185"/>
      <c r="H19" s="129" t="s">
        <v>178</v>
      </c>
      <c r="I19" s="184"/>
      <c r="J19" s="305">
        <f>(J8*J12+K8*K12+L8*L12)/(J8+K8+L8)</f>
        <v>0.95242439179233651</v>
      </c>
      <c r="K19" s="306"/>
      <c r="L19" s="307"/>
    </row>
    <row r="20" spans="2:12" ht="15" thickBot="1" x14ac:dyDescent="0.4">
      <c r="G20" s="183"/>
    </row>
    <row r="21" spans="2:12" x14ac:dyDescent="0.35">
      <c r="B21" s="291" t="s">
        <v>182</v>
      </c>
      <c r="C21" s="292"/>
      <c r="D21" s="292"/>
      <c r="E21" s="292"/>
      <c r="F21" s="293"/>
      <c r="G21" s="186"/>
      <c r="H21" s="291" t="s">
        <v>182</v>
      </c>
      <c r="I21" s="292"/>
      <c r="J21" s="292"/>
      <c r="K21" s="292"/>
      <c r="L21" s="293"/>
    </row>
    <row r="22" spans="2:12" ht="15" thickBot="1" x14ac:dyDescent="0.4">
      <c r="B22" s="129" t="s">
        <v>178</v>
      </c>
      <c r="C22" s="167"/>
      <c r="D22" s="294">
        <f>ROUNDDOWN((D19*0.5+F16*0.5),4)</f>
        <v>0.91049999999999998</v>
      </c>
      <c r="E22" s="294"/>
      <c r="F22" s="295"/>
      <c r="H22" s="129" t="s">
        <v>178</v>
      </c>
      <c r="I22" s="167"/>
      <c r="J22" s="294">
        <f>ROUNDDOWN((J19*0.75+L16*0.25),4)</f>
        <v>0.93140000000000001</v>
      </c>
      <c r="K22" s="294"/>
      <c r="L22" s="295"/>
    </row>
    <row r="23" spans="2:12" ht="15" thickBot="1" x14ac:dyDescent="0.4">
      <c r="B23" s="188"/>
      <c r="C23" s="188"/>
      <c r="D23" s="187"/>
      <c r="E23" s="187"/>
      <c r="F23" s="187"/>
      <c r="H23" s="188"/>
      <c r="I23" s="188"/>
      <c r="J23" s="187"/>
      <c r="K23" s="187"/>
      <c r="L23" s="187"/>
    </row>
    <row r="24" spans="2:12" x14ac:dyDescent="0.35">
      <c r="B24" s="291" t="s">
        <v>182</v>
      </c>
      <c r="C24" s="292"/>
      <c r="D24" s="292"/>
      <c r="E24" s="292"/>
      <c r="F24" s="293"/>
      <c r="H24" s="291" t="s">
        <v>182</v>
      </c>
      <c r="I24" s="292"/>
      <c r="J24" s="292"/>
      <c r="K24" s="292"/>
      <c r="L24" s="293"/>
    </row>
    <row r="25" spans="2:12" ht="15" thickBot="1" x14ac:dyDescent="0.4">
      <c r="B25" s="129" t="s">
        <v>183</v>
      </c>
      <c r="C25" s="167"/>
      <c r="D25" s="294">
        <v>0</v>
      </c>
      <c r="E25" s="294"/>
      <c r="F25" s="295"/>
      <c r="H25" s="129" t="s">
        <v>183</v>
      </c>
      <c r="I25" s="167"/>
      <c r="J25" s="294">
        <v>0</v>
      </c>
      <c r="K25" s="294"/>
      <c r="L25" s="295"/>
    </row>
    <row r="26" spans="2:12" x14ac:dyDescent="0.35">
      <c r="B26" s="188"/>
      <c r="C26" s="188"/>
      <c r="D26" s="187"/>
      <c r="E26" s="187"/>
      <c r="F26" s="187"/>
      <c r="H26" s="188"/>
      <c r="I26" s="188"/>
      <c r="J26" s="187"/>
      <c r="K26" s="187"/>
      <c r="L26" s="187"/>
    </row>
    <row r="27" spans="2:12" x14ac:dyDescent="0.35">
      <c r="B27" s="189" t="s">
        <v>184</v>
      </c>
      <c r="C27" s="189"/>
      <c r="D27" s="190"/>
      <c r="E27" s="191">
        <f>'[1]India and Nepal Elec System'!Q43</f>
        <v>6052000</v>
      </c>
      <c r="F27" s="190" t="s">
        <v>164</v>
      </c>
      <c r="H27" s="189" t="s">
        <v>184</v>
      </c>
      <c r="I27" s="189"/>
      <c r="J27" s="190"/>
      <c r="K27" s="191">
        <f>'[1]India and Nepal Elec System'!Q43</f>
        <v>6052000</v>
      </c>
      <c r="L27" s="190" t="s">
        <v>164</v>
      </c>
    </row>
    <row r="28" spans="2:12" x14ac:dyDescent="0.35">
      <c r="B28" s="189" t="s">
        <v>167</v>
      </c>
      <c r="C28" s="189"/>
      <c r="D28" s="190"/>
      <c r="E28" s="191">
        <f>'[1]India and Nepal Elec System'!P45</f>
        <v>2826000</v>
      </c>
      <c r="F28" s="190" t="s">
        <v>164</v>
      </c>
      <c r="H28" s="189" t="s">
        <v>167</v>
      </c>
      <c r="I28" s="189"/>
      <c r="J28" s="190"/>
      <c r="K28" s="191">
        <f>'[1]India and Nepal Elec System'!P45</f>
        <v>2826000</v>
      </c>
      <c r="L28" s="190" t="s">
        <v>164</v>
      </c>
    </row>
    <row r="29" spans="2:12" x14ac:dyDescent="0.35">
      <c r="B29" s="188"/>
      <c r="C29" s="188"/>
      <c r="D29" s="187"/>
      <c r="E29" s="187"/>
      <c r="F29" s="187"/>
      <c r="H29" s="188"/>
      <c r="I29" s="188"/>
      <c r="J29" s="187"/>
      <c r="K29" s="187"/>
      <c r="L29" s="187"/>
    </row>
    <row r="30" spans="2:12" ht="30.65" customHeight="1" x14ac:dyDescent="0.35">
      <c r="B30" s="279" t="s">
        <v>185</v>
      </c>
      <c r="C30" s="279"/>
      <c r="D30" s="279"/>
      <c r="E30" s="280">
        <f>(E27*D25+E28*D22)/(E27+E28)</f>
        <v>0.28982574904257713</v>
      </c>
      <c r="F30" s="280"/>
      <c r="H30" s="279" t="s">
        <v>186</v>
      </c>
      <c r="I30" s="279"/>
      <c r="J30" s="279"/>
      <c r="K30" s="280">
        <f>(K27*J25+K28*J22)/(K27+K28)</f>
        <v>0.29647853120072087</v>
      </c>
      <c r="L30" s="280"/>
    </row>
    <row r="31" spans="2:12" x14ac:dyDescent="0.35">
      <c r="B31" s="188"/>
      <c r="C31" s="188"/>
      <c r="D31" s="187"/>
      <c r="E31" s="187">
        <f>E30</f>
        <v>0.28982574904257713</v>
      </c>
      <c r="F31" s="187"/>
      <c r="H31" s="187"/>
      <c r="K31" s="199">
        <f>K30</f>
        <v>0.29647853120072087</v>
      </c>
    </row>
    <row r="32" spans="2:12" ht="15" thickBot="1" x14ac:dyDescent="0.4"/>
    <row r="33" spans="2:10" x14ac:dyDescent="0.35">
      <c r="B33" s="285" t="s">
        <v>187</v>
      </c>
      <c r="C33" s="286"/>
      <c r="D33" s="287"/>
      <c r="E33" s="193"/>
      <c r="G33" s="145" t="s">
        <v>188</v>
      </c>
      <c r="H33" s="145" t="s">
        <v>189</v>
      </c>
      <c r="I33" s="145" t="s">
        <v>190</v>
      </c>
      <c r="J33" s="145" t="s">
        <v>191</v>
      </c>
    </row>
    <row r="34" spans="2:10" x14ac:dyDescent="0.35">
      <c r="B34" s="288" t="s">
        <v>192</v>
      </c>
      <c r="C34" s="289"/>
      <c r="D34" s="290"/>
      <c r="E34" s="194">
        <v>15.94</v>
      </c>
      <c r="G34" s="145" t="s">
        <v>194</v>
      </c>
      <c r="H34" s="145">
        <v>4</v>
      </c>
      <c r="I34" s="242">
        <v>0.19769999999999999</v>
      </c>
      <c r="J34" s="243">
        <f t="shared" ref="J34:J37" si="0">H34*I34*8760</f>
        <v>6927.4079999999994</v>
      </c>
    </row>
    <row r="35" spans="2:10" x14ac:dyDescent="0.35">
      <c r="B35" s="288" t="s">
        <v>193</v>
      </c>
      <c r="C35" s="289"/>
      <c r="D35" s="290"/>
      <c r="E35" s="195"/>
      <c r="G35" s="145" t="s">
        <v>196</v>
      </c>
      <c r="H35" s="145">
        <v>1</v>
      </c>
      <c r="I35" s="242">
        <v>0.19450000000000001</v>
      </c>
      <c r="J35" s="243">
        <f t="shared" si="0"/>
        <v>1703.8200000000002</v>
      </c>
    </row>
    <row r="36" spans="2:10" x14ac:dyDescent="0.35">
      <c r="B36" s="288" t="s">
        <v>195</v>
      </c>
      <c r="C36" s="289"/>
      <c r="D36" s="290"/>
      <c r="E36" s="196">
        <f>E34*365*24*E35</f>
        <v>0</v>
      </c>
      <c r="G36" s="145" t="s">
        <v>198</v>
      </c>
      <c r="H36" s="145">
        <v>1</v>
      </c>
      <c r="I36" s="242">
        <v>0.18709999999999999</v>
      </c>
      <c r="J36" s="243">
        <f t="shared" si="0"/>
        <v>1638.9959999999999</v>
      </c>
    </row>
    <row r="37" spans="2:10" x14ac:dyDescent="0.35">
      <c r="B37" s="288" t="s">
        <v>197</v>
      </c>
      <c r="C37" s="289"/>
      <c r="D37" s="290"/>
      <c r="E37" s="197">
        <f>E30</f>
        <v>0.28982574904257713</v>
      </c>
      <c r="G37" s="145" t="s">
        <v>200</v>
      </c>
      <c r="H37" s="145">
        <v>9.94</v>
      </c>
      <c r="I37" s="242">
        <v>0.65400000000000003</v>
      </c>
      <c r="J37" s="244">
        <f t="shared" si="0"/>
        <v>56946.657599999999</v>
      </c>
    </row>
    <row r="38" spans="2:10" x14ac:dyDescent="0.35">
      <c r="B38" s="288" t="s">
        <v>199</v>
      </c>
      <c r="C38" s="289"/>
      <c r="D38" s="290"/>
      <c r="E38" s="196">
        <f>E36*E37</f>
        <v>0</v>
      </c>
      <c r="G38" s="284" t="s">
        <v>202</v>
      </c>
      <c r="H38" s="284"/>
      <c r="I38" s="284"/>
      <c r="J38" s="245">
        <f>SUM(J34:J37)</f>
        <v>67216.881599999993</v>
      </c>
    </row>
    <row r="39" spans="2:10" ht="15" thickBot="1" x14ac:dyDescent="0.4">
      <c r="B39" s="281" t="s">
        <v>201</v>
      </c>
      <c r="C39" s="282"/>
      <c r="D39" s="283"/>
      <c r="E39" s="198">
        <v>0</v>
      </c>
    </row>
    <row r="41" spans="2:10" x14ac:dyDescent="0.35">
      <c r="I41" s="105"/>
    </row>
  </sheetData>
  <mergeCells count="33">
    <mergeCell ref="B10:F10"/>
    <mergeCell ref="H10:L10"/>
    <mergeCell ref="B14:F14"/>
    <mergeCell ref="B18:F18"/>
    <mergeCell ref="D19:F19"/>
    <mergeCell ref="H14:L14"/>
    <mergeCell ref="H18:L18"/>
    <mergeCell ref="J19:L19"/>
    <mergeCell ref="B2:I2"/>
    <mergeCell ref="C3:I3"/>
    <mergeCell ref="C4:I4"/>
    <mergeCell ref="B6:F6"/>
    <mergeCell ref="H6:L6"/>
    <mergeCell ref="H21:L21"/>
    <mergeCell ref="J22:L22"/>
    <mergeCell ref="D25:F25"/>
    <mergeCell ref="J25:L25"/>
    <mergeCell ref="B24:F24"/>
    <mergeCell ref="H24:L24"/>
    <mergeCell ref="B21:F21"/>
    <mergeCell ref="D22:F22"/>
    <mergeCell ref="B30:D30"/>
    <mergeCell ref="E30:F30"/>
    <mergeCell ref="H30:J30"/>
    <mergeCell ref="K30:L30"/>
    <mergeCell ref="B39:D39"/>
    <mergeCell ref="G38:I38"/>
    <mergeCell ref="B33:D33"/>
    <mergeCell ref="B34:D34"/>
    <mergeCell ref="B35:D35"/>
    <mergeCell ref="B36:D36"/>
    <mergeCell ref="B37:D37"/>
    <mergeCell ref="B38:D3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BC34"/>
  <sheetViews>
    <sheetView showGridLines="0" zoomScale="80" zoomScaleNormal="80" workbookViewId="0">
      <selection sqref="A1:XFD1"/>
    </sheetView>
  </sheetViews>
  <sheetFormatPr defaultColWidth="9.08984375" defaultRowHeight="14.5" x14ac:dyDescent="0.35"/>
  <cols>
    <col min="1" max="1" width="4.453125" style="4" customWidth="1"/>
    <col min="2" max="2" width="10.54296875" style="4" customWidth="1"/>
    <col min="3" max="3" width="11.6328125" style="4" hidden="1" customWidth="1"/>
    <col min="4" max="6" width="10.90625" style="4" hidden="1" customWidth="1"/>
    <col min="7" max="7" width="13.08984375" style="4" hidden="1" customWidth="1"/>
    <col min="8" max="8" width="12" style="4" hidden="1" customWidth="1"/>
    <col min="9" max="9" width="12.08984375" style="4" hidden="1" customWidth="1"/>
    <col min="10" max="10" width="3.36328125" style="4" hidden="1" customWidth="1"/>
    <col min="11" max="11" width="8.90625" style="4" hidden="1" customWidth="1"/>
    <col min="12" max="12" width="12.54296875" style="4" customWidth="1"/>
    <col min="13" max="13" width="11.08984375" style="4" customWidth="1"/>
    <col min="14" max="15" width="10.90625" style="4" customWidth="1"/>
    <col min="16" max="16" width="13.36328125" style="4" customWidth="1"/>
    <col min="17" max="19" width="11.6328125" style="4" customWidth="1"/>
    <col min="20" max="21" width="10.453125" style="4" customWidth="1"/>
    <col min="22" max="22" width="9.36328125" style="4" customWidth="1"/>
    <col min="23" max="23" width="11.453125" style="4" customWidth="1"/>
    <col min="24" max="24" width="11.08984375" style="4" customWidth="1"/>
    <col min="25" max="26" width="10.90625" style="4" customWidth="1"/>
    <col min="27" max="27" width="11.453125" style="4" customWidth="1"/>
    <col min="28" max="28" width="11.90625" style="4" customWidth="1"/>
    <col min="29" max="29" width="22.54296875" style="4" customWidth="1"/>
    <col min="30" max="30" width="11.6328125" style="4" customWidth="1"/>
    <col min="31" max="32" width="10.453125" style="4" customWidth="1"/>
    <col min="33" max="33" width="10.54296875" style="4" customWidth="1"/>
    <col min="34" max="34" width="12.54296875" style="4" customWidth="1"/>
    <col min="35" max="35" width="12.90625" style="4" customWidth="1"/>
    <col min="36" max="37" width="10.90625" style="4" customWidth="1"/>
    <col min="38" max="39" width="14.54296875" style="4" customWidth="1"/>
    <col min="40" max="40" width="20" style="4" customWidth="1"/>
    <col min="41" max="41" width="11.6328125" style="4" customWidth="1"/>
    <col min="42" max="43" width="10.453125" style="4" customWidth="1"/>
    <col min="44" max="44" width="3.453125" style="4" customWidth="1"/>
    <col min="45" max="45" width="10.54296875" style="4" customWidth="1"/>
    <col min="46" max="46" width="12.54296875" style="4" customWidth="1"/>
    <col min="47" max="47" width="12.90625" style="4" customWidth="1"/>
    <col min="48" max="49" width="10.90625" style="4" customWidth="1"/>
    <col min="50" max="51" width="14.54296875" style="4" customWidth="1"/>
    <col min="52" max="52" width="14.453125" style="4" customWidth="1"/>
    <col min="53" max="53" width="11.6328125" style="4" customWidth="1"/>
    <col min="54" max="55" width="10.453125" style="4" customWidth="1"/>
    <col min="56" max="16384" width="9.08984375" style="4"/>
  </cols>
  <sheetData>
    <row r="1" spans="2:55" s="9" customFormat="1" ht="30" customHeight="1" thickBot="1" x14ac:dyDescent="0.4">
      <c r="B1" s="329" t="s">
        <v>93</v>
      </c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  <c r="Y1" s="330"/>
      <c r="Z1" s="330"/>
      <c r="AA1" s="330"/>
      <c r="AB1" s="330"/>
      <c r="AC1" s="330"/>
      <c r="AD1" s="330"/>
      <c r="AE1" s="330"/>
      <c r="AF1" s="330"/>
      <c r="AG1" s="330"/>
      <c r="AH1" s="330"/>
      <c r="AI1" s="330"/>
      <c r="AJ1" s="330"/>
      <c r="AK1" s="330"/>
      <c r="AL1" s="330"/>
      <c r="AM1" s="330"/>
      <c r="AN1" s="330"/>
      <c r="AO1" s="330"/>
      <c r="AP1" s="330"/>
      <c r="AQ1" s="330"/>
      <c r="AR1" s="330"/>
      <c r="AS1" s="330"/>
      <c r="AT1" s="330"/>
      <c r="AU1" s="330"/>
      <c r="AV1" s="330"/>
      <c r="AW1" s="330"/>
      <c r="AX1" s="330"/>
      <c r="AY1" s="330"/>
      <c r="AZ1" s="330"/>
      <c r="BA1" s="330"/>
      <c r="BB1" s="330"/>
      <c r="BC1" s="330"/>
    </row>
    <row r="2" spans="2:55" s="9" customFormat="1" ht="30.75" customHeight="1" thickBot="1" x14ac:dyDescent="0.4">
      <c r="B2" s="344" t="s">
        <v>0</v>
      </c>
      <c r="C2" s="319" t="s">
        <v>1</v>
      </c>
      <c r="D2" s="320"/>
      <c r="E2" s="52"/>
      <c r="F2" s="52"/>
      <c r="G2" s="316" t="s">
        <v>78</v>
      </c>
      <c r="H2" s="317"/>
      <c r="I2" s="318"/>
      <c r="J2" s="37"/>
      <c r="K2" s="346" t="s">
        <v>0</v>
      </c>
      <c r="L2" s="325" t="s">
        <v>1</v>
      </c>
      <c r="M2" s="326"/>
      <c r="N2" s="103"/>
      <c r="O2" s="103"/>
      <c r="P2" s="312" t="s">
        <v>79</v>
      </c>
      <c r="Q2" s="313"/>
      <c r="R2" s="314"/>
      <c r="S2" s="200"/>
      <c r="V2" s="346" t="s">
        <v>0</v>
      </c>
      <c r="W2" s="308" t="s">
        <v>1</v>
      </c>
      <c r="X2" s="309"/>
      <c r="Y2" s="103"/>
      <c r="Z2" s="103"/>
      <c r="AA2" s="312" t="s">
        <v>80</v>
      </c>
      <c r="AB2" s="313"/>
      <c r="AC2" s="314"/>
      <c r="AD2" s="200"/>
      <c r="AG2" s="348" t="s">
        <v>0</v>
      </c>
      <c r="AH2" s="340" t="s">
        <v>1</v>
      </c>
      <c r="AI2" s="341"/>
      <c r="AJ2" s="103"/>
      <c r="AK2" s="103"/>
      <c r="AL2" s="312" t="s">
        <v>81</v>
      </c>
      <c r="AM2" s="313"/>
      <c r="AN2" s="350"/>
      <c r="AO2" s="200"/>
      <c r="AS2" s="337" t="s">
        <v>0</v>
      </c>
      <c r="AT2" s="331" t="s">
        <v>1</v>
      </c>
      <c r="AU2" s="332"/>
      <c r="AV2" s="103"/>
      <c r="AW2" s="103"/>
      <c r="AX2" s="312" t="s">
        <v>82</v>
      </c>
      <c r="AY2" s="313"/>
      <c r="AZ2" s="314"/>
      <c r="BA2" s="200"/>
    </row>
    <row r="3" spans="2:55" s="9" customFormat="1" ht="20.25" customHeight="1" thickBot="1" x14ac:dyDescent="0.4">
      <c r="B3" s="345"/>
      <c r="C3" s="321"/>
      <c r="D3" s="322"/>
      <c r="E3" s="51"/>
      <c r="F3" s="51"/>
      <c r="G3" s="316" t="s">
        <v>84</v>
      </c>
      <c r="H3" s="317"/>
      <c r="I3" s="318"/>
      <c r="J3" s="37"/>
      <c r="K3" s="346"/>
      <c r="L3" s="325"/>
      <c r="M3" s="326"/>
      <c r="N3" s="103"/>
      <c r="O3" s="103"/>
      <c r="P3" s="312" t="s">
        <v>85</v>
      </c>
      <c r="Q3" s="313"/>
      <c r="R3" s="314"/>
      <c r="S3" s="200"/>
      <c r="V3" s="346"/>
      <c r="W3" s="308"/>
      <c r="X3" s="309"/>
      <c r="Y3" s="103"/>
      <c r="Z3" s="103"/>
      <c r="AA3" s="312" t="s">
        <v>87</v>
      </c>
      <c r="AB3" s="313"/>
      <c r="AC3" s="314"/>
      <c r="AD3" s="200"/>
      <c r="AG3" s="338"/>
      <c r="AH3" s="333"/>
      <c r="AI3" s="334"/>
      <c r="AJ3" s="103"/>
      <c r="AK3" s="103"/>
      <c r="AL3" s="312" t="s">
        <v>90</v>
      </c>
      <c r="AM3" s="313"/>
      <c r="AN3" s="350"/>
      <c r="AO3" s="200"/>
      <c r="AS3" s="338"/>
      <c r="AT3" s="333"/>
      <c r="AU3" s="334"/>
      <c r="AV3" s="103"/>
      <c r="AW3" s="103"/>
      <c r="AX3" s="312" t="s">
        <v>91</v>
      </c>
      <c r="AY3" s="313"/>
      <c r="AZ3" s="314"/>
      <c r="BA3" s="200"/>
    </row>
    <row r="4" spans="2:55" s="9" customFormat="1" ht="20.25" customHeight="1" thickBot="1" x14ac:dyDescent="0.4">
      <c r="B4" s="345"/>
      <c r="C4" s="323"/>
      <c r="D4" s="324"/>
      <c r="E4" s="41"/>
      <c r="F4" s="41"/>
      <c r="G4" s="316" t="s">
        <v>83</v>
      </c>
      <c r="H4" s="317"/>
      <c r="I4" s="318"/>
      <c r="J4" s="37"/>
      <c r="K4" s="346"/>
      <c r="L4" s="327"/>
      <c r="M4" s="328"/>
      <c r="N4" s="104"/>
      <c r="O4" s="104"/>
      <c r="P4" s="312" t="s">
        <v>86</v>
      </c>
      <c r="Q4" s="313"/>
      <c r="R4" s="314"/>
      <c r="S4" s="200"/>
      <c r="V4" s="346"/>
      <c r="W4" s="310"/>
      <c r="X4" s="311"/>
      <c r="Y4" s="104"/>
      <c r="Z4" s="104"/>
      <c r="AA4" s="312" t="s">
        <v>88</v>
      </c>
      <c r="AB4" s="313"/>
      <c r="AC4" s="315"/>
      <c r="AD4" s="200"/>
      <c r="AG4" s="338"/>
      <c r="AH4" s="342"/>
      <c r="AI4" s="343"/>
      <c r="AJ4" s="104"/>
      <c r="AK4" s="104"/>
      <c r="AL4" s="312" t="s">
        <v>89</v>
      </c>
      <c r="AM4" s="313"/>
      <c r="AN4" s="350"/>
      <c r="AO4" s="200"/>
      <c r="AS4" s="338"/>
      <c r="AT4" s="335"/>
      <c r="AU4" s="336"/>
      <c r="AV4" s="104"/>
      <c r="AW4" s="104"/>
      <c r="AX4" s="312" t="s">
        <v>92</v>
      </c>
      <c r="AY4" s="313"/>
      <c r="AZ4" s="314"/>
      <c r="BA4" s="200"/>
    </row>
    <row r="5" spans="2:55" s="9" customFormat="1" ht="37.5" customHeight="1" thickBot="1" x14ac:dyDescent="0.4">
      <c r="B5" s="339"/>
      <c r="C5" s="10" t="s">
        <v>2</v>
      </c>
      <c r="D5" s="10" t="s">
        <v>3</v>
      </c>
      <c r="E5" s="10" t="s">
        <v>94</v>
      </c>
      <c r="F5" s="10" t="s">
        <v>95</v>
      </c>
      <c r="G5" s="11" t="s">
        <v>45</v>
      </c>
      <c r="H5" s="11" t="s">
        <v>20</v>
      </c>
      <c r="I5" s="11" t="s">
        <v>96</v>
      </c>
      <c r="J5" s="37"/>
      <c r="K5" s="347"/>
      <c r="L5" s="10" t="s">
        <v>2</v>
      </c>
      <c r="M5" s="10" t="s">
        <v>3</v>
      </c>
      <c r="N5" s="10" t="s">
        <v>94</v>
      </c>
      <c r="O5" s="10" t="s">
        <v>95</v>
      </c>
      <c r="P5" s="11" t="s">
        <v>45</v>
      </c>
      <c r="Q5" s="42" t="s">
        <v>20</v>
      </c>
      <c r="R5" s="108" t="s">
        <v>96</v>
      </c>
      <c r="S5" s="208" t="s">
        <v>203</v>
      </c>
      <c r="T5" s="211" t="s">
        <v>204</v>
      </c>
      <c r="U5" s="27"/>
      <c r="V5" s="347"/>
      <c r="W5" s="10" t="s">
        <v>2</v>
      </c>
      <c r="X5" s="10" t="s">
        <v>3</v>
      </c>
      <c r="Y5" s="10" t="s">
        <v>94</v>
      </c>
      <c r="Z5" s="10" t="s">
        <v>95</v>
      </c>
      <c r="AA5" s="11" t="s">
        <v>45</v>
      </c>
      <c r="AB5" s="42" t="s">
        <v>20</v>
      </c>
      <c r="AC5" s="11" t="s">
        <v>96</v>
      </c>
      <c r="AD5" s="208" t="s">
        <v>203</v>
      </c>
      <c r="AE5" s="211" t="s">
        <v>204</v>
      </c>
      <c r="AF5" s="27"/>
      <c r="AG5" s="349"/>
      <c r="AH5" s="10" t="s">
        <v>2</v>
      </c>
      <c r="AI5" s="10" t="s">
        <v>3</v>
      </c>
      <c r="AJ5" s="10" t="s">
        <v>94</v>
      </c>
      <c r="AK5" s="10" t="s">
        <v>95</v>
      </c>
      <c r="AL5" s="11" t="s">
        <v>45</v>
      </c>
      <c r="AM5" s="42" t="s">
        <v>20</v>
      </c>
      <c r="AN5" s="11" t="s">
        <v>96</v>
      </c>
      <c r="AO5" s="208" t="s">
        <v>203</v>
      </c>
      <c r="AP5" s="211" t="s">
        <v>204</v>
      </c>
      <c r="AQ5" s="27"/>
      <c r="AR5" s="27"/>
      <c r="AS5" s="339"/>
      <c r="AT5" s="12" t="s">
        <v>2</v>
      </c>
      <c r="AU5" s="13" t="s">
        <v>3</v>
      </c>
      <c r="AV5" s="10" t="s">
        <v>94</v>
      </c>
      <c r="AW5" s="10" t="s">
        <v>95</v>
      </c>
      <c r="AX5" s="11" t="s">
        <v>45</v>
      </c>
      <c r="AY5" s="42" t="s">
        <v>20</v>
      </c>
      <c r="AZ5" s="11" t="s">
        <v>96</v>
      </c>
      <c r="BA5" s="208" t="s">
        <v>203</v>
      </c>
      <c r="BB5" s="211" t="s">
        <v>204</v>
      </c>
      <c r="BC5" s="27"/>
    </row>
    <row r="6" spans="2:55" x14ac:dyDescent="0.35">
      <c r="B6" s="36">
        <v>44348</v>
      </c>
      <c r="C6" s="18"/>
      <c r="D6" s="18"/>
      <c r="E6" s="18"/>
      <c r="F6" s="18"/>
      <c r="G6" s="18"/>
      <c r="H6" s="18"/>
      <c r="I6" s="19">
        <f>MIN(H6,G6)</f>
        <v>0</v>
      </c>
      <c r="J6" s="37"/>
      <c r="K6" s="36">
        <v>44348</v>
      </c>
      <c r="L6" s="18"/>
      <c r="M6" s="18"/>
      <c r="N6" s="18"/>
      <c r="O6" s="18"/>
      <c r="P6" s="18"/>
      <c r="Q6" s="18"/>
      <c r="R6" s="201">
        <f>MIN(Q6,P6)</f>
        <v>0</v>
      </c>
      <c r="S6" s="2"/>
      <c r="T6" s="212"/>
      <c r="V6" s="36">
        <v>44348</v>
      </c>
      <c r="W6" s="18"/>
      <c r="X6" s="18"/>
      <c r="Y6" s="18"/>
      <c r="Z6" s="18"/>
      <c r="AA6" s="18"/>
      <c r="AB6" s="18"/>
      <c r="AC6" s="19">
        <f>MIN(AB6,AA6)</f>
        <v>0</v>
      </c>
      <c r="AD6" s="2"/>
      <c r="AE6" s="212"/>
      <c r="AG6" s="36">
        <v>44348</v>
      </c>
      <c r="AH6" s="18"/>
      <c r="AI6" s="18"/>
      <c r="AJ6" s="18"/>
      <c r="AK6" s="18"/>
      <c r="AL6" s="18"/>
      <c r="AM6" s="18"/>
      <c r="AN6" s="19">
        <f>MIN(AM6,AL6)</f>
        <v>0</v>
      </c>
      <c r="AO6" s="2"/>
      <c r="AP6" s="212"/>
      <c r="AS6" s="36">
        <v>44348</v>
      </c>
      <c r="AT6" s="18"/>
      <c r="AU6" s="18"/>
      <c r="AV6" s="18"/>
      <c r="AW6" s="18"/>
      <c r="AX6" s="18"/>
      <c r="AY6" s="18"/>
      <c r="AZ6" s="19">
        <f>MIN(AY6,AX6)</f>
        <v>0</v>
      </c>
      <c r="BA6" s="2"/>
      <c r="BB6" s="212"/>
    </row>
    <row r="7" spans="2:55" x14ac:dyDescent="0.35">
      <c r="B7" s="20">
        <v>44378</v>
      </c>
      <c r="C7" s="14"/>
      <c r="D7" s="14"/>
      <c r="E7" s="14"/>
      <c r="F7" s="14"/>
      <c r="G7" s="2"/>
      <c r="H7" s="2"/>
      <c r="I7" s="38">
        <f t="shared" ref="I7:I29" si="0">MIN(H7,G7)</f>
        <v>0</v>
      </c>
      <c r="J7" s="37"/>
      <c r="K7" s="20">
        <v>44378</v>
      </c>
      <c r="L7" s="14"/>
      <c r="M7" s="14"/>
      <c r="N7" s="14"/>
      <c r="O7" s="14"/>
      <c r="P7" s="2"/>
      <c r="Q7" s="2"/>
      <c r="R7" s="202">
        <f t="shared" ref="R7:R29" si="1">MIN(Q7,P7)</f>
        <v>0</v>
      </c>
      <c r="S7" s="2"/>
      <c r="T7" s="212"/>
      <c r="V7" s="20">
        <v>44378</v>
      </c>
      <c r="W7" s="14"/>
      <c r="X7" s="14"/>
      <c r="Y7" s="14"/>
      <c r="Z7" s="14"/>
      <c r="AA7" s="2"/>
      <c r="AB7" s="2"/>
      <c r="AC7" s="38">
        <f t="shared" ref="AC7:AC29" si="2">MIN(AB7,AA7)</f>
        <v>0</v>
      </c>
      <c r="AD7" s="2"/>
      <c r="AE7" s="212"/>
      <c r="AG7" s="20">
        <v>44378</v>
      </c>
      <c r="AH7" s="14"/>
      <c r="AI7" s="14"/>
      <c r="AJ7" s="14"/>
      <c r="AK7" s="14"/>
      <c r="AL7" s="2"/>
      <c r="AM7" s="2"/>
      <c r="AN7" s="38">
        <f t="shared" ref="AN7:AN29" si="3">MIN(AM7,AL7)</f>
        <v>0</v>
      </c>
      <c r="AO7" s="2"/>
      <c r="AP7" s="212"/>
      <c r="AS7" s="20">
        <v>44378</v>
      </c>
      <c r="AT7" s="14"/>
      <c r="AU7" s="14"/>
      <c r="AV7" s="14"/>
      <c r="AW7" s="14"/>
      <c r="AX7" s="2"/>
      <c r="AY7" s="2"/>
      <c r="AZ7" s="38">
        <f t="shared" ref="AZ7:AZ29" si="4">MIN(AY7,AX7)</f>
        <v>0</v>
      </c>
      <c r="BA7" s="2"/>
      <c r="BB7" s="212"/>
    </row>
    <row r="8" spans="2:55" ht="15" thickBot="1" x14ac:dyDescent="0.4">
      <c r="B8" s="50">
        <v>44409</v>
      </c>
      <c r="C8" s="48"/>
      <c r="D8" s="48"/>
      <c r="E8" s="48"/>
      <c r="F8" s="48"/>
      <c r="G8" s="6"/>
      <c r="H8" s="6"/>
      <c r="I8" s="49">
        <f t="shared" si="0"/>
        <v>0</v>
      </c>
      <c r="J8" s="37"/>
      <c r="K8" s="50">
        <v>44409</v>
      </c>
      <c r="L8" s="48"/>
      <c r="M8" s="48"/>
      <c r="N8" s="48"/>
      <c r="O8" s="48"/>
      <c r="P8" s="6"/>
      <c r="Q8" s="6"/>
      <c r="R8" s="203">
        <f t="shared" si="1"/>
        <v>0</v>
      </c>
      <c r="S8" s="2"/>
      <c r="T8" s="213"/>
      <c r="U8" s="17"/>
      <c r="V8" s="20">
        <v>44409</v>
      </c>
      <c r="W8" s="14"/>
      <c r="X8" s="14"/>
      <c r="Y8" s="14"/>
      <c r="Z8" s="14"/>
      <c r="AA8" s="2"/>
      <c r="AB8" s="2"/>
      <c r="AC8" s="38">
        <f t="shared" si="2"/>
        <v>0</v>
      </c>
      <c r="AD8" s="2"/>
      <c r="AE8" s="213"/>
      <c r="AF8" s="17"/>
      <c r="AG8" s="20">
        <v>44409</v>
      </c>
      <c r="AH8" s="14"/>
      <c r="AI8" s="14"/>
      <c r="AJ8" s="14"/>
      <c r="AK8" s="14"/>
      <c r="AL8" s="2"/>
      <c r="AM8" s="2"/>
      <c r="AN8" s="38">
        <f t="shared" si="3"/>
        <v>0</v>
      </c>
      <c r="AO8" s="2"/>
      <c r="AP8" s="213"/>
      <c r="AQ8" s="17"/>
      <c r="AS8" s="20">
        <v>44409</v>
      </c>
      <c r="AT8" s="14"/>
      <c r="AU8" s="14"/>
      <c r="AV8" s="14"/>
      <c r="AW8" s="14"/>
      <c r="AX8" s="2"/>
      <c r="AY8" s="2"/>
      <c r="AZ8" s="38">
        <f t="shared" si="4"/>
        <v>0</v>
      </c>
      <c r="BA8" s="2"/>
      <c r="BB8" s="213"/>
      <c r="BC8" s="17"/>
    </row>
    <row r="9" spans="2:55" x14ac:dyDescent="0.35">
      <c r="B9" s="75">
        <v>44440</v>
      </c>
      <c r="C9" s="90"/>
      <c r="D9" s="90"/>
      <c r="E9" s="90"/>
      <c r="F9" s="90"/>
      <c r="G9" s="65"/>
      <c r="H9" s="65"/>
      <c r="I9" s="65">
        <f t="shared" si="0"/>
        <v>0</v>
      </c>
      <c r="J9" s="65"/>
      <c r="K9" s="95">
        <v>44440</v>
      </c>
      <c r="L9" s="90">
        <v>44430</v>
      </c>
      <c r="M9" s="90">
        <v>44456</v>
      </c>
      <c r="N9" s="65">
        <v>438710</v>
      </c>
      <c r="O9" s="65">
        <v>2690</v>
      </c>
      <c r="P9" s="65">
        <f>N9-O9</f>
        <v>436020</v>
      </c>
      <c r="Q9" s="65">
        <f>438710-2690</f>
        <v>436020</v>
      </c>
      <c r="R9" s="204">
        <f t="shared" si="1"/>
        <v>436020</v>
      </c>
      <c r="S9" s="209">
        <f>'EF &amp; ER'!K31</f>
        <v>0.29647853120072087</v>
      </c>
      <c r="T9" s="212">
        <f>S9*R9/1000</f>
        <v>129.27056917413833</v>
      </c>
      <c r="V9" s="20">
        <v>44440</v>
      </c>
      <c r="W9" s="14"/>
      <c r="X9" s="14"/>
      <c r="Y9" s="14"/>
      <c r="Z9" s="14"/>
      <c r="AA9" s="2"/>
      <c r="AB9" s="2"/>
      <c r="AC9" s="38">
        <f t="shared" si="2"/>
        <v>0</v>
      </c>
      <c r="AD9" s="209">
        <f>'EF &amp; ER'!V31</f>
        <v>0</v>
      </c>
      <c r="AE9" s="212">
        <f>AD9*AC9/1000</f>
        <v>0</v>
      </c>
      <c r="AG9" s="20">
        <v>44440</v>
      </c>
      <c r="AH9" s="14"/>
      <c r="AI9" s="14"/>
      <c r="AJ9" s="14"/>
      <c r="AK9" s="14"/>
      <c r="AL9" s="2"/>
      <c r="AM9" s="2"/>
      <c r="AN9" s="38">
        <f t="shared" si="3"/>
        <v>0</v>
      </c>
      <c r="AO9" s="209">
        <f>'EF &amp; ER'!AG31</f>
        <v>0</v>
      </c>
      <c r="AP9" s="212">
        <f>AO9*AN9/1000</f>
        <v>0</v>
      </c>
      <c r="AS9" s="20">
        <v>44440</v>
      </c>
      <c r="AT9" s="14"/>
      <c r="AU9" s="14"/>
      <c r="AV9" s="14"/>
      <c r="AW9" s="14"/>
      <c r="AX9" s="2"/>
      <c r="AY9" s="2"/>
      <c r="AZ9" s="38">
        <f t="shared" si="4"/>
        <v>0</v>
      </c>
      <c r="BA9" s="209">
        <f>'EF &amp; ER'!AR31</f>
        <v>0</v>
      </c>
      <c r="BB9" s="212">
        <f>BA9*AZ9/1000</f>
        <v>0</v>
      </c>
    </row>
    <row r="10" spans="2:55" x14ac:dyDescent="0.35">
      <c r="B10" s="62">
        <v>44470</v>
      </c>
      <c r="C10" s="91"/>
      <c r="D10" s="91"/>
      <c r="E10" s="91"/>
      <c r="F10" s="91"/>
      <c r="G10" s="66"/>
      <c r="H10" s="66"/>
      <c r="I10" s="66">
        <f t="shared" si="0"/>
        <v>0</v>
      </c>
      <c r="J10" s="66"/>
      <c r="K10" s="94">
        <v>44470</v>
      </c>
      <c r="L10" s="91">
        <v>44457</v>
      </c>
      <c r="M10" s="91">
        <v>44487</v>
      </c>
      <c r="N10" s="66">
        <v>533820</v>
      </c>
      <c r="O10" s="66">
        <v>3250</v>
      </c>
      <c r="P10" s="66">
        <f t="shared" ref="P10:P29" si="5">N10-O10</f>
        <v>530570</v>
      </c>
      <c r="Q10" s="66">
        <f>533806-3250</f>
        <v>530556</v>
      </c>
      <c r="R10" s="205">
        <f t="shared" si="1"/>
        <v>530556</v>
      </c>
      <c r="S10" s="209">
        <v>0.29649999999999999</v>
      </c>
      <c r="T10" s="212">
        <f t="shared" ref="T10:T29" si="6">S10*R10/1000</f>
        <v>157.309854</v>
      </c>
      <c r="V10" s="20">
        <v>44470</v>
      </c>
      <c r="W10" s="14"/>
      <c r="X10" s="14"/>
      <c r="Y10" s="14"/>
      <c r="Z10" s="14"/>
      <c r="AA10" s="2"/>
      <c r="AB10" s="2"/>
      <c r="AC10" s="38">
        <f t="shared" si="2"/>
        <v>0</v>
      </c>
      <c r="AD10" s="209">
        <v>0.29649999999999999</v>
      </c>
      <c r="AE10" s="212">
        <f t="shared" ref="AE10:AE29" si="7">AD10*AC10/1000</f>
        <v>0</v>
      </c>
      <c r="AG10" s="20">
        <v>44470</v>
      </c>
      <c r="AH10" s="14"/>
      <c r="AI10" s="14"/>
      <c r="AJ10" s="14"/>
      <c r="AK10" s="14"/>
      <c r="AL10" s="2"/>
      <c r="AM10" s="2"/>
      <c r="AN10" s="38">
        <f t="shared" si="3"/>
        <v>0</v>
      </c>
      <c r="AO10" s="209">
        <v>0.29649999999999999</v>
      </c>
      <c r="AP10" s="212">
        <f t="shared" ref="AP10:AP29" si="8">AO10*AN10/1000</f>
        <v>0</v>
      </c>
      <c r="AS10" s="20">
        <v>44470</v>
      </c>
      <c r="AT10" s="14"/>
      <c r="AU10" s="14"/>
      <c r="AV10" s="14"/>
      <c r="AW10" s="14"/>
      <c r="AX10" s="2"/>
      <c r="AY10" s="2"/>
      <c r="AZ10" s="38">
        <f t="shared" si="4"/>
        <v>0</v>
      </c>
      <c r="BA10" s="209">
        <f>'EF &amp; ER'!AR32</f>
        <v>0</v>
      </c>
      <c r="BB10" s="212">
        <f t="shared" ref="BB10:BB29" si="9">BA10*AZ10/1000</f>
        <v>0</v>
      </c>
    </row>
    <row r="11" spans="2:55" x14ac:dyDescent="0.35">
      <c r="B11" s="62">
        <v>44501</v>
      </c>
      <c r="C11" s="91"/>
      <c r="D11" s="91"/>
      <c r="E11" s="91"/>
      <c r="F11" s="91"/>
      <c r="G11" s="66"/>
      <c r="H11" s="66"/>
      <c r="I11" s="66">
        <f t="shared" si="0"/>
        <v>0</v>
      </c>
      <c r="J11" s="66"/>
      <c r="K11" s="94">
        <v>44501</v>
      </c>
      <c r="L11" s="91">
        <v>44488</v>
      </c>
      <c r="M11" s="91">
        <v>44517</v>
      </c>
      <c r="N11" s="66">
        <v>532780</v>
      </c>
      <c r="O11" s="66">
        <v>3370</v>
      </c>
      <c r="P11" s="66">
        <f t="shared" si="5"/>
        <v>529410</v>
      </c>
      <c r="Q11" s="66">
        <v>529410</v>
      </c>
      <c r="R11" s="205">
        <f t="shared" si="1"/>
        <v>529410</v>
      </c>
      <c r="S11" s="209">
        <v>0.29649999999999999</v>
      </c>
      <c r="T11" s="212">
        <f t="shared" si="6"/>
        <v>156.97006500000001</v>
      </c>
      <c r="V11" s="20">
        <v>44501</v>
      </c>
      <c r="W11" s="14"/>
      <c r="X11" s="14"/>
      <c r="Y11" s="14"/>
      <c r="Z11" s="14"/>
      <c r="AA11" s="2"/>
      <c r="AB11" s="2"/>
      <c r="AC11" s="38">
        <f t="shared" si="2"/>
        <v>0</v>
      </c>
      <c r="AD11" s="209">
        <v>0.29649999999999999</v>
      </c>
      <c r="AE11" s="212">
        <f t="shared" si="7"/>
        <v>0</v>
      </c>
      <c r="AG11" s="20">
        <v>44501</v>
      </c>
      <c r="AH11" s="14"/>
      <c r="AI11" s="14"/>
      <c r="AJ11" s="14"/>
      <c r="AK11" s="14"/>
      <c r="AL11" s="2"/>
      <c r="AM11" s="2"/>
      <c r="AN11" s="38">
        <f t="shared" si="3"/>
        <v>0</v>
      </c>
      <c r="AO11" s="209">
        <v>0.29649999999999999</v>
      </c>
      <c r="AP11" s="212">
        <f t="shared" si="8"/>
        <v>0</v>
      </c>
      <c r="AS11" s="20">
        <v>44501</v>
      </c>
      <c r="AT11" s="14"/>
      <c r="AU11" s="14"/>
      <c r="AV11" s="14"/>
      <c r="AW11" s="14"/>
      <c r="AX11" s="2"/>
      <c r="AY11" s="2"/>
      <c r="AZ11" s="38">
        <f t="shared" si="4"/>
        <v>0</v>
      </c>
      <c r="BA11" s="209">
        <f>'EF &amp; ER'!AR33</f>
        <v>0</v>
      </c>
      <c r="BB11" s="212">
        <f t="shared" si="9"/>
        <v>0</v>
      </c>
    </row>
    <row r="12" spans="2:55" ht="15" thickBot="1" x14ac:dyDescent="0.4">
      <c r="B12" s="62">
        <v>44531</v>
      </c>
      <c r="C12" s="91"/>
      <c r="D12" s="91"/>
      <c r="E12" s="91"/>
      <c r="F12" s="91"/>
      <c r="G12" s="66"/>
      <c r="H12" s="66"/>
      <c r="I12" s="66">
        <f t="shared" si="0"/>
        <v>0</v>
      </c>
      <c r="J12" s="66"/>
      <c r="K12" s="94">
        <v>44531</v>
      </c>
      <c r="L12" s="91">
        <v>44518</v>
      </c>
      <c r="M12" s="91">
        <v>44546</v>
      </c>
      <c r="N12" s="66">
        <v>467790</v>
      </c>
      <c r="O12" s="66">
        <v>3360</v>
      </c>
      <c r="P12" s="66">
        <f t="shared" si="5"/>
        <v>464430</v>
      </c>
      <c r="Q12" s="66">
        <f>466136-3360</f>
        <v>462776</v>
      </c>
      <c r="R12" s="205">
        <f t="shared" si="1"/>
        <v>462776</v>
      </c>
      <c r="S12" s="209">
        <v>0.29649999999999999</v>
      </c>
      <c r="T12" s="212">
        <f t="shared" si="6"/>
        <v>137.21308400000001</v>
      </c>
      <c r="V12" s="50">
        <v>44531</v>
      </c>
      <c r="W12" s="48"/>
      <c r="X12" s="48"/>
      <c r="Y12" s="48"/>
      <c r="Z12" s="48"/>
      <c r="AA12" s="6"/>
      <c r="AB12" s="6"/>
      <c r="AC12" s="49">
        <f t="shared" si="2"/>
        <v>0</v>
      </c>
      <c r="AD12" s="209">
        <v>0.29649999999999999</v>
      </c>
      <c r="AE12" s="212">
        <f t="shared" si="7"/>
        <v>0</v>
      </c>
      <c r="AG12" s="20">
        <v>44531</v>
      </c>
      <c r="AH12" s="14"/>
      <c r="AI12" s="14"/>
      <c r="AJ12" s="14"/>
      <c r="AK12" s="14"/>
      <c r="AL12" s="2"/>
      <c r="AM12" s="2"/>
      <c r="AN12" s="38">
        <f t="shared" si="3"/>
        <v>0</v>
      </c>
      <c r="AO12" s="209">
        <v>0.29649999999999999</v>
      </c>
      <c r="AP12" s="212">
        <f t="shared" si="8"/>
        <v>0</v>
      </c>
      <c r="AS12" s="20">
        <v>44531</v>
      </c>
      <c r="AT12" s="14"/>
      <c r="AU12" s="14"/>
      <c r="AV12" s="14"/>
      <c r="AW12" s="14"/>
      <c r="AX12" s="2"/>
      <c r="AY12" s="2"/>
      <c r="AZ12" s="38">
        <f t="shared" si="4"/>
        <v>0</v>
      </c>
      <c r="BA12" s="209">
        <f>'EF &amp; ER'!AR34</f>
        <v>0</v>
      </c>
      <c r="BB12" s="212">
        <f t="shared" si="9"/>
        <v>0</v>
      </c>
    </row>
    <row r="13" spans="2:55" x14ac:dyDescent="0.35">
      <c r="B13" s="62">
        <v>44562</v>
      </c>
      <c r="C13" s="91"/>
      <c r="D13" s="91"/>
      <c r="E13" s="91"/>
      <c r="F13" s="91"/>
      <c r="G13" s="66"/>
      <c r="H13" s="66"/>
      <c r="I13" s="66">
        <f t="shared" si="0"/>
        <v>0</v>
      </c>
      <c r="J13" s="66"/>
      <c r="K13" s="94">
        <v>44562</v>
      </c>
      <c r="L13" s="91">
        <v>44547</v>
      </c>
      <c r="M13" s="91">
        <v>44576</v>
      </c>
      <c r="N13" s="66">
        <v>366110</v>
      </c>
      <c r="O13" s="66">
        <v>4060</v>
      </c>
      <c r="P13" s="66">
        <f t="shared" si="5"/>
        <v>362050</v>
      </c>
      <c r="Q13" s="66">
        <f>366110-O13</f>
        <v>362050</v>
      </c>
      <c r="R13" s="205">
        <f t="shared" si="1"/>
        <v>362050</v>
      </c>
      <c r="S13" s="209">
        <v>0.29649999999999999</v>
      </c>
      <c r="T13" s="212">
        <f t="shared" si="6"/>
        <v>107.347825</v>
      </c>
      <c r="U13" s="4">
        <f>SUM(T9:T13)</f>
        <v>688.11139717413835</v>
      </c>
      <c r="V13" s="75">
        <v>44562</v>
      </c>
      <c r="W13" s="82">
        <v>44212</v>
      </c>
      <c r="X13" s="64">
        <v>44605</v>
      </c>
      <c r="Y13" s="65">
        <v>92250</v>
      </c>
      <c r="Z13" s="65">
        <v>1650</v>
      </c>
      <c r="AA13" s="65">
        <f>Y13-Z13</f>
        <v>90600</v>
      </c>
      <c r="AB13" s="65">
        <f>92250-1650</f>
        <v>90600</v>
      </c>
      <c r="AC13" s="76">
        <f t="shared" si="2"/>
        <v>90600</v>
      </c>
      <c r="AD13" s="209">
        <v>0.29649999999999999</v>
      </c>
      <c r="AE13" s="212">
        <f t="shared" si="7"/>
        <v>26.862899999999996</v>
      </c>
      <c r="AG13" s="20">
        <v>44562</v>
      </c>
      <c r="AH13" s="14"/>
      <c r="AI13" s="14"/>
      <c r="AJ13" s="14"/>
      <c r="AK13" s="14"/>
      <c r="AL13" s="2"/>
      <c r="AM13" s="2"/>
      <c r="AN13" s="38">
        <f t="shared" si="3"/>
        <v>0</v>
      </c>
      <c r="AO13" s="209">
        <v>0.29649999999999999</v>
      </c>
      <c r="AP13" s="212">
        <f t="shared" si="8"/>
        <v>0</v>
      </c>
      <c r="AS13" s="20">
        <v>44562</v>
      </c>
      <c r="AT13" s="14"/>
      <c r="AU13" s="14"/>
      <c r="AV13" s="14"/>
      <c r="AW13" s="14"/>
      <c r="AX13" s="2"/>
      <c r="AY13" s="2"/>
      <c r="AZ13" s="38">
        <f t="shared" si="4"/>
        <v>0</v>
      </c>
      <c r="BA13" s="209">
        <f>'EF &amp; ER'!AR35</f>
        <v>0</v>
      </c>
      <c r="BB13" s="212">
        <f t="shared" si="9"/>
        <v>0</v>
      </c>
    </row>
    <row r="14" spans="2:55" ht="15" thickBot="1" x14ac:dyDescent="0.4">
      <c r="B14" s="62">
        <v>44593</v>
      </c>
      <c r="C14" s="91"/>
      <c r="D14" s="91"/>
      <c r="E14" s="91"/>
      <c r="F14" s="91"/>
      <c r="G14" s="66"/>
      <c r="H14" s="66"/>
      <c r="I14" s="66">
        <f t="shared" si="0"/>
        <v>0</v>
      </c>
      <c r="J14" s="66"/>
      <c r="K14" s="94">
        <v>44593</v>
      </c>
      <c r="L14" s="91">
        <v>44577</v>
      </c>
      <c r="M14" s="91">
        <v>44605</v>
      </c>
      <c r="N14" s="66">
        <v>375030</v>
      </c>
      <c r="O14" s="66">
        <v>3960</v>
      </c>
      <c r="P14" s="66">
        <f t="shared" si="5"/>
        <v>371070</v>
      </c>
      <c r="Q14" s="66">
        <f>375030-3960</f>
        <v>371070</v>
      </c>
      <c r="R14" s="205">
        <f t="shared" si="1"/>
        <v>371070</v>
      </c>
      <c r="S14" s="209">
        <v>0.29649999999999999</v>
      </c>
      <c r="T14" s="212">
        <f t="shared" si="6"/>
        <v>110.02225499999999</v>
      </c>
      <c r="V14" s="62">
        <v>44593</v>
      </c>
      <c r="W14" s="68">
        <v>44606</v>
      </c>
      <c r="X14" s="69">
        <v>44635</v>
      </c>
      <c r="Y14" s="66">
        <v>150120</v>
      </c>
      <c r="Z14" s="66">
        <v>1330</v>
      </c>
      <c r="AA14" s="66">
        <f t="shared" ref="AA14:AA29" si="10">Y14-Z14</f>
        <v>148790</v>
      </c>
      <c r="AB14" s="66">
        <f>146014-50</f>
        <v>145964</v>
      </c>
      <c r="AC14" s="67">
        <f t="shared" si="2"/>
        <v>145964</v>
      </c>
      <c r="AD14" s="209">
        <v>0.29649999999999999</v>
      </c>
      <c r="AE14" s="212">
        <f t="shared" si="7"/>
        <v>43.278326</v>
      </c>
      <c r="AG14" s="20">
        <v>44593</v>
      </c>
      <c r="AH14" s="14"/>
      <c r="AI14" s="14"/>
      <c r="AJ14" s="14"/>
      <c r="AK14" s="14"/>
      <c r="AL14" s="2"/>
      <c r="AM14" s="2"/>
      <c r="AN14" s="38">
        <f t="shared" si="3"/>
        <v>0</v>
      </c>
      <c r="AO14" s="209">
        <v>0.29649999999999999</v>
      </c>
      <c r="AP14" s="212">
        <f t="shared" si="8"/>
        <v>0</v>
      </c>
      <c r="AS14" s="50">
        <v>44593</v>
      </c>
      <c r="AT14" s="48"/>
      <c r="AU14" s="48"/>
      <c r="AV14" s="48"/>
      <c r="AW14" s="48"/>
      <c r="AX14" s="6"/>
      <c r="AY14" s="6"/>
      <c r="AZ14" s="49">
        <f t="shared" si="4"/>
        <v>0</v>
      </c>
      <c r="BA14" s="209">
        <f>'EF &amp; ER'!AR36</f>
        <v>0</v>
      </c>
      <c r="BB14" s="212">
        <f t="shared" si="9"/>
        <v>0</v>
      </c>
    </row>
    <row r="15" spans="2:55" x14ac:dyDescent="0.35">
      <c r="B15" s="62">
        <v>44621</v>
      </c>
      <c r="C15" s="91"/>
      <c r="D15" s="91"/>
      <c r="E15" s="91"/>
      <c r="F15" s="91"/>
      <c r="G15" s="66"/>
      <c r="H15" s="66"/>
      <c r="I15" s="66">
        <f t="shared" si="0"/>
        <v>0</v>
      </c>
      <c r="J15" s="66"/>
      <c r="K15" s="94">
        <v>44621</v>
      </c>
      <c r="L15" s="91">
        <v>44606</v>
      </c>
      <c r="M15" s="91">
        <v>44635</v>
      </c>
      <c r="N15" s="66">
        <v>624160</v>
      </c>
      <c r="O15" s="66">
        <v>3310</v>
      </c>
      <c r="P15" s="66">
        <f t="shared" si="5"/>
        <v>620850</v>
      </c>
      <c r="Q15" s="66">
        <f>601252-O15</f>
        <v>597942</v>
      </c>
      <c r="R15" s="205">
        <f t="shared" si="1"/>
        <v>597942</v>
      </c>
      <c r="S15" s="209">
        <v>0.29649999999999999</v>
      </c>
      <c r="T15" s="212">
        <f t="shared" si="6"/>
        <v>177.28980299999998</v>
      </c>
      <c r="V15" s="62">
        <v>44621</v>
      </c>
      <c r="W15" s="68">
        <v>44636</v>
      </c>
      <c r="X15" s="69">
        <v>44665</v>
      </c>
      <c r="Y15" s="66">
        <v>131900</v>
      </c>
      <c r="Z15" s="66">
        <v>1410</v>
      </c>
      <c r="AA15" s="66">
        <f t="shared" si="10"/>
        <v>130490</v>
      </c>
      <c r="AB15" s="66">
        <f>131900-1410</f>
        <v>130490</v>
      </c>
      <c r="AC15" s="67">
        <f t="shared" si="2"/>
        <v>130490</v>
      </c>
      <c r="AD15" s="209">
        <v>0.29649999999999999</v>
      </c>
      <c r="AE15" s="212">
        <f t="shared" si="7"/>
        <v>38.690284999999996</v>
      </c>
      <c r="AG15" s="20">
        <v>44621</v>
      </c>
      <c r="AH15" s="14"/>
      <c r="AI15" s="14"/>
      <c r="AJ15" s="14"/>
      <c r="AK15" s="14"/>
      <c r="AL15" s="2"/>
      <c r="AM15" s="2"/>
      <c r="AN15" s="38">
        <f t="shared" si="3"/>
        <v>0</v>
      </c>
      <c r="AO15" s="209">
        <v>0.29649999999999999</v>
      </c>
      <c r="AP15" s="212">
        <f t="shared" si="8"/>
        <v>0</v>
      </c>
      <c r="AS15" s="75">
        <v>44621</v>
      </c>
      <c r="AT15" s="63">
        <v>44646</v>
      </c>
      <c r="AU15" s="64">
        <v>44665</v>
      </c>
      <c r="AV15" s="65">
        <v>1612880</v>
      </c>
      <c r="AW15" s="65">
        <v>450</v>
      </c>
      <c r="AX15" s="65">
        <f>AV15-AW15</f>
        <v>1612430</v>
      </c>
      <c r="AY15" s="65">
        <f>1338133-AW15</f>
        <v>1337683</v>
      </c>
      <c r="AZ15" s="76">
        <f t="shared" si="4"/>
        <v>1337683</v>
      </c>
      <c r="BA15" s="209">
        <v>0.2898</v>
      </c>
      <c r="BB15" s="212">
        <f t="shared" si="9"/>
        <v>387.66053340000002</v>
      </c>
    </row>
    <row r="16" spans="2:55" x14ac:dyDescent="0.35">
      <c r="B16" s="62">
        <v>44652</v>
      </c>
      <c r="C16" s="91"/>
      <c r="D16" s="91"/>
      <c r="E16" s="91"/>
      <c r="F16" s="91"/>
      <c r="G16" s="92"/>
      <c r="H16" s="66"/>
      <c r="I16" s="66">
        <f t="shared" si="0"/>
        <v>0</v>
      </c>
      <c r="J16" s="66"/>
      <c r="K16" s="94">
        <v>44652</v>
      </c>
      <c r="L16" s="91">
        <v>44636</v>
      </c>
      <c r="M16" s="91">
        <v>44665</v>
      </c>
      <c r="N16" s="66">
        <v>566160</v>
      </c>
      <c r="O16" s="66">
        <v>3100</v>
      </c>
      <c r="P16" s="66">
        <f t="shared" si="5"/>
        <v>563060</v>
      </c>
      <c r="Q16" s="66">
        <f>566160-O16</f>
        <v>563060</v>
      </c>
      <c r="R16" s="205">
        <f t="shared" si="1"/>
        <v>563060</v>
      </c>
      <c r="S16" s="209">
        <v>0.29649999999999999</v>
      </c>
      <c r="T16" s="212">
        <f t="shared" si="6"/>
        <v>166.94728999999998</v>
      </c>
      <c r="V16" s="62">
        <v>44652</v>
      </c>
      <c r="W16" s="68">
        <v>44666</v>
      </c>
      <c r="X16" s="69">
        <v>44696</v>
      </c>
      <c r="Y16" s="66">
        <v>110290</v>
      </c>
      <c r="Z16" s="66">
        <v>1290</v>
      </c>
      <c r="AA16" s="66">
        <f t="shared" si="10"/>
        <v>109000</v>
      </c>
      <c r="AB16" s="66">
        <f>110290-Z16</f>
        <v>109000</v>
      </c>
      <c r="AC16" s="67">
        <f t="shared" si="2"/>
        <v>109000</v>
      </c>
      <c r="AD16" s="209">
        <v>0.29649999999999999</v>
      </c>
      <c r="AE16" s="212">
        <f t="shared" si="7"/>
        <v>32.3185</v>
      </c>
      <c r="AG16" s="20">
        <v>44652</v>
      </c>
      <c r="AH16" s="14"/>
      <c r="AI16" s="14"/>
      <c r="AJ16" s="14"/>
      <c r="AK16" s="14"/>
      <c r="AL16" s="16"/>
      <c r="AM16" s="2"/>
      <c r="AN16" s="38">
        <f t="shared" si="3"/>
        <v>0</v>
      </c>
      <c r="AO16" s="209">
        <v>0.29649999999999999</v>
      </c>
      <c r="AP16" s="212">
        <f t="shared" si="8"/>
        <v>0</v>
      </c>
      <c r="AS16" s="62">
        <v>44652</v>
      </c>
      <c r="AT16" s="68">
        <v>44666</v>
      </c>
      <c r="AU16" s="69">
        <v>44696</v>
      </c>
      <c r="AV16" s="66">
        <v>3456780</v>
      </c>
      <c r="AW16" s="66">
        <v>670</v>
      </c>
      <c r="AX16" s="66">
        <f t="shared" ref="AX16:AX29" si="11">AV16-AW16</f>
        <v>3456110</v>
      </c>
      <c r="AY16" s="66">
        <f>3214790-670</f>
        <v>3214120</v>
      </c>
      <c r="AZ16" s="67">
        <f t="shared" si="4"/>
        <v>3214120</v>
      </c>
      <c r="BA16" s="209">
        <v>0.2898</v>
      </c>
      <c r="BB16" s="212">
        <f t="shared" si="9"/>
        <v>931.45197600000006</v>
      </c>
    </row>
    <row r="17" spans="2:55" x14ac:dyDescent="0.35">
      <c r="B17" s="62">
        <v>44682</v>
      </c>
      <c r="C17" s="91"/>
      <c r="D17" s="91"/>
      <c r="E17" s="91"/>
      <c r="F17" s="91"/>
      <c r="G17" s="66"/>
      <c r="H17" s="66"/>
      <c r="I17" s="66">
        <f t="shared" si="0"/>
        <v>0</v>
      </c>
      <c r="J17" s="66"/>
      <c r="K17" s="94">
        <v>44682</v>
      </c>
      <c r="L17" s="91">
        <v>44666</v>
      </c>
      <c r="M17" s="91">
        <v>44696</v>
      </c>
      <c r="N17" s="66">
        <v>624160</v>
      </c>
      <c r="O17" s="66">
        <v>3040</v>
      </c>
      <c r="P17" s="66">
        <f t="shared" si="5"/>
        <v>621120</v>
      </c>
      <c r="Q17" s="66">
        <f>624160-O17</f>
        <v>621120</v>
      </c>
      <c r="R17" s="205">
        <f t="shared" si="1"/>
        <v>621120</v>
      </c>
      <c r="S17" s="209">
        <v>0.29649999999999999</v>
      </c>
      <c r="T17" s="212">
        <f t="shared" si="6"/>
        <v>184.16207999999997</v>
      </c>
      <c r="V17" s="62">
        <v>44682</v>
      </c>
      <c r="W17" s="68">
        <v>44696</v>
      </c>
      <c r="X17" s="69">
        <v>44727</v>
      </c>
      <c r="Y17" s="66">
        <v>103100</v>
      </c>
      <c r="Z17" s="66">
        <v>1400</v>
      </c>
      <c r="AA17" s="66">
        <f t="shared" si="10"/>
        <v>101700</v>
      </c>
      <c r="AB17" s="66">
        <f>103100-1400</f>
        <v>101700</v>
      </c>
      <c r="AC17" s="67">
        <f t="shared" si="2"/>
        <v>101700</v>
      </c>
      <c r="AD17" s="209">
        <v>0.29649999999999999</v>
      </c>
      <c r="AE17" s="212">
        <f t="shared" si="7"/>
        <v>30.154049999999998</v>
      </c>
      <c r="AG17" s="20">
        <v>44682</v>
      </c>
      <c r="AH17" s="14"/>
      <c r="AI17" s="14"/>
      <c r="AJ17" s="14"/>
      <c r="AK17" s="14"/>
      <c r="AL17" s="2"/>
      <c r="AM17" s="2"/>
      <c r="AN17" s="38">
        <f t="shared" si="3"/>
        <v>0</v>
      </c>
      <c r="AO17" s="209">
        <v>0.29649999999999999</v>
      </c>
      <c r="AP17" s="212">
        <f t="shared" si="8"/>
        <v>0</v>
      </c>
      <c r="AS17" s="62">
        <v>44682</v>
      </c>
      <c r="AT17" s="68">
        <v>44697</v>
      </c>
      <c r="AU17" s="70">
        <v>44727</v>
      </c>
      <c r="AV17" s="66">
        <v>4295250</v>
      </c>
      <c r="AW17" s="66">
        <v>1970</v>
      </c>
      <c r="AX17" s="66">
        <f t="shared" si="11"/>
        <v>4293280</v>
      </c>
      <c r="AY17" s="66">
        <f>4839768-AW17</f>
        <v>4837798</v>
      </c>
      <c r="AZ17" s="67">
        <f t="shared" si="4"/>
        <v>4293280</v>
      </c>
      <c r="BA17" s="209">
        <v>0.2898</v>
      </c>
      <c r="BB17" s="212">
        <f t="shared" si="9"/>
        <v>1244.192544</v>
      </c>
    </row>
    <row r="18" spans="2:55" ht="15" thickBot="1" x14ac:dyDescent="0.4">
      <c r="B18" s="62">
        <v>44713</v>
      </c>
      <c r="C18" s="91"/>
      <c r="D18" s="91"/>
      <c r="E18" s="91"/>
      <c r="F18" s="91"/>
      <c r="G18" s="66"/>
      <c r="H18" s="66"/>
      <c r="I18" s="66">
        <f t="shared" si="0"/>
        <v>0</v>
      </c>
      <c r="J18" s="66"/>
      <c r="K18" s="94">
        <v>44713</v>
      </c>
      <c r="L18" s="91">
        <v>44697</v>
      </c>
      <c r="M18" s="91">
        <v>44727</v>
      </c>
      <c r="N18" s="66">
        <v>591720</v>
      </c>
      <c r="O18" s="66">
        <v>3240</v>
      </c>
      <c r="P18" s="66">
        <f t="shared" si="5"/>
        <v>588480</v>
      </c>
      <c r="Q18" s="66">
        <f>591720-O18</f>
        <v>588480</v>
      </c>
      <c r="R18" s="205">
        <f t="shared" si="1"/>
        <v>588480</v>
      </c>
      <c r="S18" s="209">
        <v>0.29649999999999999</v>
      </c>
      <c r="T18" s="212">
        <f t="shared" si="6"/>
        <v>174.48431999999997</v>
      </c>
      <c r="V18" s="62">
        <v>44713</v>
      </c>
      <c r="W18" s="83">
        <v>44727</v>
      </c>
      <c r="X18" s="69">
        <v>44759</v>
      </c>
      <c r="Y18" s="66">
        <v>144460</v>
      </c>
      <c r="Z18" s="66">
        <v>1360</v>
      </c>
      <c r="AA18" s="66">
        <f t="shared" si="10"/>
        <v>143100</v>
      </c>
      <c r="AB18" s="66">
        <f>144460-1360</f>
        <v>143100</v>
      </c>
      <c r="AC18" s="67">
        <f t="shared" si="2"/>
        <v>143100</v>
      </c>
      <c r="AD18" s="209">
        <v>0.29649999999999999</v>
      </c>
      <c r="AE18" s="212">
        <f t="shared" si="7"/>
        <v>42.42915</v>
      </c>
      <c r="AG18" s="50">
        <v>44713</v>
      </c>
      <c r="AH18" s="48"/>
      <c r="AI18" s="48"/>
      <c r="AJ18" s="48"/>
      <c r="AK18" s="48"/>
      <c r="AL18" s="6"/>
      <c r="AM18" s="6"/>
      <c r="AN18" s="49">
        <f t="shared" si="3"/>
        <v>0</v>
      </c>
      <c r="AO18" s="209">
        <v>0.29649999999999999</v>
      </c>
      <c r="AP18" s="212">
        <f t="shared" si="8"/>
        <v>0</v>
      </c>
      <c r="AS18" s="62">
        <v>44713</v>
      </c>
      <c r="AT18" s="68">
        <v>44728</v>
      </c>
      <c r="AU18" s="69">
        <v>44759</v>
      </c>
      <c r="AV18" s="66">
        <v>3015330</v>
      </c>
      <c r="AW18" s="66">
        <v>6220</v>
      </c>
      <c r="AX18" s="66">
        <f t="shared" si="11"/>
        <v>3009110</v>
      </c>
      <c r="AY18" s="66">
        <f>3015330-AW18</f>
        <v>3009110</v>
      </c>
      <c r="AZ18" s="67">
        <f t="shared" si="4"/>
        <v>3009110</v>
      </c>
      <c r="BA18" s="209">
        <v>0.2898</v>
      </c>
      <c r="BB18" s="212">
        <f t="shared" si="9"/>
        <v>872.04007799999999</v>
      </c>
    </row>
    <row r="19" spans="2:55" x14ac:dyDescent="0.35">
      <c r="B19" s="62">
        <v>44743</v>
      </c>
      <c r="C19" s="91"/>
      <c r="D19" s="91"/>
      <c r="E19" s="91"/>
      <c r="F19" s="91"/>
      <c r="G19" s="66"/>
      <c r="H19" s="66"/>
      <c r="I19" s="66">
        <f t="shared" si="0"/>
        <v>0</v>
      </c>
      <c r="J19" s="66"/>
      <c r="K19" s="94">
        <v>44743</v>
      </c>
      <c r="L19" s="91">
        <v>44728</v>
      </c>
      <c r="M19" s="91">
        <v>44759</v>
      </c>
      <c r="N19" s="66">
        <v>570100</v>
      </c>
      <c r="O19" s="66">
        <v>3560</v>
      </c>
      <c r="P19" s="66">
        <f t="shared" si="5"/>
        <v>566540</v>
      </c>
      <c r="Q19" s="66">
        <f>570100-O19</f>
        <v>566540</v>
      </c>
      <c r="R19" s="205">
        <f t="shared" si="1"/>
        <v>566540</v>
      </c>
      <c r="S19" s="209">
        <v>0.29649999999999999</v>
      </c>
      <c r="T19" s="212">
        <f t="shared" si="6"/>
        <v>167.97910999999999</v>
      </c>
      <c r="V19" s="62">
        <v>44743</v>
      </c>
      <c r="W19" s="83">
        <v>44759</v>
      </c>
      <c r="X19" s="69">
        <v>44790</v>
      </c>
      <c r="Y19" s="66">
        <v>139450</v>
      </c>
      <c r="Z19" s="66">
        <v>1580</v>
      </c>
      <c r="AA19" s="66">
        <f t="shared" si="10"/>
        <v>137870</v>
      </c>
      <c r="AB19" s="66">
        <f>139450-1580</f>
        <v>137870</v>
      </c>
      <c r="AC19" s="67">
        <f t="shared" si="2"/>
        <v>137870</v>
      </c>
      <c r="AD19" s="209">
        <v>0.29649999999999999</v>
      </c>
      <c r="AE19" s="212">
        <f t="shared" si="7"/>
        <v>40.878454999999995</v>
      </c>
      <c r="AG19" s="75">
        <v>44743</v>
      </c>
      <c r="AH19" s="82">
        <v>44766</v>
      </c>
      <c r="AI19" s="64">
        <v>44790</v>
      </c>
      <c r="AJ19" s="65">
        <v>108420</v>
      </c>
      <c r="AK19" s="65">
        <v>1150</v>
      </c>
      <c r="AL19" s="65">
        <f>AJ19-AK19</f>
        <v>107270</v>
      </c>
      <c r="AM19" s="65">
        <f>105044.7-1150</f>
        <v>103894.7</v>
      </c>
      <c r="AN19" s="76">
        <f t="shared" si="3"/>
        <v>103894.7</v>
      </c>
      <c r="AO19" s="209">
        <v>0.29649999999999999</v>
      </c>
      <c r="AP19" s="212">
        <f t="shared" si="8"/>
        <v>30.804778549999998</v>
      </c>
      <c r="AS19" s="62">
        <v>44743</v>
      </c>
      <c r="AT19" s="68">
        <v>44760</v>
      </c>
      <c r="AU19" s="69">
        <v>44790</v>
      </c>
      <c r="AV19" s="66">
        <v>5716970</v>
      </c>
      <c r="AW19" s="66">
        <v>660</v>
      </c>
      <c r="AX19" s="66">
        <f t="shared" si="11"/>
        <v>5716310</v>
      </c>
      <c r="AY19" s="66">
        <f>5716970-AW19</f>
        <v>5716310</v>
      </c>
      <c r="AZ19" s="67">
        <f t="shared" si="4"/>
        <v>5716310</v>
      </c>
      <c r="BA19" s="209">
        <v>0.2898</v>
      </c>
      <c r="BB19" s="212">
        <f t="shared" si="9"/>
        <v>1656.586638</v>
      </c>
    </row>
    <row r="20" spans="2:55" x14ac:dyDescent="0.35">
      <c r="B20" s="62">
        <v>44774</v>
      </c>
      <c r="C20" s="91"/>
      <c r="D20" s="91"/>
      <c r="E20" s="91"/>
      <c r="F20" s="91"/>
      <c r="G20" s="66"/>
      <c r="H20" s="66"/>
      <c r="I20" s="66">
        <f t="shared" si="0"/>
        <v>0</v>
      </c>
      <c r="J20" s="66"/>
      <c r="K20" s="94">
        <v>44774</v>
      </c>
      <c r="L20" s="91">
        <v>44760</v>
      </c>
      <c r="M20" s="91">
        <v>44790</v>
      </c>
      <c r="N20" s="66">
        <v>502890</v>
      </c>
      <c r="O20" s="66">
        <v>3740</v>
      </c>
      <c r="P20" s="66">
        <f t="shared" si="5"/>
        <v>499150</v>
      </c>
      <c r="Q20" s="66">
        <f>502890-O20</f>
        <v>499150</v>
      </c>
      <c r="R20" s="205">
        <f t="shared" si="1"/>
        <v>499150</v>
      </c>
      <c r="S20" s="209">
        <v>0.29649999999999999</v>
      </c>
      <c r="T20" s="212">
        <f t="shared" si="6"/>
        <v>147.997975</v>
      </c>
      <c r="V20" s="62">
        <v>44774</v>
      </c>
      <c r="W20" s="68">
        <v>44790</v>
      </c>
      <c r="X20" s="69">
        <v>44821</v>
      </c>
      <c r="Y20" s="66">
        <v>104300</v>
      </c>
      <c r="Z20" s="66">
        <v>1470</v>
      </c>
      <c r="AA20" s="66">
        <f t="shared" si="10"/>
        <v>102830</v>
      </c>
      <c r="AB20" s="66">
        <f>104300-1470</f>
        <v>102830</v>
      </c>
      <c r="AC20" s="67">
        <f t="shared" si="2"/>
        <v>102830</v>
      </c>
      <c r="AD20" s="209">
        <v>0.29649999999999999</v>
      </c>
      <c r="AE20" s="212">
        <f t="shared" si="7"/>
        <v>30.489094999999999</v>
      </c>
      <c r="AG20" s="62">
        <v>44774</v>
      </c>
      <c r="AH20" s="68">
        <v>44791</v>
      </c>
      <c r="AI20" s="69">
        <v>44821</v>
      </c>
      <c r="AJ20" s="66">
        <v>123280</v>
      </c>
      <c r="AK20" s="66">
        <v>1500</v>
      </c>
      <c r="AL20" s="66">
        <f t="shared" ref="AL20:AL29" si="12">AJ20-AK20</f>
        <v>121780</v>
      </c>
      <c r="AM20" s="66">
        <f>122244.45-AK20</f>
        <v>120744.45</v>
      </c>
      <c r="AN20" s="67">
        <f t="shared" si="3"/>
        <v>120744.45</v>
      </c>
      <c r="AO20" s="209">
        <v>0.29649999999999999</v>
      </c>
      <c r="AP20" s="212">
        <f t="shared" si="8"/>
        <v>35.800729425</v>
      </c>
      <c r="AS20" s="62">
        <v>44774</v>
      </c>
      <c r="AT20" s="68">
        <v>44791</v>
      </c>
      <c r="AU20" s="69">
        <v>44821</v>
      </c>
      <c r="AV20" s="66">
        <v>5169070</v>
      </c>
      <c r="AW20" s="66">
        <v>380</v>
      </c>
      <c r="AX20" s="66">
        <f t="shared" si="11"/>
        <v>5168690</v>
      </c>
      <c r="AY20" s="66">
        <f>5169070-AW20</f>
        <v>5168690</v>
      </c>
      <c r="AZ20" s="67">
        <f t="shared" si="4"/>
        <v>5168690</v>
      </c>
      <c r="BA20" s="209">
        <v>0.2898</v>
      </c>
      <c r="BB20" s="212">
        <f t="shared" si="9"/>
        <v>1497.886362</v>
      </c>
    </row>
    <row r="21" spans="2:55" x14ac:dyDescent="0.35">
      <c r="B21" s="62">
        <v>44805</v>
      </c>
      <c r="C21" s="91"/>
      <c r="D21" s="91"/>
      <c r="E21" s="91"/>
      <c r="F21" s="91"/>
      <c r="G21" s="66"/>
      <c r="H21" s="66"/>
      <c r="I21" s="66">
        <f t="shared" si="0"/>
        <v>0</v>
      </c>
      <c r="J21" s="66"/>
      <c r="K21" s="94">
        <v>44805</v>
      </c>
      <c r="L21" s="91">
        <v>44791</v>
      </c>
      <c r="M21" s="91">
        <v>44821</v>
      </c>
      <c r="N21" s="66">
        <v>525550</v>
      </c>
      <c r="O21" s="66">
        <v>3910</v>
      </c>
      <c r="P21" s="66">
        <f t="shared" si="5"/>
        <v>521640</v>
      </c>
      <c r="Q21" s="66">
        <f>525550-3910</f>
        <v>521640</v>
      </c>
      <c r="R21" s="205">
        <f t="shared" si="1"/>
        <v>521640</v>
      </c>
      <c r="S21" s="209">
        <v>0.29649999999999999</v>
      </c>
      <c r="T21" s="212">
        <f t="shared" si="6"/>
        <v>154.66625999999999</v>
      </c>
      <c r="V21" s="62">
        <v>44805</v>
      </c>
      <c r="W21" s="68">
        <v>44821</v>
      </c>
      <c r="X21" s="69">
        <v>44852</v>
      </c>
      <c r="Y21" s="66">
        <v>143090</v>
      </c>
      <c r="Z21" s="66">
        <v>1480</v>
      </c>
      <c r="AA21" s="66">
        <f t="shared" si="10"/>
        <v>141610</v>
      </c>
      <c r="AB21" s="66">
        <f>131721-Z21</f>
        <v>130241</v>
      </c>
      <c r="AC21" s="67">
        <f t="shared" si="2"/>
        <v>130241</v>
      </c>
      <c r="AD21" s="209">
        <v>0.29649999999999999</v>
      </c>
      <c r="AE21" s="212">
        <f t="shared" si="7"/>
        <v>38.616456499999998</v>
      </c>
      <c r="AG21" s="62">
        <v>44805</v>
      </c>
      <c r="AH21" s="68">
        <v>44822</v>
      </c>
      <c r="AI21" s="69">
        <v>44852</v>
      </c>
      <c r="AJ21" s="66">
        <v>131980</v>
      </c>
      <c r="AK21" s="66">
        <v>1450</v>
      </c>
      <c r="AL21" s="66">
        <f t="shared" si="12"/>
        <v>130530</v>
      </c>
      <c r="AM21" s="66">
        <f>128177-1450</f>
        <v>126727</v>
      </c>
      <c r="AN21" s="67">
        <f t="shared" si="3"/>
        <v>126727</v>
      </c>
      <c r="AO21" s="209">
        <v>0.29649999999999999</v>
      </c>
      <c r="AP21" s="212">
        <f t="shared" si="8"/>
        <v>37.574555499999995</v>
      </c>
      <c r="AS21" s="62">
        <v>44805</v>
      </c>
      <c r="AT21" s="68">
        <v>44822</v>
      </c>
      <c r="AU21" s="69">
        <v>44855</v>
      </c>
      <c r="AV21" s="66">
        <v>5501370</v>
      </c>
      <c r="AW21" s="66">
        <v>580</v>
      </c>
      <c r="AX21" s="66">
        <f t="shared" si="11"/>
        <v>5500790</v>
      </c>
      <c r="AY21" s="66">
        <f>5501370-580</f>
        <v>5500790</v>
      </c>
      <c r="AZ21" s="67">
        <f t="shared" si="4"/>
        <v>5500790</v>
      </c>
      <c r="BA21" s="209">
        <v>0.2898</v>
      </c>
      <c r="BB21" s="212">
        <f t="shared" si="9"/>
        <v>1594.1289420000001</v>
      </c>
    </row>
    <row r="22" spans="2:55" x14ac:dyDescent="0.35">
      <c r="B22" s="62">
        <v>44835</v>
      </c>
      <c r="C22" s="91"/>
      <c r="D22" s="91"/>
      <c r="E22" s="91"/>
      <c r="F22" s="91"/>
      <c r="G22" s="66"/>
      <c r="H22" s="66"/>
      <c r="I22" s="66">
        <f t="shared" si="0"/>
        <v>0</v>
      </c>
      <c r="J22" s="66"/>
      <c r="K22" s="94">
        <v>44835</v>
      </c>
      <c r="L22" s="91">
        <v>44822</v>
      </c>
      <c r="M22" s="91">
        <v>44852</v>
      </c>
      <c r="N22" s="66">
        <v>546470</v>
      </c>
      <c r="O22" s="66">
        <v>3960</v>
      </c>
      <c r="P22" s="66">
        <f t="shared" si="5"/>
        <v>542510</v>
      </c>
      <c r="Q22" s="66">
        <f>533806-3960</f>
        <v>529846</v>
      </c>
      <c r="R22" s="205">
        <f t="shared" si="1"/>
        <v>529846</v>
      </c>
      <c r="S22" s="209">
        <v>0.29649999999999999</v>
      </c>
      <c r="T22" s="212">
        <f t="shared" si="6"/>
        <v>157.09933899999999</v>
      </c>
      <c r="V22" s="62">
        <v>44835</v>
      </c>
      <c r="W22" s="68">
        <v>44852</v>
      </c>
      <c r="X22" s="69">
        <v>44882</v>
      </c>
      <c r="Y22" s="66">
        <v>140130</v>
      </c>
      <c r="Z22" s="66">
        <v>1180</v>
      </c>
      <c r="AA22" s="66">
        <f t="shared" si="10"/>
        <v>138950</v>
      </c>
      <c r="AB22" s="66">
        <f>124073-1180</f>
        <v>122893</v>
      </c>
      <c r="AC22" s="67">
        <f t="shared" si="2"/>
        <v>122893</v>
      </c>
      <c r="AD22" s="209">
        <v>0.29649999999999999</v>
      </c>
      <c r="AE22" s="212">
        <f t="shared" si="7"/>
        <v>36.437774499999996</v>
      </c>
      <c r="AG22" s="62">
        <v>44835</v>
      </c>
      <c r="AH22" s="68">
        <v>44853</v>
      </c>
      <c r="AI22" s="69">
        <v>44882</v>
      </c>
      <c r="AJ22" s="66">
        <v>123040</v>
      </c>
      <c r="AK22" s="66">
        <v>1410</v>
      </c>
      <c r="AL22" s="66">
        <f t="shared" si="12"/>
        <v>121630</v>
      </c>
      <c r="AM22" s="66">
        <f>120073-AK22</f>
        <v>118663</v>
      </c>
      <c r="AN22" s="67">
        <f t="shared" si="3"/>
        <v>118663</v>
      </c>
      <c r="AO22" s="209">
        <v>0.29649999999999999</v>
      </c>
      <c r="AP22" s="212">
        <f t="shared" si="8"/>
        <v>35.1835795</v>
      </c>
      <c r="AS22" s="62">
        <v>44835</v>
      </c>
      <c r="AT22" s="68">
        <v>44856</v>
      </c>
      <c r="AU22" s="69">
        <v>44882</v>
      </c>
      <c r="AV22" s="66">
        <v>4725330</v>
      </c>
      <c r="AW22" s="66">
        <v>250</v>
      </c>
      <c r="AX22" s="66">
        <f t="shared" si="11"/>
        <v>4725080</v>
      </c>
      <c r="AY22" s="66">
        <f>4725330-AW22</f>
        <v>4725080</v>
      </c>
      <c r="AZ22" s="67">
        <f t="shared" si="4"/>
        <v>4725080</v>
      </c>
      <c r="BA22" s="209">
        <v>0.2898</v>
      </c>
      <c r="BB22" s="212">
        <f t="shared" si="9"/>
        <v>1369.3281840000002</v>
      </c>
    </row>
    <row r="23" spans="2:55" x14ac:dyDescent="0.35">
      <c r="B23" s="62">
        <v>44866</v>
      </c>
      <c r="C23" s="91"/>
      <c r="D23" s="91"/>
      <c r="E23" s="91"/>
      <c r="F23" s="91"/>
      <c r="G23" s="66"/>
      <c r="H23" s="66"/>
      <c r="I23" s="66">
        <f t="shared" si="0"/>
        <v>0</v>
      </c>
      <c r="J23" s="66"/>
      <c r="K23" s="94">
        <v>44866</v>
      </c>
      <c r="L23" s="91">
        <v>44853</v>
      </c>
      <c r="M23" s="91">
        <v>44882</v>
      </c>
      <c r="N23" s="66">
        <v>523610</v>
      </c>
      <c r="O23" s="66">
        <v>3540</v>
      </c>
      <c r="P23" s="66">
        <f t="shared" si="5"/>
        <v>520070</v>
      </c>
      <c r="Q23" s="66">
        <f>509359-O23</f>
        <v>505819</v>
      </c>
      <c r="R23" s="205">
        <f t="shared" si="1"/>
        <v>505819</v>
      </c>
      <c r="S23" s="209">
        <v>0.29649999999999999</v>
      </c>
      <c r="T23" s="212">
        <f t="shared" si="6"/>
        <v>149.97533349999998</v>
      </c>
      <c r="V23" s="62">
        <v>44866</v>
      </c>
      <c r="W23" s="68">
        <v>44882</v>
      </c>
      <c r="X23" s="69">
        <v>44911</v>
      </c>
      <c r="Y23" s="66">
        <v>121950</v>
      </c>
      <c r="Z23" s="66">
        <v>1440</v>
      </c>
      <c r="AA23" s="66">
        <f t="shared" si="10"/>
        <v>120510</v>
      </c>
      <c r="AB23" s="66">
        <f>112976-Z23</f>
        <v>111536</v>
      </c>
      <c r="AC23" s="67">
        <f t="shared" si="2"/>
        <v>111536</v>
      </c>
      <c r="AD23" s="209">
        <v>0.29649999999999999</v>
      </c>
      <c r="AE23" s="212">
        <f t="shared" si="7"/>
        <v>33.070423999999996</v>
      </c>
      <c r="AG23" s="62">
        <v>44866</v>
      </c>
      <c r="AH23" s="68">
        <v>44913</v>
      </c>
      <c r="AI23" s="69">
        <v>44911</v>
      </c>
      <c r="AJ23" s="66">
        <v>102630</v>
      </c>
      <c r="AK23" s="66">
        <v>1400</v>
      </c>
      <c r="AL23" s="66">
        <f t="shared" si="12"/>
        <v>101230</v>
      </c>
      <c r="AM23" s="66">
        <f>101767.9</f>
        <v>101767.9</v>
      </c>
      <c r="AN23" s="67">
        <f t="shared" si="3"/>
        <v>101230</v>
      </c>
      <c r="AO23" s="209">
        <v>0.29649999999999999</v>
      </c>
      <c r="AP23" s="212">
        <f t="shared" si="8"/>
        <v>30.014695</v>
      </c>
      <c r="AS23" s="62">
        <v>44866</v>
      </c>
      <c r="AT23" s="68">
        <v>44883</v>
      </c>
      <c r="AU23" s="69">
        <v>44911</v>
      </c>
      <c r="AV23" s="66">
        <v>3116840</v>
      </c>
      <c r="AW23" s="66">
        <v>520</v>
      </c>
      <c r="AX23" s="66">
        <f t="shared" si="11"/>
        <v>3116320</v>
      </c>
      <c r="AY23" s="66">
        <f>3116840-520</f>
        <v>3116320</v>
      </c>
      <c r="AZ23" s="67">
        <f t="shared" si="4"/>
        <v>3116320</v>
      </c>
      <c r="BA23" s="209">
        <v>0.2898</v>
      </c>
      <c r="BB23" s="212">
        <f t="shared" si="9"/>
        <v>903.10953599999993</v>
      </c>
    </row>
    <row r="24" spans="2:55" x14ac:dyDescent="0.35">
      <c r="B24" s="62">
        <v>44896</v>
      </c>
      <c r="C24" s="91"/>
      <c r="D24" s="91"/>
      <c r="E24" s="91"/>
      <c r="F24" s="91"/>
      <c r="G24" s="66"/>
      <c r="H24" s="66"/>
      <c r="I24" s="66">
        <f t="shared" si="0"/>
        <v>0</v>
      </c>
      <c r="J24" s="66"/>
      <c r="K24" s="94">
        <v>44896</v>
      </c>
      <c r="L24" s="91">
        <v>44883</v>
      </c>
      <c r="M24" s="91">
        <v>44911</v>
      </c>
      <c r="N24" s="66">
        <v>412470</v>
      </c>
      <c r="O24" s="66">
        <v>3610</v>
      </c>
      <c r="P24" s="66">
        <f t="shared" si="5"/>
        <v>408860</v>
      </c>
      <c r="Q24" s="66">
        <f>412470-O24</f>
        <v>408860</v>
      </c>
      <c r="R24" s="205">
        <f t="shared" si="1"/>
        <v>408860</v>
      </c>
      <c r="S24" s="209">
        <v>0.29649999999999999</v>
      </c>
      <c r="T24" s="212">
        <f t="shared" si="6"/>
        <v>121.22698999999999</v>
      </c>
      <c r="V24" s="62">
        <v>44896</v>
      </c>
      <c r="W24" s="68">
        <v>44912</v>
      </c>
      <c r="X24" s="69">
        <v>44941</v>
      </c>
      <c r="Y24" s="66">
        <v>82510</v>
      </c>
      <c r="Z24" s="66">
        <v>2040</v>
      </c>
      <c r="AA24" s="66">
        <f t="shared" si="10"/>
        <v>80470</v>
      </c>
      <c r="AB24" s="66">
        <f>82510-2040</f>
        <v>80470</v>
      </c>
      <c r="AC24" s="67">
        <f t="shared" si="2"/>
        <v>80470</v>
      </c>
      <c r="AD24" s="209">
        <v>0.29649999999999999</v>
      </c>
      <c r="AE24" s="212">
        <f t="shared" si="7"/>
        <v>23.859355000000001</v>
      </c>
      <c r="AF24" s="4">
        <f>SUM(AE13:AE24)</f>
        <v>417.08477099999993</v>
      </c>
      <c r="AG24" s="62">
        <v>44896</v>
      </c>
      <c r="AH24" s="83">
        <v>44912</v>
      </c>
      <c r="AI24" s="69">
        <v>44941</v>
      </c>
      <c r="AJ24" s="66">
        <v>59540</v>
      </c>
      <c r="AK24" s="66">
        <v>2070</v>
      </c>
      <c r="AL24" s="66">
        <f t="shared" si="12"/>
        <v>57470</v>
      </c>
      <c r="AM24" s="66">
        <f>59039.9-2070</f>
        <v>56969.9</v>
      </c>
      <c r="AN24" s="67">
        <f t="shared" si="3"/>
        <v>56969.9</v>
      </c>
      <c r="AO24" s="209">
        <v>0.29649999999999999</v>
      </c>
      <c r="AP24" s="212">
        <f t="shared" si="8"/>
        <v>16.89157535</v>
      </c>
      <c r="AQ24" s="4">
        <f>SUM(AP13:AP24)</f>
        <v>186.269913325</v>
      </c>
      <c r="AS24" s="62">
        <v>44896</v>
      </c>
      <c r="AT24" s="68">
        <v>44912</v>
      </c>
      <c r="AU24" s="69">
        <v>44941</v>
      </c>
      <c r="AV24" s="66">
        <v>1566930</v>
      </c>
      <c r="AW24" s="66">
        <v>3020</v>
      </c>
      <c r="AX24" s="66">
        <f t="shared" si="11"/>
        <v>1563910</v>
      </c>
      <c r="AY24" s="66">
        <f>1566930-AW24</f>
        <v>1563910</v>
      </c>
      <c r="AZ24" s="67">
        <f t="shared" si="4"/>
        <v>1563910</v>
      </c>
      <c r="BA24" s="209">
        <v>0.2898</v>
      </c>
      <c r="BB24" s="212">
        <f t="shared" si="9"/>
        <v>453.22111799999999</v>
      </c>
      <c r="BC24" s="4">
        <f>SUM(BB13:BB24)</f>
        <v>10909.6059114</v>
      </c>
    </row>
    <row r="25" spans="2:55" x14ac:dyDescent="0.35">
      <c r="B25" s="62">
        <v>44927</v>
      </c>
      <c r="C25" s="91"/>
      <c r="D25" s="91"/>
      <c r="E25" s="91"/>
      <c r="F25" s="91"/>
      <c r="G25" s="66"/>
      <c r="H25" s="66"/>
      <c r="I25" s="66">
        <f t="shared" si="0"/>
        <v>0</v>
      </c>
      <c r="J25" s="66"/>
      <c r="K25" s="94">
        <v>44927</v>
      </c>
      <c r="L25" s="91">
        <v>44912</v>
      </c>
      <c r="M25" s="91">
        <v>44941</v>
      </c>
      <c r="N25" s="66">
        <v>281590</v>
      </c>
      <c r="O25" s="66">
        <v>4300</v>
      </c>
      <c r="P25" s="66">
        <f t="shared" si="5"/>
        <v>277290</v>
      </c>
      <c r="Q25" s="66">
        <f>281590-O25</f>
        <v>277290</v>
      </c>
      <c r="R25" s="205">
        <f t="shared" si="1"/>
        <v>277290</v>
      </c>
      <c r="S25" s="209">
        <v>0.29649999999999999</v>
      </c>
      <c r="T25" s="212">
        <f t="shared" si="6"/>
        <v>82.216485000000006</v>
      </c>
      <c r="V25" s="62">
        <v>44927</v>
      </c>
      <c r="W25" s="68">
        <v>44942</v>
      </c>
      <c r="X25" s="69">
        <v>44970</v>
      </c>
      <c r="Y25" s="66">
        <v>96230</v>
      </c>
      <c r="Z25" s="66">
        <v>1430</v>
      </c>
      <c r="AA25" s="66">
        <f t="shared" si="10"/>
        <v>94800</v>
      </c>
      <c r="AB25" s="66">
        <f>96230-1430</f>
        <v>94800</v>
      </c>
      <c r="AC25" s="67">
        <f t="shared" si="2"/>
        <v>94800</v>
      </c>
      <c r="AD25" s="209">
        <v>0.29649999999999999</v>
      </c>
      <c r="AE25" s="212">
        <f t="shared" si="7"/>
        <v>28.108199999999997</v>
      </c>
      <c r="AG25" s="62">
        <v>44927</v>
      </c>
      <c r="AH25" s="83">
        <v>44942</v>
      </c>
      <c r="AI25" s="69">
        <v>44970</v>
      </c>
      <c r="AJ25" s="66">
        <v>77800</v>
      </c>
      <c r="AK25" s="66">
        <v>2060</v>
      </c>
      <c r="AL25" s="66">
        <f t="shared" si="12"/>
        <v>75740</v>
      </c>
      <c r="AM25" s="66">
        <f>77146.5-2060</f>
        <v>75086.5</v>
      </c>
      <c r="AN25" s="67">
        <f t="shared" si="3"/>
        <v>75086.5</v>
      </c>
      <c r="AO25" s="209">
        <v>0.29649999999999999</v>
      </c>
      <c r="AP25" s="212">
        <f t="shared" si="8"/>
        <v>22.263147249999999</v>
      </c>
      <c r="AS25" s="62">
        <v>44927</v>
      </c>
      <c r="AT25" s="68">
        <v>44942</v>
      </c>
      <c r="AU25" s="69">
        <v>44970</v>
      </c>
      <c r="AV25" s="66">
        <v>1480290</v>
      </c>
      <c r="AW25" s="66">
        <v>30</v>
      </c>
      <c r="AX25" s="66">
        <f t="shared" si="11"/>
        <v>1480260</v>
      </c>
      <c r="AY25" s="66">
        <f>1480290-AW25</f>
        <v>1480260</v>
      </c>
      <c r="AZ25" s="67">
        <f t="shared" si="4"/>
        <v>1480260</v>
      </c>
      <c r="BA25" s="209">
        <v>0.2898</v>
      </c>
      <c r="BB25" s="212">
        <f t="shared" si="9"/>
        <v>428.97934800000002</v>
      </c>
    </row>
    <row r="26" spans="2:55" x14ac:dyDescent="0.35">
      <c r="B26" s="62">
        <v>44958</v>
      </c>
      <c r="C26" s="91"/>
      <c r="D26" s="91"/>
      <c r="E26" s="91"/>
      <c r="F26" s="91"/>
      <c r="G26" s="66"/>
      <c r="H26" s="66"/>
      <c r="I26" s="66">
        <f t="shared" si="0"/>
        <v>0</v>
      </c>
      <c r="J26" s="66"/>
      <c r="K26" s="94">
        <v>44958</v>
      </c>
      <c r="L26" s="91">
        <v>44942</v>
      </c>
      <c r="M26" s="91">
        <v>44970</v>
      </c>
      <c r="N26" s="66">
        <v>351290</v>
      </c>
      <c r="O26" s="66">
        <v>3690</v>
      </c>
      <c r="P26" s="66">
        <f t="shared" si="5"/>
        <v>347600</v>
      </c>
      <c r="Q26" s="66">
        <f>351290-O26</f>
        <v>347600</v>
      </c>
      <c r="R26" s="205">
        <f t="shared" si="1"/>
        <v>347600</v>
      </c>
      <c r="S26" s="209">
        <v>0.29649999999999999</v>
      </c>
      <c r="T26" s="212">
        <f t="shared" si="6"/>
        <v>103.06339999999999</v>
      </c>
      <c r="U26" s="4">
        <f>SUM(T14:T26)</f>
        <v>1897.1306404999998</v>
      </c>
      <c r="V26" s="62">
        <v>44958</v>
      </c>
      <c r="W26" s="68">
        <v>44971</v>
      </c>
      <c r="X26" s="69">
        <v>45000</v>
      </c>
      <c r="Y26" s="66">
        <v>122800</v>
      </c>
      <c r="Z26" s="66">
        <v>1030</v>
      </c>
      <c r="AA26" s="66">
        <f t="shared" si="10"/>
        <v>121770</v>
      </c>
      <c r="AB26" s="66">
        <f>122800-1030</f>
        <v>121770</v>
      </c>
      <c r="AC26" s="67">
        <f t="shared" si="2"/>
        <v>121770</v>
      </c>
      <c r="AD26" s="209">
        <v>0.29649999999999999</v>
      </c>
      <c r="AE26" s="212">
        <f t="shared" si="7"/>
        <v>36.104804999999999</v>
      </c>
      <c r="AG26" s="62">
        <v>44958</v>
      </c>
      <c r="AH26" s="68">
        <v>44971</v>
      </c>
      <c r="AI26" s="69">
        <v>45000</v>
      </c>
      <c r="AJ26" s="66">
        <v>105040</v>
      </c>
      <c r="AK26" s="66">
        <v>1550</v>
      </c>
      <c r="AL26" s="66">
        <f t="shared" si="12"/>
        <v>103490</v>
      </c>
      <c r="AM26" s="66">
        <f>104157.66-1550</f>
        <v>102607.66</v>
      </c>
      <c r="AN26" s="67">
        <f t="shared" si="3"/>
        <v>102607.66</v>
      </c>
      <c r="AO26" s="209">
        <v>0.29649999999999999</v>
      </c>
      <c r="AP26" s="212">
        <f t="shared" si="8"/>
        <v>30.423171190000001</v>
      </c>
      <c r="AS26" s="62">
        <v>44958</v>
      </c>
      <c r="AT26" s="71">
        <v>44971</v>
      </c>
      <c r="AU26" s="72">
        <v>45000</v>
      </c>
      <c r="AV26" s="73">
        <v>1394920</v>
      </c>
      <c r="AW26" s="73">
        <v>90</v>
      </c>
      <c r="AX26" s="66">
        <f t="shared" si="11"/>
        <v>1394830</v>
      </c>
      <c r="AY26" s="73">
        <f>1394920-AW26</f>
        <v>1394830</v>
      </c>
      <c r="AZ26" s="67">
        <f t="shared" si="4"/>
        <v>1394830</v>
      </c>
      <c r="BA26" s="209">
        <v>0.2898</v>
      </c>
      <c r="BB26" s="212">
        <f t="shared" si="9"/>
        <v>404.22173399999997</v>
      </c>
    </row>
    <row r="27" spans="2:55" x14ac:dyDescent="0.35">
      <c r="B27" s="62">
        <v>44986</v>
      </c>
      <c r="C27" s="91"/>
      <c r="D27" s="91"/>
      <c r="E27" s="91"/>
      <c r="F27" s="91"/>
      <c r="G27" s="66"/>
      <c r="H27" s="66"/>
      <c r="I27" s="66">
        <f t="shared" si="0"/>
        <v>0</v>
      </c>
      <c r="J27" s="66"/>
      <c r="K27" s="94">
        <v>44986</v>
      </c>
      <c r="L27" s="91">
        <v>44971</v>
      </c>
      <c r="M27" s="91">
        <v>45000</v>
      </c>
      <c r="N27" s="66">
        <v>446100</v>
      </c>
      <c r="O27" s="66">
        <v>3320</v>
      </c>
      <c r="P27" s="66">
        <f t="shared" si="5"/>
        <v>442780</v>
      </c>
      <c r="Q27" s="66">
        <f>446100-3320</f>
        <v>442780</v>
      </c>
      <c r="R27" s="205">
        <f t="shared" si="1"/>
        <v>442780</v>
      </c>
      <c r="S27" s="209">
        <v>0.29649999999999999</v>
      </c>
      <c r="T27" s="212">
        <f t="shared" si="6"/>
        <v>131.28426999999999</v>
      </c>
      <c r="V27" s="62">
        <v>44986</v>
      </c>
      <c r="W27" s="74">
        <v>45001</v>
      </c>
      <c r="X27" s="85">
        <v>45030</v>
      </c>
      <c r="Y27" s="73">
        <v>156410</v>
      </c>
      <c r="Z27" s="73">
        <v>950</v>
      </c>
      <c r="AA27" s="66">
        <f t="shared" si="10"/>
        <v>155460</v>
      </c>
      <c r="AB27" s="73">
        <f>156410-950</f>
        <v>155460</v>
      </c>
      <c r="AC27" s="67">
        <f t="shared" si="2"/>
        <v>155460</v>
      </c>
      <c r="AD27" s="209">
        <v>0.29649999999999999</v>
      </c>
      <c r="AE27" s="212">
        <f t="shared" si="7"/>
        <v>46.093890000000002</v>
      </c>
      <c r="AG27" s="62">
        <v>44986</v>
      </c>
      <c r="AH27" s="68">
        <v>44636</v>
      </c>
      <c r="AI27" s="69">
        <v>45030</v>
      </c>
      <c r="AJ27" s="66">
        <v>153770</v>
      </c>
      <c r="AK27" s="66">
        <v>1250</v>
      </c>
      <c r="AL27" s="66">
        <f t="shared" si="12"/>
        <v>152520</v>
      </c>
      <c r="AM27" s="66">
        <f>152478.33-1250</f>
        <v>151228.32999999999</v>
      </c>
      <c r="AN27" s="67">
        <f t="shared" si="3"/>
        <v>151228.32999999999</v>
      </c>
      <c r="AO27" s="209">
        <v>0.29649999999999999</v>
      </c>
      <c r="AP27" s="212">
        <f t="shared" si="8"/>
        <v>44.839199844999996</v>
      </c>
      <c r="AS27" s="62">
        <v>44986</v>
      </c>
      <c r="AT27" s="68">
        <v>45001</v>
      </c>
      <c r="AU27" s="69">
        <v>45030</v>
      </c>
      <c r="AV27" s="66">
        <v>1852300</v>
      </c>
      <c r="AW27" s="66">
        <v>610</v>
      </c>
      <c r="AX27" s="66">
        <f t="shared" si="11"/>
        <v>1851690</v>
      </c>
      <c r="AY27" s="66">
        <f>1852300-610</f>
        <v>1851690</v>
      </c>
      <c r="AZ27" s="67">
        <f t="shared" si="4"/>
        <v>1851690</v>
      </c>
      <c r="BA27" s="209">
        <v>0.2898</v>
      </c>
      <c r="BB27" s="212">
        <f t="shared" si="9"/>
        <v>536.61976200000004</v>
      </c>
    </row>
    <row r="28" spans="2:55" x14ac:dyDescent="0.35">
      <c r="B28" s="62">
        <v>45017</v>
      </c>
      <c r="C28" s="91"/>
      <c r="D28" s="91"/>
      <c r="E28" s="91"/>
      <c r="F28" s="91"/>
      <c r="G28" s="66"/>
      <c r="H28" s="66"/>
      <c r="I28" s="66">
        <f t="shared" si="0"/>
        <v>0</v>
      </c>
      <c r="J28" s="66"/>
      <c r="K28" s="94">
        <v>45017</v>
      </c>
      <c r="L28" s="91">
        <v>45001</v>
      </c>
      <c r="M28" s="91">
        <v>45030</v>
      </c>
      <c r="N28" s="66">
        <v>605580</v>
      </c>
      <c r="O28" s="66">
        <v>3040</v>
      </c>
      <c r="P28" s="66">
        <f t="shared" si="5"/>
        <v>602540</v>
      </c>
      <c r="Q28" s="66">
        <f>605580-O28</f>
        <v>602540</v>
      </c>
      <c r="R28" s="205">
        <f t="shared" si="1"/>
        <v>602540</v>
      </c>
      <c r="S28" s="209">
        <v>0.29649999999999999</v>
      </c>
      <c r="T28" s="212">
        <f t="shared" si="6"/>
        <v>178.65311</v>
      </c>
      <c r="V28" s="62">
        <v>45017</v>
      </c>
      <c r="W28" s="69">
        <v>45031</v>
      </c>
      <c r="X28" s="69">
        <v>45061</v>
      </c>
      <c r="Y28" s="66">
        <v>143660</v>
      </c>
      <c r="Z28" s="66">
        <v>960</v>
      </c>
      <c r="AA28" s="66">
        <f t="shared" si="10"/>
        <v>142700</v>
      </c>
      <c r="AB28" s="86">
        <f>Y28-Z28</f>
        <v>142700</v>
      </c>
      <c r="AC28" s="67">
        <f t="shared" si="2"/>
        <v>142700</v>
      </c>
      <c r="AD28" s="209">
        <v>0.29649999999999999</v>
      </c>
      <c r="AE28" s="212">
        <f t="shared" si="7"/>
        <v>42.310549999999992</v>
      </c>
      <c r="AG28" s="62">
        <v>45017</v>
      </c>
      <c r="AH28" s="68">
        <v>45031</v>
      </c>
      <c r="AI28" s="69">
        <v>45061</v>
      </c>
      <c r="AJ28" s="66">
        <v>145650</v>
      </c>
      <c r="AK28" s="66">
        <v>1430</v>
      </c>
      <c r="AL28" s="66">
        <f t="shared" si="12"/>
        <v>144220</v>
      </c>
      <c r="AM28" s="66">
        <f>144426.54-AK28</f>
        <v>142996.54</v>
      </c>
      <c r="AN28" s="67">
        <f t="shared" si="3"/>
        <v>142996.54</v>
      </c>
      <c r="AO28" s="209">
        <v>0.29649999999999999</v>
      </c>
      <c r="AP28" s="212">
        <f t="shared" si="8"/>
        <v>42.398474110000002</v>
      </c>
      <c r="AS28" s="62">
        <v>45017</v>
      </c>
      <c r="AT28" s="74">
        <v>45031</v>
      </c>
      <c r="AU28" s="69">
        <v>45061</v>
      </c>
      <c r="AV28" s="66">
        <v>2757790</v>
      </c>
      <c r="AW28" s="66">
        <v>650</v>
      </c>
      <c r="AX28" s="66">
        <f t="shared" si="11"/>
        <v>2757140</v>
      </c>
      <c r="AY28" s="66">
        <f>2757790-650</f>
        <v>2757140</v>
      </c>
      <c r="AZ28" s="67">
        <f t="shared" si="4"/>
        <v>2757140</v>
      </c>
      <c r="BA28" s="209">
        <v>0.2898</v>
      </c>
      <c r="BB28" s="212">
        <f t="shared" si="9"/>
        <v>799.01917200000003</v>
      </c>
    </row>
    <row r="29" spans="2:55" ht="15" thickBot="1" x14ac:dyDescent="0.4">
      <c r="B29" s="77">
        <v>45047</v>
      </c>
      <c r="C29" s="93"/>
      <c r="D29" s="93"/>
      <c r="E29" s="93"/>
      <c r="F29" s="93"/>
      <c r="G29" s="80"/>
      <c r="H29" s="80"/>
      <c r="I29" s="80">
        <f t="shared" si="0"/>
        <v>0</v>
      </c>
      <c r="J29" s="80"/>
      <c r="K29" s="96">
        <v>45047</v>
      </c>
      <c r="L29" s="93">
        <v>45031</v>
      </c>
      <c r="M29" s="93">
        <v>45061</v>
      </c>
      <c r="N29" s="80">
        <v>655400</v>
      </c>
      <c r="O29" s="80">
        <v>3100</v>
      </c>
      <c r="P29" s="80">
        <f t="shared" si="5"/>
        <v>652300</v>
      </c>
      <c r="Q29" s="80">
        <f>531710-2980</f>
        <v>528730</v>
      </c>
      <c r="R29" s="206">
        <f t="shared" si="1"/>
        <v>528730</v>
      </c>
      <c r="S29" s="209">
        <v>0.29649999999999999</v>
      </c>
      <c r="T29" s="212">
        <f t="shared" si="6"/>
        <v>156.76844500000001</v>
      </c>
      <c r="U29" s="4">
        <f>SUM(T27:T29)</f>
        <v>466.705825</v>
      </c>
      <c r="V29" s="77">
        <v>45047</v>
      </c>
      <c r="W29" s="84">
        <v>45062</v>
      </c>
      <c r="X29" s="79">
        <v>45093</v>
      </c>
      <c r="Y29" s="80">
        <v>147580</v>
      </c>
      <c r="Z29" s="80">
        <v>1300</v>
      </c>
      <c r="AA29" s="80">
        <f t="shared" si="10"/>
        <v>146280</v>
      </c>
      <c r="AB29" s="80">
        <f>Y29-Z29</f>
        <v>146280</v>
      </c>
      <c r="AC29" s="81">
        <f t="shared" si="2"/>
        <v>146280</v>
      </c>
      <c r="AD29" s="209">
        <v>0.29649999999999999</v>
      </c>
      <c r="AE29" s="212">
        <f t="shared" si="7"/>
        <v>43.372019999999999</v>
      </c>
      <c r="AF29" s="4">
        <f>SUM(AE25:AE29)</f>
        <v>195.98946499999997</v>
      </c>
      <c r="AG29" s="77">
        <v>45047</v>
      </c>
      <c r="AH29" s="84">
        <v>45062</v>
      </c>
      <c r="AI29" s="79">
        <v>45093</v>
      </c>
      <c r="AJ29" s="80">
        <v>168670</v>
      </c>
      <c r="AK29" s="80">
        <v>1320</v>
      </c>
      <c r="AL29" s="80">
        <f t="shared" si="12"/>
        <v>167350</v>
      </c>
      <c r="AM29" s="80">
        <f>167253.17-1320</f>
        <v>165933.17000000001</v>
      </c>
      <c r="AN29" s="81">
        <f t="shared" si="3"/>
        <v>165933.17000000001</v>
      </c>
      <c r="AO29" s="209">
        <v>0.29649999999999999</v>
      </c>
      <c r="AP29" s="212">
        <f t="shared" si="8"/>
        <v>49.199184905000003</v>
      </c>
      <c r="AQ29" s="4">
        <f>SUM(AP25:AP29)</f>
        <v>189.12317730000001</v>
      </c>
      <c r="AS29" s="77">
        <v>45047</v>
      </c>
      <c r="AT29" s="78">
        <v>45062</v>
      </c>
      <c r="AU29" s="79">
        <v>45093</v>
      </c>
      <c r="AV29" s="80">
        <v>3851150</v>
      </c>
      <c r="AW29" s="80">
        <v>490</v>
      </c>
      <c r="AX29" s="80">
        <f t="shared" si="11"/>
        <v>3850660</v>
      </c>
      <c r="AY29" s="80">
        <f>3851150-490</f>
        <v>3850660</v>
      </c>
      <c r="AZ29" s="81">
        <f t="shared" si="4"/>
        <v>3850660</v>
      </c>
      <c r="BA29" s="209">
        <v>0.2898</v>
      </c>
      <c r="BB29" s="212">
        <f t="shared" si="9"/>
        <v>1115.9212679999998</v>
      </c>
      <c r="BC29" s="4">
        <f>SUM(BB25:BB29)</f>
        <v>3284.7612840000002</v>
      </c>
    </row>
    <row r="30" spans="2:55" s="35" customFormat="1" ht="15" thickBot="1" x14ac:dyDescent="0.4">
      <c r="B30" s="87" t="s">
        <v>22</v>
      </c>
      <c r="C30" s="88" t="s">
        <v>21</v>
      </c>
      <c r="D30" s="88" t="s">
        <v>21</v>
      </c>
      <c r="E30" s="88"/>
      <c r="F30" s="88"/>
      <c r="G30" s="88">
        <f>SUM(G6:G29)</f>
        <v>0</v>
      </c>
      <c r="H30" s="88">
        <f>SUM(H6:H29)</f>
        <v>0</v>
      </c>
      <c r="I30" s="89">
        <f>SUM(I6:I29)</f>
        <v>0</v>
      </c>
      <c r="K30" s="87" t="s">
        <v>22</v>
      </c>
      <c r="L30" s="88" t="s">
        <v>21</v>
      </c>
      <c r="M30" s="88" t="s">
        <v>21</v>
      </c>
      <c r="N30" s="88"/>
      <c r="O30" s="88"/>
      <c r="P30" s="88">
        <f>SUM(P6:P29)</f>
        <v>10468340</v>
      </c>
      <c r="Q30" s="88">
        <f>SUM(Q6:Q29)</f>
        <v>10293279</v>
      </c>
      <c r="R30" s="207">
        <f>SUM(R6:R29)</f>
        <v>10293279</v>
      </c>
      <c r="S30" s="210"/>
      <c r="T30" s="214">
        <f>SUM(T6:T29)</f>
        <v>3051.9478626741388</v>
      </c>
      <c r="V30" s="32" t="s">
        <v>22</v>
      </c>
      <c r="W30" s="33" t="s">
        <v>21</v>
      </c>
      <c r="X30" s="33" t="s">
        <v>21</v>
      </c>
      <c r="Y30" s="33"/>
      <c r="Z30" s="33"/>
      <c r="AA30" s="33">
        <f>SUM(AA6:AA29)</f>
        <v>2106930</v>
      </c>
      <c r="AB30" s="33">
        <f>SUM(AB6:AB29)</f>
        <v>2067704</v>
      </c>
      <c r="AC30" s="34">
        <f>SUM(AC6:AC29)</f>
        <v>2067704</v>
      </c>
      <c r="AD30" s="210"/>
      <c r="AE30" s="214">
        <f>SUM(AE6:AE29)</f>
        <v>613.07423600000004</v>
      </c>
      <c r="AG30" s="32" t="s">
        <v>22</v>
      </c>
      <c r="AH30" s="33" t="s">
        <v>21</v>
      </c>
      <c r="AI30" s="33" t="s">
        <v>21</v>
      </c>
      <c r="AJ30" s="33"/>
      <c r="AK30" s="33"/>
      <c r="AL30" s="33">
        <f>SUM(AL6:AL29)</f>
        <v>1283230</v>
      </c>
      <c r="AM30" s="33">
        <f>SUM(AM6:AM29)</f>
        <v>1266619.1499999999</v>
      </c>
      <c r="AN30" s="34">
        <f>SUM(AN6:AN29)</f>
        <v>1266081.25</v>
      </c>
      <c r="AO30" s="210"/>
      <c r="AP30" s="214">
        <f>SUM(AP6:AP29)</f>
        <v>375.39309062500001</v>
      </c>
      <c r="AS30" s="32" t="s">
        <v>22</v>
      </c>
      <c r="AT30" s="33" t="s">
        <v>21</v>
      </c>
      <c r="AU30" s="33" t="s">
        <v>21</v>
      </c>
      <c r="AV30" s="33"/>
      <c r="AW30" s="33"/>
      <c r="AX30" s="33">
        <f>SUM(AX6:AX29)</f>
        <v>49496610</v>
      </c>
      <c r="AY30" s="33">
        <f>SUM(AY6:AY29)</f>
        <v>49524391</v>
      </c>
      <c r="AZ30" s="34">
        <f>SUM(AZ6:AZ29)</f>
        <v>48979873</v>
      </c>
      <c r="BA30" s="210"/>
      <c r="BB30" s="214">
        <f>SUM(BB6:BB29)</f>
        <v>14194.367195400002</v>
      </c>
    </row>
    <row r="31" spans="2:55" x14ac:dyDescent="0.35">
      <c r="B31" s="15"/>
      <c r="K31" s="15"/>
      <c r="V31" s="15"/>
      <c r="AG31" s="15"/>
      <c r="AS31" s="15"/>
      <c r="AY31" s="4" t="s">
        <v>22</v>
      </c>
      <c r="AZ31" s="4">
        <f>AZ30+AN30+AC30+R30</f>
        <v>62606937.25</v>
      </c>
      <c r="BB31" s="4" t="s">
        <v>97</v>
      </c>
    </row>
    <row r="32" spans="2:55" x14ac:dyDescent="0.35">
      <c r="K32" s="15"/>
    </row>
    <row r="33" spans="11:52" x14ac:dyDescent="0.35">
      <c r="K33" s="15"/>
      <c r="AY33" s="4" t="s">
        <v>55</v>
      </c>
      <c r="AZ33" s="218">
        <f>AZ30/1000</f>
        <v>48979.873</v>
      </c>
    </row>
    <row r="34" spans="11:52" x14ac:dyDescent="0.35">
      <c r="AY34" s="4" t="s">
        <v>62</v>
      </c>
      <c r="AZ34" s="218">
        <f>(R30+AC30+AN30)/1000</f>
        <v>13627.064249999999</v>
      </c>
    </row>
  </sheetData>
  <mergeCells count="26">
    <mergeCell ref="AL3:AN3"/>
    <mergeCell ref="AX2:AZ2"/>
    <mergeCell ref="AX3:AZ3"/>
    <mergeCell ref="AX4:AZ4"/>
    <mergeCell ref="AL4:AN4"/>
    <mergeCell ref="C2:D4"/>
    <mergeCell ref="L2:M4"/>
    <mergeCell ref="P3:R3"/>
    <mergeCell ref="P4:R4"/>
    <mergeCell ref="B1:BC1"/>
    <mergeCell ref="G2:I2"/>
    <mergeCell ref="AT2:AU4"/>
    <mergeCell ref="AS2:AS5"/>
    <mergeCell ref="AH2:AI4"/>
    <mergeCell ref="B2:B5"/>
    <mergeCell ref="K2:K5"/>
    <mergeCell ref="P2:R2"/>
    <mergeCell ref="AG2:AG5"/>
    <mergeCell ref="V2:V5"/>
    <mergeCell ref="AA2:AC2"/>
    <mergeCell ref="AL2:AN2"/>
    <mergeCell ref="W2:X4"/>
    <mergeCell ref="AA3:AC3"/>
    <mergeCell ref="AA4:AC4"/>
    <mergeCell ref="G3:I3"/>
    <mergeCell ref="G4:I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31"/>
  <sheetViews>
    <sheetView showGridLines="0" tabSelected="1" workbookViewId="0">
      <selection activeCell="J8" sqref="J8:K8"/>
    </sheetView>
  </sheetViews>
  <sheetFormatPr defaultColWidth="8.6328125" defaultRowHeight="14.5" x14ac:dyDescent="0.35"/>
  <cols>
    <col min="2" max="2" width="9.08984375" style="3"/>
    <col min="3" max="3" width="16.54296875" style="3" customWidth="1"/>
    <col min="4" max="4" width="16.453125" style="3" customWidth="1"/>
    <col min="6" max="6" width="8.6328125" customWidth="1"/>
    <col min="9" max="9" width="16.453125" bestFit="1" customWidth="1"/>
  </cols>
  <sheetData>
    <row r="1" spans="2:11" ht="15" thickBot="1" x14ac:dyDescent="0.4"/>
    <row r="2" spans="2:11" ht="14.4" customHeight="1" x14ac:dyDescent="0.35">
      <c r="B2" s="351" t="s">
        <v>23</v>
      </c>
      <c r="C2" s="354" t="s">
        <v>24</v>
      </c>
      <c r="D2" s="354" t="s">
        <v>25</v>
      </c>
    </row>
    <row r="3" spans="2:11" ht="15" thickBot="1" x14ac:dyDescent="0.4">
      <c r="B3" s="352"/>
      <c r="C3" s="355"/>
      <c r="D3" s="355"/>
    </row>
    <row r="4" spans="2:11" x14ac:dyDescent="0.35">
      <c r="B4" s="352"/>
      <c r="C4" s="355"/>
      <c r="D4" s="355"/>
      <c r="H4" s="123" t="s">
        <v>103</v>
      </c>
      <c r="I4" s="215" t="s">
        <v>205</v>
      </c>
      <c r="J4" s="215" t="s">
        <v>55</v>
      </c>
      <c r="K4" s="215" t="s">
        <v>62</v>
      </c>
    </row>
    <row r="5" spans="2:11" x14ac:dyDescent="0.35">
      <c r="B5" s="352"/>
      <c r="C5" s="355"/>
      <c r="D5" s="355"/>
      <c r="H5" s="128">
        <v>2021</v>
      </c>
      <c r="I5" s="219">
        <f>ROUNDDOWN('Generation Sheet '!U13,0)</f>
        <v>688</v>
      </c>
      <c r="J5" s="216">
        <f>SUM('Generation Sheet '!BB6:BB12)</f>
        <v>0</v>
      </c>
      <c r="K5" s="220">
        <f>'Generation Sheet '!U13+'Generation Sheet '!AE12+'Generation Sheet '!AP12</f>
        <v>688.11139717413835</v>
      </c>
    </row>
    <row r="6" spans="2:11" ht="15" thickBot="1" x14ac:dyDescent="0.4">
      <c r="B6" s="353"/>
      <c r="C6" s="356"/>
      <c r="D6" s="356"/>
      <c r="H6" s="128">
        <v>2022</v>
      </c>
      <c r="I6" s="216">
        <f>ROUNDDOWN('Generation Sheet '!U26+'Generation Sheet '!AF24+'Generation Sheet '!AQ24+'Generation Sheet '!BC24,0)</f>
        <v>13410</v>
      </c>
      <c r="J6" s="220">
        <f>SUM('Generation Sheet '!BB13:BB24)</f>
        <v>10909.6059114</v>
      </c>
      <c r="K6" s="220">
        <f>SUM('Generation Sheet '!U26+'Generation Sheet '!AF24+'Generation Sheet '!AQ24)</f>
        <v>2500.4853248249997</v>
      </c>
    </row>
    <row r="7" spans="2:11" ht="15" thickBot="1" x14ac:dyDescent="0.4">
      <c r="B7" s="21">
        <v>44348</v>
      </c>
      <c r="C7" s="28">
        <f>'Generation Sheet '!I6+'Generation Sheet '!R6+'Generation Sheet '!AC6+'Generation Sheet '!AN6+'Generation Sheet '!AZ6</f>
        <v>0</v>
      </c>
      <c r="D7" s="18">
        <f t="shared" ref="D7:D20" si="0">C7/1000</f>
        <v>0</v>
      </c>
      <c r="H7" s="129">
        <v>2023</v>
      </c>
      <c r="I7" s="217">
        <f>ROUNDDOWN('Generation Sheet '!U29+'Generation Sheet '!AF29+'Generation Sheet '!AQ29+'Generation Sheet '!BC29,0)</f>
        <v>4136</v>
      </c>
      <c r="J7" s="222">
        <f>SUM('Generation Sheet '!BB25:BB29)</f>
        <v>3284.7612840000002</v>
      </c>
      <c r="K7" s="222">
        <f>SUM('Generation Sheet '!AQ29+'Generation Sheet '!AF29+'Generation Sheet '!U29)</f>
        <v>851.81846729999995</v>
      </c>
    </row>
    <row r="8" spans="2:11" ht="15" thickBot="1" x14ac:dyDescent="0.4">
      <c r="B8" s="22">
        <v>44378</v>
      </c>
      <c r="C8" s="28">
        <f>'Generation Sheet '!I7+'Generation Sheet '!R7+'Generation Sheet '!AC7+'Generation Sheet '!AN7+'Generation Sheet '!AZ7</f>
        <v>0</v>
      </c>
      <c r="D8" s="2">
        <f t="shared" si="0"/>
        <v>0</v>
      </c>
      <c r="I8" s="221">
        <f>SUM(I5:I7)</f>
        <v>18234</v>
      </c>
      <c r="J8" s="221">
        <f>ROUNDDOWN(SUM(J5:J7),0)</f>
        <v>14194</v>
      </c>
      <c r="K8" s="221">
        <f>ROUNDDOWN(SUM(K5:K7),0)</f>
        <v>4040</v>
      </c>
    </row>
    <row r="9" spans="2:11" ht="15" thickBot="1" x14ac:dyDescent="0.4">
      <c r="B9" s="22">
        <v>44409</v>
      </c>
      <c r="C9" s="28">
        <f>'Generation Sheet '!I8+'Generation Sheet '!R8+'Generation Sheet '!AC8+'Generation Sheet '!AN8+'Generation Sheet '!AZ8</f>
        <v>0</v>
      </c>
      <c r="D9" s="2">
        <f t="shared" si="0"/>
        <v>0</v>
      </c>
    </row>
    <row r="10" spans="2:11" ht="15" thickBot="1" x14ac:dyDescent="0.4">
      <c r="B10" s="22">
        <v>44440</v>
      </c>
      <c r="C10" s="28">
        <f>'Generation Sheet '!I9+'Generation Sheet '!R9+'Generation Sheet '!AC9+'Generation Sheet '!AN9+'Generation Sheet '!AZ9</f>
        <v>436020</v>
      </c>
      <c r="D10" s="2">
        <f t="shared" si="0"/>
        <v>436.02</v>
      </c>
    </row>
    <row r="11" spans="2:11" ht="15" thickBot="1" x14ac:dyDescent="0.4">
      <c r="B11" s="22">
        <v>44470</v>
      </c>
      <c r="C11" s="28">
        <f>'Generation Sheet '!I10+'Generation Sheet '!R10+'Generation Sheet '!AC10+'Generation Sheet '!AN10+'Generation Sheet '!AZ10</f>
        <v>530556</v>
      </c>
      <c r="D11" s="2">
        <f t="shared" si="0"/>
        <v>530.55600000000004</v>
      </c>
      <c r="I11" t="s">
        <v>97</v>
      </c>
    </row>
    <row r="12" spans="2:11" ht="15" thickBot="1" x14ac:dyDescent="0.4">
      <c r="B12" s="22">
        <v>44501</v>
      </c>
      <c r="C12" s="28">
        <f>'Generation Sheet '!I11+'Generation Sheet '!R11+'Generation Sheet '!AC11+'Generation Sheet '!AN11+'Generation Sheet '!AZ11</f>
        <v>529410</v>
      </c>
      <c r="D12" s="2">
        <f t="shared" si="0"/>
        <v>529.41</v>
      </c>
    </row>
    <row r="13" spans="2:11" ht="15" thickBot="1" x14ac:dyDescent="0.4">
      <c r="B13" s="23">
        <v>44531</v>
      </c>
      <c r="C13" s="97">
        <f>'Generation Sheet '!I12+'Generation Sheet '!R12+'Generation Sheet '!AC12+'Generation Sheet '!AN12+'Generation Sheet '!AZ12</f>
        <v>462776</v>
      </c>
      <c r="D13" s="29">
        <f t="shared" si="0"/>
        <v>462.77600000000001</v>
      </c>
    </row>
    <row r="14" spans="2:11" ht="15" thickBot="1" x14ac:dyDescent="0.4">
      <c r="B14" s="21">
        <v>44562</v>
      </c>
      <c r="C14" s="28">
        <f>'Generation Sheet '!I13+'Generation Sheet '!R13+'Generation Sheet '!AC13+'Generation Sheet '!AN13+'Generation Sheet '!AZ13</f>
        <v>452650</v>
      </c>
      <c r="D14" s="18">
        <f t="shared" si="0"/>
        <v>452.65</v>
      </c>
    </row>
    <row r="15" spans="2:11" ht="15" thickBot="1" x14ac:dyDescent="0.4">
      <c r="B15" s="22">
        <v>44593</v>
      </c>
      <c r="C15" s="28">
        <f>'Generation Sheet '!I14+'Generation Sheet '!R14+'Generation Sheet '!AC14+'Generation Sheet '!AN14+'Generation Sheet '!AZ14</f>
        <v>517034</v>
      </c>
      <c r="D15" s="2">
        <f t="shared" si="0"/>
        <v>517.03399999999999</v>
      </c>
    </row>
    <row r="16" spans="2:11" ht="15" thickBot="1" x14ac:dyDescent="0.4">
      <c r="B16" s="22">
        <v>44621</v>
      </c>
      <c r="C16" s="28">
        <f>'Generation Sheet '!I15+'Generation Sheet '!R15+'Generation Sheet '!AC15+'Generation Sheet '!AN15+'Generation Sheet '!AZ15</f>
        <v>2066115</v>
      </c>
      <c r="D16" s="2">
        <f t="shared" si="0"/>
        <v>2066.1149999999998</v>
      </c>
    </row>
    <row r="17" spans="2:11" ht="15" thickBot="1" x14ac:dyDescent="0.4">
      <c r="B17" s="22">
        <v>44652</v>
      </c>
      <c r="C17" s="28">
        <f>'Generation Sheet '!I16+'Generation Sheet '!R16+'Generation Sheet '!AC16+'Generation Sheet '!AN16+'Generation Sheet '!AZ16</f>
        <v>3886180</v>
      </c>
      <c r="D17" s="2">
        <f t="shared" ref="D17:D19" si="1">C17/1000</f>
        <v>3886.18</v>
      </c>
    </row>
    <row r="18" spans="2:11" ht="15" thickBot="1" x14ac:dyDescent="0.4">
      <c r="B18" s="22">
        <v>44682</v>
      </c>
      <c r="C18" s="28">
        <f>'Generation Sheet '!I17+'Generation Sheet '!R17+'Generation Sheet '!AC17+'Generation Sheet '!AN17+'Generation Sheet '!AZ17</f>
        <v>5016100</v>
      </c>
      <c r="D18" s="2">
        <f t="shared" si="1"/>
        <v>5016.1000000000004</v>
      </c>
      <c r="E18" s="8"/>
    </row>
    <row r="19" spans="2:11" ht="15" thickBot="1" x14ac:dyDescent="0.4">
      <c r="B19" s="22">
        <v>44713</v>
      </c>
      <c r="C19" s="28">
        <f>'Generation Sheet '!I18+'Generation Sheet '!R18+'Generation Sheet '!AC18+'Generation Sheet '!AN18+'Generation Sheet '!AZ18</f>
        <v>3740690</v>
      </c>
      <c r="D19" s="2">
        <f t="shared" si="1"/>
        <v>3740.69</v>
      </c>
    </row>
    <row r="20" spans="2:11" ht="15" thickBot="1" x14ac:dyDescent="0.4">
      <c r="B20" s="22">
        <v>44743</v>
      </c>
      <c r="C20" s="28">
        <f>'Generation Sheet '!I19+'Generation Sheet '!R19+'Generation Sheet '!AC19+'Generation Sheet '!AN19+'Generation Sheet '!AZ19</f>
        <v>6524614.7000000002</v>
      </c>
      <c r="D20" s="2">
        <f t="shared" si="0"/>
        <v>6524.6147000000001</v>
      </c>
    </row>
    <row r="21" spans="2:11" ht="15" thickBot="1" x14ac:dyDescent="0.4">
      <c r="B21" s="22">
        <v>44774</v>
      </c>
      <c r="C21" s="28">
        <f>'Generation Sheet '!I20+'Generation Sheet '!R20+'Generation Sheet '!AC20+'Generation Sheet '!AN20+'Generation Sheet '!AZ20</f>
        <v>5891414.4500000002</v>
      </c>
      <c r="D21" s="2">
        <f t="shared" ref="D21:D30" si="2">C21/1000</f>
        <v>5891.4144500000002</v>
      </c>
      <c r="K21">
        <v>18974</v>
      </c>
    </row>
    <row r="22" spans="2:11" ht="15" thickBot="1" x14ac:dyDescent="0.4">
      <c r="B22" s="22">
        <v>44805</v>
      </c>
      <c r="C22" s="28">
        <f>'Generation Sheet '!I21+'Generation Sheet '!R21+'Generation Sheet '!AC21+'Generation Sheet '!AN21+'Generation Sheet '!AZ21</f>
        <v>6279398</v>
      </c>
      <c r="D22" s="2">
        <f t="shared" si="2"/>
        <v>6279.3980000000001</v>
      </c>
    </row>
    <row r="23" spans="2:11" ht="15" thickBot="1" x14ac:dyDescent="0.4">
      <c r="B23" s="22">
        <v>44835</v>
      </c>
      <c r="C23" s="28">
        <f>'Generation Sheet '!I22+'Generation Sheet '!R22+'Generation Sheet '!AC22+'Generation Sheet '!AN22+'Generation Sheet '!AZ22</f>
        <v>5496482</v>
      </c>
      <c r="D23" s="2">
        <f t="shared" si="2"/>
        <v>5496.482</v>
      </c>
    </row>
    <row r="24" spans="2:11" ht="15" thickBot="1" x14ac:dyDescent="0.4">
      <c r="B24" s="22">
        <v>44866</v>
      </c>
      <c r="C24" s="28">
        <f>'Generation Sheet '!I23+'Generation Sheet '!R23+'Generation Sheet '!AC23+'Generation Sheet '!AN23+'Generation Sheet '!AZ23</f>
        <v>3834905</v>
      </c>
      <c r="D24" s="2">
        <f t="shared" si="2"/>
        <v>3834.9050000000002</v>
      </c>
    </row>
    <row r="25" spans="2:11" ht="13.65" customHeight="1" thickBot="1" x14ac:dyDescent="0.4">
      <c r="B25" s="23">
        <v>44896</v>
      </c>
      <c r="C25" s="97">
        <f>'Generation Sheet '!I24+'Generation Sheet '!R24+'Generation Sheet '!AC24+'Generation Sheet '!AN24+'Generation Sheet '!AZ24</f>
        <v>2110209.9</v>
      </c>
      <c r="D25" s="29">
        <f t="shared" si="2"/>
        <v>2110.2098999999998</v>
      </c>
    </row>
    <row r="26" spans="2:11" ht="13.65" customHeight="1" thickBot="1" x14ac:dyDescent="0.4">
      <c r="B26" s="22">
        <v>44927</v>
      </c>
      <c r="C26" s="98">
        <f>'Generation Sheet '!I25+'Generation Sheet '!R25+'Generation Sheet '!AC25+'Generation Sheet '!AN25+'Generation Sheet '!AZ25</f>
        <v>1927436.5</v>
      </c>
      <c r="D26" s="7">
        <f t="shared" si="2"/>
        <v>1927.4365</v>
      </c>
    </row>
    <row r="27" spans="2:11" ht="14" customHeight="1" thickBot="1" x14ac:dyDescent="0.4">
      <c r="B27" s="22">
        <v>44958</v>
      </c>
      <c r="C27" s="28">
        <f>'Generation Sheet '!I26+'Generation Sheet '!R26+'Generation Sheet '!AC26+'Generation Sheet '!AN26+'Generation Sheet '!AZ26</f>
        <v>1966807.6600000001</v>
      </c>
      <c r="D27" s="2">
        <f t="shared" si="2"/>
        <v>1966.8076600000002</v>
      </c>
    </row>
    <row r="28" spans="2:11" ht="13.65" customHeight="1" thickBot="1" x14ac:dyDescent="0.4">
      <c r="B28" s="22">
        <v>44986</v>
      </c>
      <c r="C28" s="28">
        <f>'Generation Sheet '!I27+'Generation Sheet '!R27+'Generation Sheet '!AC27+'Generation Sheet '!AN27+'Generation Sheet '!AZ27</f>
        <v>2601158.33</v>
      </c>
      <c r="D28" s="2">
        <f t="shared" si="2"/>
        <v>2601.1583300000002</v>
      </c>
    </row>
    <row r="29" spans="2:11" ht="13.65" customHeight="1" thickBot="1" x14ac:dyDescent="0.4">
      <c r="B29" s="22">
        <v>45017</v>
      </c>
      <c r="C29" s="28">
        <f>'Generation Sheet '!I28+'Generation Sheet '!R28+'Generation Sheet '!AC28+'Generation Sheet '!AN28+'Generation Sheet '!AZ28</f>
        <v>3645376.54</v>
      </c>
      <c r="D29" s="2">
        <f t="shared" si="2"/>
        <v>3645.3765400000002</v>
      </c>
    </row>
    <row r="30" spans="2:11" ht="13.65" customHeight="1" thickBot="1" x14ac:dyDescent="0.4">
      <c r="B30" s="22">
        <v>45047</v>
      </c>
      <c r="C30" s="28">
        <f>'Generation Sheet '!I29+'Generation Sheet '!R29+'Generation Sheet '!AC29+'Generation Sheet '!AN29+'Generation Sheet '!AZ29</f>
        <v>4691603.17</v>
      </c>
      <c r="D30" s="2">
        <f t="shared" si="2"/>
        <v>4691.6031700000003</v>
      </c>
    </row>
    <row r="31" spans="2:11" ht="15" thickBot="1" x14ac:dyDescent="0.4">
      <c r="B31" s="30" t="s">
        <v>22</v>
      </c>
      <c r="C31" s="31">
        <f>ROUNDDOWN(SUM(C7:C30),0)</f>
        <v>62606937</v>
      </c>
      <c r="D31" s="31">
        <f>ROUNDDOWN(SUM(D7:D30),0)</f>
        <v>62606</v>
      </c>
      <c r="E31" t="s">
        <v>97</v>
      </c>
    </row>
  </sheetData>
  <mergeCells count="3">
    <mergeCell ref="B2:B6"/>
    <mergeCell ref="C2:C6"/>
    <mergeCell ref="D2:D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J9"/>
  <sheetViews>
    <sheetView workbookViewId="0">
      <selection activeCell="B3" sqref="B3:J9"/>
    </sheetView>
  </sheetViews>
  <sheetFormatPr defaultRowHeight="14.5" x14ac:dyDescent="0.35"/>
  <cols>
    <col min="1" max="1" width="4.453125" customWidth="1"/>
    <col min="2" max="2" width="5.54296875" bestFit="1" customWidth="1"/>
    <col min="3" max="3" width="14.90625" bestFit="1" customWidth="1"/>
    <col min="4" max="4" width="10.90625" bestFit="1" customWidth="1"/>
    <col min="5" max="5" width="11.6328125" bestFit="1" customWidth="1"/>
    <col min="6" max="6" width="7.1796875" bestFit="1" customWidth="1"/>
    <col min="7" max="7" width="13.08984375" customWidth="1"/>
    <col min="8" max="8" width="5" bestFit="1" customWidth="1"/>
    <col min="9" max="10" width="10.36328125" bestFit="1" customWidth="1"/>
  </cols>
  <sheetData>
    <row r="3" spans="2:10" x14ac:dyDescent="0.35">
      <c r="B3" s="357" t="s">
        <v>98</v>
      </c>
      <c r="C3" s="357"/>
      <c r="D3" s="357"/>
      <c r="E3" s="357"/>
      <c r="F3" s="357"/>
      <c r="G3" s="357"/>
      <c r="H3" s="357"/>
      <c r="I3" s="357"/>
      <c r="J3" s="357"/>
    </row>
    <row r="4" spans="2:10" ht="28" x14ac:dyDescent="0.35">
      <c r="B4" s="214" t="s">
        <v>44</v>
      </c>
      <c r="C4" s="214" t="s">
        <v>46</v>
      </c>
      <c r="D4" s="246" t="s">
        <v>99</v>
      </c>
      <c r="E4" s="246" t="s">
        <v>100</v>
      </c>
      <c r="F4" s="246" t="s">
        <v>101</v>
      </c>
      <c r="G4" s="246" t="s">
        <v>102</v>
      </c>
      <c r="H4" s="246" t="s">
        <v>103</v>
      </c>
      <c r="I4" s="246" t="s">
        <v>104</v>
      </c>
      <c r="J4" s="246" t="s">
        <v>105</v>
      </c>
    </row>
    <row r="5" spans="2:10" x14ac:dyDescent="0.35">
      <c r="B5" s="247">
        <v>1</v>
      </c>
      <c r="C5" s="247" t="s">
        <v>73</v>
      </c>
      <c r="D5" s="248">
        <v>2914526</v>
      </c>
      <c r="E5" s="248">
        <v>2914527</v>
      </c>
      <c r="F5" s="248" t="s">
        <v>106</v>
      </c>
      <c r="G5" s="248" t="s">
        <v>107</v>
      </c>
      <c r="H5" s="248">
        <v>2021</v>
      </c>
      <c r="I5" s="249">
        <v>44580</v>
      </c>
      <c r="J5" s="249">
        <v>46405</v>
      </c>
    </row>
    <row r="6" spans="2:10" x14ac:dyDescent="0.35">
      <c r="B6" s="247">
        <v>2</v>
      </c>
      <c r="C6" s="247" t="s">
        <v>69</v>
      </c>
      <c r="D6" s="248">
        <v>2914524</v>
      </c>
      <c r="E6" s="248">
        <v>2914525</v>
      </c>
      <c r="F6" s="248" t="s">
        <v>106</v>
      </c>
      <c r="G6" s="248" t="s">
        <v>107</v>
      </c>
      <c r="H6" s="248">
        <v>2022</v>
      </c>
      <c r="I6" s="249">
        <v>44571</v>
      </c>
      <c r="J6" s="249">
        <v>46396</v>
      </c>
    </row>
    <row r="7" spans="2:10" x14ac:dyDescent="0.35">
      <c r="B7" s="247">
        <v>3</v>
      </c>
      <c r="C7" s="247" t="s">
        <v>108</v>
      </c>
      <c r="D7" s="248">
        <v>210404445</v>
      </c>
      <c r="E7" s="248">
        <v>210404447</v>
      </c>
      <c r="F7" s="248" t="s">
        <v>109</v>
      </c>
      <c r="G7" s="248">
        <v>0.1</v>
      </c>
      <c r="H7" s="248">
        <v>2021</v>
      </c>
      <c r="I7" s="249">
        <v>44305</v>
      </c>
      <c r="J7" s="249">
        <v>46130</v>
      </c>
    </row>
    <row r="8" spans="2:10" x14ac:dyDescent="0.35">
      <c r="B8" s="247">
        <v>4</v>
      </c>
      <c r="C8" s="247" t="s">
        <v>110</v>
      </c>
      <c r="D8" s="248">
        <v>211304602</v>
      </c>
      <c r="E8" s="248">
        <v>211304601</v>
      </c>
      <c r="F8" s="248" t="s">
        <v>109</v>
      </c>
      <c r="G8" s="248">
        <v>0.1</v>
      </c>
      <c r="H8" s="248">
        <v>2021</v>
      </c>
      <c r="I8" s="249">
        <v>44627</v>
      </c>
      <c r="J8" s="249">
        <v>46452</v>
      </c>
    </row>
    <row r="9" spans="2:10" x14ac:dyDescent="0.35">
      <c r="B9" s="247">
        <v>5</v>
      </c>
      <c r="C9" s="247" t="s">
        <v>111</v>
      </c>
      <c r="D9" s="250"/>
      <c r="E9" s="250"/>
      <c r="F9" s="251"/>
      <c r="G9" s="251"/>
      <c r="H9" s="251"/>
      <c r="I9" s="252"/>
      <c r="J9" s="252"/>
    </row>
  </sheetData>
  <mergeCells count="1">
    <mergeCell ref="B3:J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R51"/>
  <sheetViews>
    <sheetView workbookViewId="0">
      <selection sqref="A1:A1048576"/>
    </sheetView>
  </sheetViews>
  <sheetFormatPr defaultRowHeight="14.5" x14ac:dyDescent="0.35"/>
  <cols>
    <col min="1" max="1" width="4.08984375" customWidth="1"/>
    <col min="4" max="4" width="35" customWidth="1"/>
    <col min="8" max="8" width="14.90625" customWidth="1"/>
    <col min="12" max="12" width="41.08984375" customWidth="1"/>
    <col min="13" max="13" width="11.90625" customWidth="1"/>
    <col min="14" max="14" width="12.08984375" customWidth="1"/>
    <col min="15" max="15" width="11.36328125" customWidth="1"/>
    <col min="16" max="16" width="16.90625" customWidth="1"/>
    <col min="17" max="17" width="12.36328125" customWidth="1"/>
    <col min="18" max="18" width="11.08984375" customWidth="1"/>
  </cols>
  <sheetData>
    <row r="2" spans="2:18" ht="15" thickBot="1" x14ac:dyDescent="0.4"/>
    <row r="3" spans="2:18" ht="15" thickBot="1" x14ac:dyDescent="0.4">
      <c r="B3" s="109" t="s">
        <v>120</v>
      </c>
      <c r="C3" s="110"/>
      <c r="D3" s="110"/>
      <c r="E3" s="110"/>
      <c r="F3" s="111"/>
    </row>
    <row r="4" spans="2:18" ht="15" thickBot="1" x14ac:dyDescent="0.4"/>
    <row r="5" spans="2:18" x14ac:dyDescent="0.35">
      <c r="B5" s="371" t="s">
        <v>121</v>
      </c>
      <c r="C5" s="297"/>
      <c r="D5" s="297"/>
      <c r="E5" s="298"/>
      <c r="F5" s="112">
        <v>18</v>
      </c>
      <c r="G5" s="113"/>
      <c r="H5" s="113"/>
      <c r="I5" s="113"/>
      <c r="J5" s="113"/>
      <c r="K5" s="113"/>
      <c r="L5" s="113"/>
      <c r="M5" s="114"/>
    </row>
    <row r="6" spans="2:18" x14ac:dyDescent="0.35">
      <c r="B6" s="372" t="s">
        <v>122</v>
      </c>
      <c r="C6" s="373"/>
      <c r="D6" s="373"/>
      <c r="E6" s="374"/>
      <c r="F6" s="115">
        <v>44896</v>
      </c>
      <c r="G6" s="116"/>
      <c r="H6" s="116"/>
      <c r="I6" s="116"/>
      <c r="J6" s="116"/>
      <c r="K6" s="116"/>
      <c r="L6" s="116"/>
      <c r="M6" s="117"/>
    </row>
    <row r="7" spans="2:18" ht="15" thickBot="1" x14ac:dyDescent="0.4">
      <c r="B7" s="375" t="s">
        <v>123</v>
      </c>
      <c r="C7" s="376"/>
      <c r="D7" s="376"/>
      <c r="E7" s="118"/>
      <c r="F7" s="377" t="s">
        <v>124</v>
      </c>
      <c r="G7" s="378"/>
      <c r="H7" s="378"/>
      <c r="I7" s="378"/>
      <c r="J7" s="378"/>
      <c r="K7" s="378"/>
      <c r="L7" s="378"/>
      <c r="M7" s="379"/>
    </row>
    <row r="9" spans="2:18" ht="15" thickBot="1" x14ac:dyDescent="0.4"/>
    <row r="10" spans="2:18" ht="15" thickBot="1" x14ac:dyDescent="0.4">
      <c r="B10" s="119" t="s">
        <v>125</v>
      </c>
      <c r="C10" s="120"/>
    </row>
    <row r="12" spans="2:18" ht="15" thickBot="1" x14ac:dyDescent="0.4"/>
    <row r="13" spans="2:18" x14ac:dyDescent="0.35">
      <c r="B13" s="380" t="s">
        <v>126</v>
      </c>
      <c r="C13" s="381"/>
      <c r="D13" s="381"/>
      <c r="E13" s="121" t="s">
        <v>127</v>
      </c>
      <c r="F13" s="121" t="s">
        <v>128</v>
      </c>
      <c r="G13" s="121" t="s">
        <v>129</v>
      </c>
      <c r="H13" s="121" t="s">
        <v>130</v>
      </c>
      <c r="I13" s="121" t="s">
        <v>131</v>
      </c>
      <c r="J13" s="122" t="s">
        <v>132</v>
      </c>
      <c r="L13" s="123" t="s">
        <v>133</v>
      </c>
      <c r="M13" s="124" t="s">
        <v>127</v>
      </c>
      <c r="N13" s="124" t="s">
        <v>128</v>
      </c>
      <c r="O13" s="124" t="s">
        <v>129</v>
      </c>
      <c r="P13" s="124" t="s">
        <v>130</v>
      </c>
      <c r="Q13" s="124" t="s">
        <v>131</v>
      </c>
      <c r="R13" s="125" t="s">
        <v>132</v>
      </c>
    </row>
    <row r="14" spans="2:18" x14ac:dyDescent="0.35">
      <c r="B14" s="368" t="s">
        <v>134</v>
      </c>
      <c r="C14" s="369"/>
      <c r="D14" s="369"/>
      <c r="E14" s="126">
        <v>0.82399042568219083</v>
      </c>
      <c r="F14" s="126">
        <v>0.82802824032951605</v>
      </c>
      <c r="G14" s="126">
        <v>0.82222656437685271</v>
      </c>
      <c r="H14" s="126">
        <v>0.82469276509800304</v>
      </c>
      <c r="I14" s="126">
        <v>0.7980795320951104</v>
      </c>
      <c r="J14" s="127">
        <v>0.79302629127089452</v>
      </c>
      <c r="L14" s="128" t="s">
        <v>135</v>
      </c>
      <c r="M14" s="126">
        <v>0.82021530146035571</v>
      </c>
      <c r="N14" s="126">
        <v>0.82373306919105005</v>
      </c>
      <c r="O14" s="126">
        <v>0.81813348691140686</v>
      </c>
      <c r="P14" s="126">
        <v>0.82140964395148064</v>
      </c>
      <c r="Q14" s="126">
        <v>0.79377221785237173</v>
      </c>
      <c r="R14" s="127">
        <v>0.78663859250101154</v>
      </c>
    </row>
    <row r="15" spans="2:18" x14ac:dyDescent="0.35">
      <c r="B15" s="368" t="s">
        <v>136</v>
      </c>
      <c r="C15" s="369"/>
      <c r="D15" s="369"/>
      <c r="E15" s="126">
        <v>0.97076719476595708</v>
      </c>
      <c r="F15" s="126">
        <v>0.9695108415136956</v>
      </c>
      <c r="G15" s="126">
        <v>0.95991381146749966</v>
      </c>
      <c r="H15" s="126">
        <v>0.96480037284601006</v>
      </c>
      <c r="I15" s="126">
        <v>0.96179752970572396</v>
      </c>
      <c r="J15" s="127">
        <v>0.9496959582940383</v>
      </c>
      <c r="L15" s="128" t="s">
        <v>137</v>
      </c>
      <c r="M15" s="126">
        <v>0.96553168995280036</v>
      </c>
      <c r="N15" s="126">
        <v>0.96362768016844036</v>
      </c>
      <c r="O15" s="126">
        <v>0.95433977818005977</v>
      </c>
      <c r="P15" s="126">
        <v>0.96030998520797184</v>
      </c>
      <c r="Q15" s="126">
        <v>0.95554866735373067</v>
      </c>
      <c r="R15" s="127">
        <v>0.94054960677158816</v>
      </c>
    </row>
    <row r="16" spans="2:18" x14ac:dyDescent="0.35">
      <c r="B16" s="368" t="s">
        <v>138</v>
      </c>
      <c r="C16" s="369"/>
      <c r="D16" s="369"/>
      <c r="E16" s="126">
        <v>0.90829510243747302</v>
      </c>
      <c r="F16" s="126">
        <v>0.87233471528596451</v>
      </c>
      <c r="G16" s="126">
        <v>0.86608856108773258</v>
      </c>
      <c r="H16" s="126">
        <v>0.8812261061429234</v>
      </c>
      <c r="I16" s="126">
        <v>0.86821088302740268</v>
      </c>
      <c r="J16" s="127">
        <v>0.86525629452631159</v>
      </c>
      <c r="L16" s="128" t="s">
        <v>139</v>
      </c>
      <c r="M16" s="126">
        <v>0.90829510243747302</v>
      </c>
      <c r="N16" s="126">
        <v>0.87233471528596451</v>
      </c>
      <c r="O16" s="126">
        <v>0.86608856108773258</v>
      </c>
      <c r="P16" s="126">
        <v>0.8812261061429234</v>
      </c>
      <c r="Q16" s="126">
        <v>0.86821088302740268</v>
      </c>
      <c r="R16" s="127">
        <v>0.86525629452631159</v>
      </c>
    </row>
    <row r="17" spans="2:18" ht="15" thickBot="1" x14ac:dyDescent="0.4">
      <c r="B17" s="368" t="s">
        <v>140</v>
      </c>
      <c r="C17" s="369"/>
      <c r="D17" s="369"/>
      <c r="E17" s="126">
        <v>0.93953114860171505</v>
      </c>
      <c r="F17" s="126">
        <v>0.92092277839983006</v>
      </c>
      <c r="G17" s="126">
        <v>0.91300118627761617</v>
      </c>
      <c r="H17" s="126">
        <v>0.92301323949446679</v>
      </c>
      <c r="I17" s="126">
        <v>0.91500420636656332</v>
      </c>
      <c r="J17" s="127">
        <v>0.90747612641017494</v>
      </c>
      <c r="L17" s="129" t="s">
        <v>141</v>
      </c>
      <c r="M17" s="130">
        <v>0.93691339619513669</v>
      </c>
      <c r="N17" s="130">
        <v>0.91798119772720244</v>
      </c>
      <c r="O17" s="130">
        <v>0.91021416963389612</v>
      </c>
      <c r="P17" s="130">
        <v>0.92076804567544768</v>
      </c>
      <c r="Q17" s="130">
        <v>0.91187977519056673</v>
      </c>
      <c r="R17" s="131">
        <v>0.90290295064894988</v>
      </c>
    </row>
    <row r="18" spans="2:18" ht="15" thickBot="1" x14ac:dyDescent="0.4">
      <c r="B18" s="382"/>
      <c r="C18" s="383"/>
      <c r="D18" s="384"/>
      <c r="E18" s="132"/>
      <c r="F18" s="132"/>
      <c r="G18" s="132"/>
      <c r="H18" s="132"/>
      <c r="I18" s="132"/>
      <c r="J18" s="133"/>
    </row>
    <row r="19" spans="2:18" x14ac:dyDescent="0.35">
      <c r="B19" s="370" t="s">
        <v>142</v>
      </c>
      <c r="C19" s="370"/>
      <c r="D19" s="370"/>
      <c r="E19" s="370"/>
      <c r="F19" s="370"/>
      <c r="G19" s="370"/>
      <c r="H19" s="370"/>
      <c r="I19" s="370"/>
      <c r="L19" s="134" t="s">
        <v>142</v>
      </c>
      <c r="M19" s="135"/>
      <c r="N19" s="135"/>
      <c r="O19" s="135"/>
      <c r="P19" s="135"/>
      <c r="Q19" s="136"/>
    </row>
    <row r="20" spans="2:18" x14ac:dyDescent="0.35">
      <c r="B20" s="370" t="s">
        <v>143</v>
      </c>
      <c r="C20" s="370"/>
      <c r="D20" s="370"/>
      <c r="E20" s="370"/>
      <c r="F20" s="370"/>
      <c r="G20" s="370"/>
      <c r="H20" s="370"/>
      <c r="L20" s="137" t="s">
        <v>143</v>
      </c>
      <c r="Q20" s="138"/>
    </row>
    <row r="21" spans="2:18" x14ac:dyDescent="0.35">
      <c r="L21" s="137" t="s">
        <v>144</v>
      </c>
      <c r="Q21" s="138"/>
    </row>
    <row r="22" spans="2:18" x14ac:dyDescent="0.35">
      <c r="L22" s="137" t="s">
        <v>145</v>
      </c>
      <c r="Q22" s="138"/>
    </row>
    <row r="23" spans="2:18" x14ac:dyDescent="0.35">
      <c r="L23" s="137" t="s">
        <v>146</v>
      </c>
      <c r="Q23" s="138"/>
    </row>
    <row r="24" spans="2:18" ht="15" thickBot="1" x14ac:dyDescent="0.4">
      <c r="L24" s="139"/>
      <c r="M24" s="140"/>
      <c r="N24" s="140"/>
      <c r="O24" s="140"/>
      <c r="P24" s="140"/>
      <c r="Q24" s="141"/>
    </row>
    <row r="27" spans="2:18" ht="15" thickBot="1" x14ac:dyDescent="0.4"/>
    <row r="28" spans="2:18" ht="15" thickBot="1" x14ac:dyDescent="0.4">
      <c r="B28" s="119" t="s">
        <v>147</v>
      </c>
      <c r="C28" s="142"/>
      <c r="L28" s="143" t="s">
        <v>148</v>
      </c>
    </row>
    <row r="29" spans="2:18" ht="15" thickBot="1" x14ac:dyDescent="0.4"/>
    <row r="30" spans="2:18" x14ac:dyDescent="0.35">
      <c r="B30" s="365"/>
      <c r="C30" s="366"/>
      <c r="D30" s="367"/>
      <c r="E30" s="124" t="s">
        <v>127</v>
      </c>
      <c r="F30" s="124" t="s">
        <v>128</v>
      </c>
      <c r="G30" s="124" t="s">
        <v>129</v>
      </c>
      <c r="H30" s="124" t="s">
        <v>130</v>
      </c>
      <c r="I30" s="124" t="s">
        <v>131</v>
      </c>
      <c r="J30" s="125" t="s">
        <v>132</v>
      </c>
      <c r="L30" s="144"/>
      <c r="M30" s="124" t="s">
        <v>127</v>
      </c>
      <c r="N30" s="124" t="s">
        <v>128</v>
      </c>
      <c r="O30" s="124" t="s">
        <v>129</v>
      </c>
      <c r="P30" s="124" t="s">
        <v>130</v>
      </c>
      <c r="Q30" s="124" t="s">
        <v>131</v>
      </c>
      <c r="R30" s="125" t="s">
        <v>132</v>
      </c>
    </row>
    <row r="31" spans="2:18" x14ac:dyDescent="0.35">
      <c r="B31" s="368" t="s">
        <v>149</v>
      </c>
      <c r="C31" s="369"/>
      <c r="D31" s="369"/>
      <c r="E31" s="145">
        <v>1103173.9069200715</v>
      </c>
      <c r="F31" s="145">
        <v>1151479.3360299997</v>
      </c>
      <c r="G31" s="145">
        <v>1201876.6722930002</v>
      </c>
      <c r="H31" s="145">
        <v>1247574.7130910009</v>
      </c>
      <c r="I31" s="145">
        <v>1244852.6801227855</v>
      </c>
      <c r="J31" s="146">
        <v>1227903.5453740791</v>
      </c>
      <c r="L31" s="147" t="s">
        <v>150</v>
      </c>
      <c r="M31" s="145">
        <v>846261119.01273167</v>
      </c>
      <c r="N31" s="145">
        <v>888341293.66662931</v>
      </c>
      <c r="O31" s="145">
        <v>922182365.95223224</v>
      </c>
      <c r="P31" s="145">
        <v>960899216.97450054</v>
      </c>
      <c r="Q31" s="145">
        <v>928143461.98239076</v>
      </c>
      <c r="R31" s="146">
        <v>910016017.8374548</v>
      </c>
    </row>
    <row r="32" spans="2:18" x14ac:dyDescent="0.35">
      <c r="B32" s="368" t="s">
        <v>151</v>
      </c>
      <c r="C32" s="369"/>
      <c r="D32" s="369"/>
      <c r="E32" s="145">
        <v>1027027.8544949144</v>
      </c>
      <c r="F32" s="145">
        <v>1072839.3675475507</v>
      </c>
      <c r="G32" s="145">
        <v>1121567.2247844897</v>
      </c>
      <c r="H32" s="145">
        <v>1165160.2362005822</v>
      </c>
      <c r="I32" s="145">
        <v>1162971.1384100253</v>
      </c>
      <c r="J32" s="146">
        <v>1147523.1374474028</v>
      </c>
      <c r="L32" s="147" t="s">
        <v>152</v>
      </c>
      <c r="M32" s="145">
        <v>846269450.01187623</v>
      </c>
      <c r="N32" s="145">
        <v>888341293.66662931</v>
      </c>
      <c r="O32" s="145">
        <v>922182365.95223224</v>
      </c>
      <c r="P32" s="145">
        <v>960899216.97450054</v>
      </c>
      <c r="Q32" s="145">
        <v>928143461.98239076</v>
      </c>
      <c r="R32" s="146">
        <v>910016017.8374548</v>
      </c>
    </row>
    <row r="33" spans="2:18" x14ac:dyDescent="0.35">
      <c r="B33" s="368" t="s">
        <v>153</v>
      </c>
      <c r="C33" s="369"/>
      <c r="D33" s="369"/>
      <c r="E33" s="148">
        <v>0.15118831592095716</v>
      </c>
      <c r="F33" s="148">
        <v>0.14593194333266357</v>
      </c>
      <c r="G33" s="148">
        <v>0.14343709346170685</v>
      </c>
      <c r="H33" s="148">
        <v>0.14521927197717754</v>
      </c>
      <c r="I33" s="148">
        <v>0.17022085475797133</v>
      </c>
      <c r="J33" s="149">
        <v>0.1649682360495387</v>
      </c>
      <c r="L33" s="147" t="s">
        <v>154</v>
      </c>
      <c r="M33" s="145">
        <v>186863158.80009577</v>
      </c>
      <c r="N33" s="145">
        <v>188456478.59852543</v>
      </c>
      <c r="O33" s="145">
        <v>194301044.67870212</v>
      </c>
      <c r="P33" s="145">
        <v>205690708.30546987</v>
      </c>
      <c r="Q33" s="145">
        <v>202665681.6012063</v>
      </c>
      <c r="R33" s="146">
        <v>198758357.29421163</v>
      </c>
    </row>
    <row r="34" spans="2:18" x14ac:dyDescent="0.35">
      <c r="B34" s="368" t="s">
        <v>155</v>
      </c>
      <c r="C34" s="369"/>
      <c r="D34" s="369"/>
      <c r="E34" s="145">
        <v>871753.24276991445</v>
      </c>
      <c r="F34" s="145">
        <v>916277.83375755092</v>
      </c>
      <c r="G34" s="145">
        <v>960692.88193948974</v>
      </c>
      <c r="H34" s="145">
        <v>995956.5149627775</v>
      </c>
      <c r="I34" s="145">
        <v>965009.19717101986</v>
      </c>
      <c r="J34" s="146">
        <v>958218.26963667246</v>
      </c>
      <c r="L34" s="147" t="s">
        <v>156</v>
      </c>
      <c r="M34" s="145">
        <v>0</v>
      </c>
      <c r="N34" s="145">
        <v>0</v>
      </c>
      <c r="O34" s="145">
        <v>0</v>
      </c>
      <c r="P34" s="145">
        <v>0</v>
      </c>
      <c r="Q34" s="145">
        <v>0</v>
      </c>
      <c r="R34" s="146">
        <v>0</v>
      </c>
    </row>
    <row r="35" spans="2:18" x14ac:dyDescent="0.35">
      <c r="B35" s="368" t="s">
        <v>157</v>
      </c>
      <c r="C35" s="369"/>
      <c r="D35" s="369"/>
      <c r="E35" s="145">
        <v>205405.5708989829</v>
      </c>
      <c r="F35" s="145">
        <v>214567.87350951016</v>
      </c>
      <c r="G35" s="145">
        <v>224313.44495689796</v>
      </c>
      <c r="H35" s="145">
        <v>233032.04724011646</v>
      </c>
      <c r="I35" s="145">
        <v>232594.22768200506</v>
      </c>
      <c r="J35" s="146">
        <v>229504.62748948057</v>
      </c>
      <c r="L35" s="147" t="s">
        <v>158</v>
      </c>
      <c r="M35" s="145">
        <v>0</v>
      </c>
      <c r="N35" s="145">
        <v>0</v>
      </c>
      <c r="O35" s="145">
        <v>0</v>
      </c>
      <c r="P35" s="145">
        <v>0</v>
      </c>
      <c r="Q35" s="145">
        <v>0</v>
      </c>
      <c r="R35" s="146">
        <v>0</v>
      </c>
    </row>
    <row r="36" spans="2:18" ht="15" thickBot="1" x14ac:dyDescent="0.4">
      <c r="B36" s="358" t="s">
        <v>159</v>
      </c>
      <c r="C36" s="359"/>
      <c r="D36" s="359"/>
      <c r="E36" s="132">
        <v>205729.56773479842</v>
      </c>
      <c r="F36" s="132">
        <v>216036.88962068481</v>
      </c>
      <c r="G36" s="132">
        <v>224343.16005129632</v>
      </c>
      <c r="H36" s="132">
        <v>233414.22464861648</v>
      </c>
      <c r="I36" s="132">
        <v>233429.09604464116</v>
      </c>
      <c r="J36" s="133">
        <v>229710.38587245735</v>
      </c>
      <c r="L36" s="150"/>
      <c r="M36" s="132"/>
      <c r="N36" s="132"/>
      <c r="O36" s="132"/>
      <c r="P36" s="132"/>
      <c r="Q36" s="132"/>
      <c r="R36" s="133"/>
    </row>
    <row r="38" spans="2:18" ht="15" thickBot="1" x14ac:dyDescent="0.4"/>
    <row r="39" spans="2:18" ht="15" thickBot="1" x14ac:dyDescent="0.4">
      <c r="B39" s="360" t="s">
        <v>160</v>
      </c>
      <c r="C39" s="361"/>
      <c r="D39" s="362"/>
    </row>
    <row r="41" spans="2:18" ht="30" x14ac:dyDescent="0.35">
      <c r="B41" s="151" t="s">
        <v>161</v>
      </c>
      <c r="C41" s="152">
        <v>2012</v>
      </c>
      <c r="D41" s="152">
        <v>2013</v>
      </c>
      <c r="E41" s="152">
        <v>2014</v>
      </c>
      <c r="F41" s="152">
        <v>2015</v>
      </c>
      <c r="G41" s="152">
        <v>2016</v>
      </c>
      <c r="H41" s="152">
        <v>2017</v>
      </c>
      <c r="I41" s="152">
        <v>2018</v>
      </c>
      <c r="J41" s="152">
        <v>2019</v>
      </c>
      <c r="K41" s="152">
        <v>2020</v>
      </c>
      <c r="L41" s="152" t="s">
        <v>162</v>
      </c>
    </row>
    <row r="42" spans="2:18" ht="30" x14ac:dyDescent="0.35">
      <c r="B42" s="153" t="s">
        <v>163</v>
      </c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N42" s="154" t="s">
        <v>164</v>
      </c>
      <c r="O42" s="154"/>
    </row>
    <row r="43" spans="2:18" ht="45" x14ac:dyDescent="0.35">
      <c r="B43" s="155" t="s">
        <v>165</v>
      </c>
      <c r="C43" s="156">
        <v>2359</v>
      </c>
      <c r="D43" s="156">
        <v>2292</v>
      </c>
      <c r="E43" s="156">
        <v>2298</v>
      </c>
      <c r="F43" s="156">
        <v>2368</v>
      </c>
      <c r="G43" s="156">
        <v>2133</v>
      </c>
      <c r="H43" s="156">
        <v>2305</v>
      </c>
      <c r="I43" s="156">
        <v>2308</v>
      </c>
      <c r="J43" s="156">
        <v>2548</v>
      </c>
      <c r="K43" s="156">
        <v>3021</v>
      </c>
      <c r="L43" s="156">
        <v>2811</v>
      </c>
      <c r="N43" s="156">
        <f>L43*1000</f>
        <v>2811000</v>
      </c>
      <c r="O43" s="363">
        <f>SUM(N43:N44)</f>
        <v>6052000</v>
      </c>
    </row>
    <row r="44" spans="2:18" ht="60" x14ac:dyDescent="0.35">
      <c r="B44" s="153" t="s">
        <v>166</v>
      </c>
      <c r="C44" s="157">
        <v>1074</v>
      </c>
      <c r="D44" s="157">
        <v>1176</v>
      </c>
      <c r="E44" s="157">
        <v>1070</v>
      </c>
      <c r="F44" s="157">
        <v>1269</v>
      </c>
      <c r="G44" s="157">
        <v>1166</v>
      </c>
      <c r="H44" s="157">
        <v>1778</v>
      </c>
      <c r="I44" s="157">
        <v>2168</v>
      </c>
      <c r="J44" s="157">
        <v>2190</v>
      </c>
      <c r="K44" s="157">
        <v>2991</v>
      </c>
      <c r="L44" s="157">
        <v>3241</v>
      </c>
      <c r="N44" s="157">
        <f>L44*1000</f>
        <v>3241000</v>
      </c>
      <c r="O44" s="363"/>
    </row>
    <row r="45" spans="2:18" ht="60" x14ac:dyDescent="0.35">
      <c r="B45" s="155" t="s">
        <v>167</v>
      </c>
      <c r="C45" s="155">
        <v>746</v>
      </c>
      <c r="D45" s="155">
        <v>790</v>
      </c>
      <c r="E45" s="156">
        <v>1319</v>
      </c>
      <c r="F45" s="156">
        <v>1370</v>
      </c>
      <c r="G45" s="156">
        <v>1778</v>
      </c>
      <c r="H45" s="156">
        <v>2175</v>
      </c>
      <c r="I45" s="156">
        <v>2582</v>
      </c>
      <c r="J45" s="156">
        <v>2813</v>
      </c>
      <c r="K45" s="156">
        <v>1729</v>
      </c>
      <c r="L45" s="156">
        <v>2826</v>
      </c>
      <c r="N45" s="156">
        <f>L45*1000</f>
        <v>2826000</v>
      </c>
      <c r="O45" s="156">
        <f>N45</f>
        <v>2826000</v>
      </c>
    </row>
    <row r="46" spans="2:18" ht="45" x14ac:dyDescent="0.35">
      <c r="B46" s="153" t="s">
        <v>168</v>
      </c>
      <c r="C46" s="157">
        <v>4179</v>
      </c>
      <c r="D46" s="157">
        <v>4258</v>
      </c>
      <c r="E46" s="157">
        <v>4687</v>
      </c>
      <c r="F46" s="157">
        <v>5007</v>
      </c>
      <c r="G46" s="157">
        <v>5077</v>
      </c>
      <c r="H46" s="157">
        <v>6258</v>
      </c>
      <c r="I46" s="157">
        <v>7058</v>
      </c>
      <c r="J46" s="157">
        <v>7551</v>
      </c>
      <c r="K46" s="157">
        <v>7741</v>
      </c>
      <c r="L46" s="157">
        <v>8878</v>
      </c>
      <c r="N46" s="157"/>
      <c r="O46" s="157"/>
    </row>
    <row r="47" spans="2:18" ht="45.5" thickBot="1" x14ac:dyDescent="0.4">
      <c r="B47" s="155" t="s">
        <v>169</v>
      </c>
      <c r="C47" s="156">
        <v>1027</v>
      </c>
      <c r="D47" s="156">
        <v>1095</v>
      </c>
      <c r="E47" s="156">
        <v>1201</v>
      </c>
      <c r="F47" s="156">
        <v>1291</v>
      </c>
      <c r="G47" s="156">
        <v>1385</v>
      </c>
      <c r="H47" s="156">
        <v>1444</v>
      </c>
      <c r="I47" s="156">
        <v>1508</v>
      </c>
      <c r="J47" s="156">
        <v>1320</v>
      </c>
      <c r="K47" s="156">
        <v>1408</v>
      </c>
      <c r="L47" s="156">
        <v>1482</v>
      </c>
      <c r="N47" s="158"/>
      <c r="O47" s="158"/>
    </row>
    <row r="48" spans="2:18" ht="15.5" x14ac:dyDescent="0.35">
      <c r="B48" s="364" t="s">
        <v>170</v>
      </c>
      <c r="C48" s="364"/>
      <c r="D48" s="364"/>
      <c r="E48" s="364"/>
      <c r="F48" s="364"/>
      <c r="G48" s="364"/>
      <c r="H48" s="364"/>
      <c r="I48" s="364"/>
      <c r="J48" s="364"/>
      <c r="K48" s="154"/>
      <c r="L48" s="154"/>
    </row>
    <row r="49" spans="2:12" ht="45" x14ac:dyDescent="0.35">
      <c r="B49" s="155" t="s">
        <v>171</v>
      </c>
      <c r="C49" s="156">
        <v>102665</v>
      </c>
      <c r="D49" s="156">
        <v>109462</v>
      </c>
      <c r="E49" s="156">
        <v>120098</v>
      </c>
      <c r="F49" s="156">
        <v>129110</v>
      </c>
      <c r="G49" s="156">
        <v>138530</v>
      </c>
      <c r="H49" s="156">
        <v>144410</v>
      </c>
      <c r="I49" s="156">
        <v>150816</v>
      </c>
      <c r="J49" s="156">
        <v>132028</v>
      </c>
      <c r="K49" s="156">
        <v>140794</v>
      </c>
      <c r="L49" s="156">
        <v>148200</v>
      </c>
    </row>
    <row r="51" spans="2:12" x14ac:dyDescent="0.35">
      <c r="C51" s="159" t="s">
        <v>172</v>
      </c>
      <c r="D51" s="160" t="s">
        <v>173</v>
      </c>
    </row>
  </sheetData>
  <mergeCells count="22">
    <mergeCell ref="B20:H20"/>
    <mergeCell ref="B5:E5"/>
    <mergeCell ref="B6:E6"/>
    <mergeCell ref="B7:D7"/>
    <mergeCell ref="F7:M7"/>
    <mergeCell ref="B13:D13"/>
    <mergeCell ref="B14:D14"/>
    <mergeCell ref="B15:D15"/>
    <mergeCell ref="B16:D16"/>
    <mergeCell ref="B17:D17"/>
    <mergeCell ref="B18:D18"/>
    <mergeCell ref="B19:I19"/>
    <mergeCell ref="B36:D36"/>
    <mergeCell ref="B39:D39"/>
    <mergeCell ref="O43:O44"/>
    <mergeCell ref="B48:J48"/>
    <mergeCell ref="B30:D30"/>
    <mergeCell ref="B31:D31"/>
    <mergeCell ref="B32:D32"/>
    <mergeCell ref="B33:D33"/>
    <mergeCell ref="B34:D34"/>
    <mergeCell ref="B35:D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ER Calculation</vt:lpstr>
      <vt:lpstr>Estimated ERs</vt:lpstr>
      <vt:lpstr>EF &amp; ER</vt:lpstr>
      <vt:lpstr>Generation Sheet </vt:lpstr>
      <vt:lpstr>wintage wise</vt:lpstr>
      <vt:lpstr>Meter details</vt:lpstr>
      <vt:lpstr>indian and nepal ele system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EnKing</dc:creator>
  <cp:lastModifiedBy>Pooja Verma</cp:lastModifiedBy>
  <dcterms:created xsi:type="dcterms:W3CDTF">2022-03-24T09:22:44Z</dcterms:created>
  <dcterms:modified xsi:type="dcterms:W3CDTF">2025-07-07T08:05:55Z</dcterms:modified>
</cp:coreProperties>
</file>