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ate1904="1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Merve\GS\Sütaş Tire Biogas\Sütaş Tire Biogas Verification_v6\"/>
    </mc:Choice>
  </mc:AlternateContent>
  <xr:revisionPtr revIDLastSave="0" documentId="13_ncr:1_{3E5DCF7C-35C0-4FC4-A921-42F8FDEB1562}" xr6:coauthVersionLast="47" xr6:coauthVersionMax="47" xr10:uidLastSave="{00000000-0000-0000-0000-000000000000}"/>
  <bookViews>
    <workbookView xWindow="-110" yWindow="-110" windowWidth="19420" windowHeight="10300" tabRatio="860" firstSheet="8" activeTab="15" xr2:uid="{00000000-000D-0000-FFFF-FFFF00000000}"/>
  </bookViews>
  <sheets>
    <sheet name="Sheet3" sheetId="6" state="hidden" r:id="rId1"/>
    <sheet name="Sheet2" sheetId="5" state="hidden" r:id="rId2"/>
    <sheet name="Sheet1" sheetId="4" state="hidden" r:id="rId3"/>
    <sheet name="Emission reduction" sheetId="9" r:id="rId4"/>
    <sheet name="Baseline Emission" sheetId="7" r:id="rId5"/>
    <sheet name="Baseline Heat" sheetId="20" r:id="rId6"/>
    <sheet name="Project Emission-Total" sheetId="8" r:id="rId7"/>
    <sheet name="Project Emission-2" sheetId="24" r:id="rId8"/>
    <sheet name="SOx and NOx" sheetId="21" r:id="rId9"/>
    <sheet name="CM " sheetId="23" r:id="rId10"/>
    <sheet name="EPIAS Records" sheetId="25" r:id="rId11"/>
    <sheet name="Average Temp" sheetId="18" r:id="rId12"/>
    <sheet name="Production" sheetId="27" r:id="rId13"/>
    <sheet name="2022 Biogas" sheetId="28" r:id="rId14"/>
    <sheet name="2023 Biogas" sheetId="29" r:id="rId15"/>
    <sheet name="2024 Biogas" sheetId="30" r:id="rId16"/>
    <sheet name="2022-Steam" sheetId="31" r:id="rId17"/>
    <sheet name="2023-Steam" sheetId="32" r:id="rId18"/>
    <sheet name="2024-Steam" sheetId="33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___W.O.R.K.B.O.O.K..C.O.N.T.E.N.T.S____">#REF!</definedName>
    <definedName name="_GHG2" localSheetId="10">#REF!</definedName>
    <definedName name="_GHG2">#REF!</definedName>
    <definedName name="AllGas" localSheetId="10">#REF!</definedName>
    <definedName name="AllGas">#REF!</definedName>
    <definedName name="Conservativeness">#REF!</definedName>
    <definedName name="CRF_4_KP__Doc">'[1]4(KP)'!$A$17:$E$18</definedName>
    <definedName name="CRF_4_KP__Main">'[1]4(KP)'!$A$5:$E$15</definedName>
    <definedName name="CRF_4_KP_I_A.1.1_Doc" localSheetId="10">#REF!</definedName>
    <definedName name="CRF_4_KP_I_A.1.1_Doc">#REF!</definedName>
    <definedName name="CRF_4_KP_I_A.1.1_Main">'[2]4(KP-I)A.1'!$A$6:$O$18</definedName>
    <definedName name="CRF_4_KP_I_A.1_Doc">'[3]4(KP-I)A'!$A$16:$AA$17</definedName>
    <definedName name="CRF_4_KP_I_A.1_Main">'[3]4(KP-I)A'!$A$6:$AA$14</definedName>
    <definedName name="CRF_4_KP_I_A.2.1_Doc" localSheetId="10">#REF!</definedName>
    <definedName name="CRF_4_KP_I_A.2.1_Doc">#REF!</definedName>
    <definedName name="CRF_4_KP_I_A.2.1_Main">'[4]4(KP-I)A.2'!$A$6:$B$9</definedName>
    <definedName name="CRF_4_KP_I_A.2_Doc" localSheetId="10">#REF!</definedName>
    <definedName name="CRF_4_KP_I_A.2_Doc">#REF!</definedName>
    <definedName name="CRF_4_KP_I_A.2_Main1">'[5]4(KP-I)A'!$A$6:$AA$14</definedName>
    <definedName name="CRF_4_KP_I_A.2_Main2">'[5]4(KP-I)A'!$A$18:$AA$24</definedName>
    <definedName name="CRF_4_KP_I_B.1.1_Doc" localSheetId="10">#REF!</definedName>
    <definedName name="CRF_4_KP_I_B.1.1_Doc">#REF!</definedName>
    <definedName name="CRF_4_KP_I_B.1.1_Main">'[6]4(KP-I)B.1'!$A$6:$C$10</definedName>
    <definedName name="CRF_4_KP_I_B.1.2_Doc">'[7]4(KP-I)B.1'!$A$13:$J$14</definedName>
    <definedName name="CRF_4_KP_I_B.1.2_Main">'[7]4(KP-I)B.1'!$A$7:$J$11</definedName>
    <definedName name="CRF_4_KP_I_B.1.3_Doc" localSheetId="10">#REF!</definedName>
    <definedName name="CRF_4_KP_I_B.1.3_Doc">#REF!</definedName>
    <definedName name="CRF_4_KP_I_B.1.3_Main">'[8]4(KP-I)B.1'!$A$6:$O$18</definedName>
    <definedName name="CRF_4_KP_I_B.1_Doc">'[9]4(KP-I)B'!$A$20:$AB$21</definedName>
    <definedName name="CRF_4_KP_I_B.1_Main">'[9]4(KP-I)B'!$A$6:$AB$18</definedName>
    <definedName name="CRF_4_KP_I_B.2_Doc">'[10]4(KP-I)B'!$A$13:$Z$14</definedName>
    <definedName name="CRF_4_KP_I_B.2_Main">'[10]4(KP-I)B'!$A$6:$Z$11</definedName>
    <definedName name="CRF_4_KP_I_B.3_Doc">'[11]4(KP-I)B'!$A$13:$Z$14</definedName>
    <definedName name="CRF_4_KP_I_B.3_Main">'[11]4(KP-I)B'!$A$6:$Z$11</definedName>
    <definedName name="CRF_4_KP_I_B.4_Doc">'[12]4(KP-I)B'!$A$13:$Z$14</definedName>
    <definedName name="CRF_4_KP_I_B.4_Main">'[12]4(KP-I)B'!$A$6:$Z$11</definedName>
    <definedName name="CRF_4_KP_I_B.5_Doc">'[13]4(KP-I)B'!$A$13:$Z$14</definedName>
    <definedName name="CRF_4_KP_I_B.5_Main">'[13]4(KP-I)B'!$A$6:$Z$11</definedName>
    <definedName name="CRF_4_KP_II_1_Doc">'[14]4(KP-II)1'!$A$15:$D$16</definedName>
    <definedName name="CRF_4_KP_II_1_Main">'[14]4(KP-II)1'!$A$6:$D$13</definedName>
    <definedName name="CRF_4_KP_II_2_Doc">'[15]4(KP-II)2'!$A$38:$F$39</definedName>
    <definedName name="CRF_4_KP_II_2_Main">'[15]4(KP-II)2'!$A$6:$F$36</definedName>
    <definedName name="CRF_4_KP_II_3_Doc">'[16]4(KP-II)3'!$A$23:$E$24</definedName>
    <definedName name="CRF_4_KP_II_3_Main">'[16]4(KP-II)3'!$A$6:$E$21</definedName>
    <definedName name="CRF_4_KP_II_4_Doc">'[17]4(KP-II)4'!$A$45:$J$46</definedName>
    <definedName name="CRF_4_KP_II_4_Main">'[17]4(KP-II)4'!$A$6:$J$43</definedName>
    <definedName name="CRF_4_KP_Recalculations_Doc">'[18]4(KP)Recalculations'!$A$74:$R$75</definedName>
    <definedName name="CRF_4_KP_Recalculations_Main1">'[18]4(KP)Recalculations'!$A$5:$R$60</definedName>
    <definedName name="CRF_4_KP_Recalculations_Main2">'[18]4(KP)Recalculations'!$A$62:$F$70</definedName>
    <definedName name="CRF_accounting_Main">[19]accounting!$A$7:$M$29</definedName>
    <definedName name="CRF_NIR_1_Add">'[20]NIR-1'!$A$33:$C$36</definedName>
    <definedName name="CRF_NIR_1_Main">'[20]NIR-1'!$A$5:$P$16</definedName>
    <definedName name="CRF_NIR_2.1_Main">'[21]NIR-2'!$A$5:$C$10</definedName>
    <definedName name="CRF_NIR_2_Main">'[22]NIR-2'!$A$5:$J$18</definedName>
    <definedName name="CRF_NIR_3_Main">'[23]NIR-3'!$A$5:$F$7</definedName>
    <definedName name="CRF_Table3.B_a_s2_Add" localSheetId="10">#REF!</definedName>
    <definedName name="CRF_Table3.B_a_s2_Add">#REF!</definedName>
    <definedName name="CRF_Table7_Main" localSheetId="10">#REF!</definedName>
    <definedName name="CRF_Table7_Main">#REF!</definedName>
    <definedName name="ectract?" localSheetId="10">#REF!</definedName>
    <definedName name="ectract?">#REF!</definedName>
    <definedName name="ELECT_UNITS" localSheetId="10">[24]CONVERTION_FACTORS!$H$3:$H$5</definedName>
    <definedName name="ELECT_UNITS">[25]CONVERTION_FACTORS!$H$3:$H$5</definedName>
    <definedName name="ELECT_UNITS2" localSheetId="10">[26]CONVERTION_FACTORS!$H$3:$H$5</definedName>
    <definedName name="ELECT_UNITS2">[27]CONVERTION_FACTORS!$H$3:$H$5</definedName>
    <definedName name="EM_UNITS" localSheetId="10">[24]CONVERTION_FACTORS!$G$3:$G$5</definedName>
    <definedName name="EM_UNITS">[25]CONVERTION_FACTORS!$G$3:$G$5</definedName>
    <definedName name="EM_UNITS2" localSheetId="10">[26]CONVERTION_FACTORS!$G$3:$G$5</definedName>
    <definedName name="EM_UNITS2">[27]CONVERTION_FACTORS!$G$3:$G$5</definedName>
    <definedName name="EN_UNITS" localSheetId="10">[24]CONVERTION_FACTORS!$B$3:$B$7</definedName>
    <definedName name="EN_UNITS">[25]CONVERTION_FACTORS!$B$3:$B$7</definedName>
    <definedName name="EN_UNITS3" localSheetId="10">[26]CONVERTION_FACTORS!$B$3:$B$7</definedName>
    <definedName name="EN_UNITS3">[27]CONVERTION_FACTORS!$B$3:$B$7</definedName>
    <definedName name="EN_Units2" localSheetId="10">[26]CONVERTION_FACTORS!$B$3:$B$7</definedName>
    <definedName name="EN_Units2">[27]CONVERTION_FACTORS!$B$3:$B$7</definedName>
    <definedName name="_xlnm.Extract" localSheetId="10">#REF!</definedName>
    <definedName name="_xlnm.Extract">#REF!</definedName>
    <definedName name="GasFlow" localSheetId="10">#REF!</definedName>
    <definedName name="GasFlow">#REF!</definedName>
    <definedName name="GasFlowType" localSheetId="10">#REF!</definedName>
    <definedName name="GasFlowType">#REF!</definedName>
    <definedName name="GasFlowUnits" localSheetId="10">#REF!</definedName>
    <definedName name="GasFlowUnits">#REF!</definedName>
    <definedName name="GasH2O">#REF!</definedName>
    <definedName name="GHG">#REF!</definedName>
    <definedName name="GHG_C">#REF!</definedName>
    <definedName name="GHG_E">#REF!</definedName>
    <definedName name="GHG_E_F" localSheetId="10">'[28]List of parameters'!$B$116:$B$126</definedName>
    <definedName name="GHG_E_F">'[29]List of parameters'!$B$116:$B$126</definedName>
    <definedName name="GHG_EF" localSheetId="10">'[28]List of parameters'!$B$116:$B$126</definedName>
    <definedName name="GHG_EF">'[29]List of parameters'!$B$116:$B$126</definedName>
    <definedName name="GHG_G" localSheetId="10">#REF!</definedName>
    <definedName name="GHG_G">#REF!</definedName>
    <definedName name="GHGD" localSheetId="10">#REF!</definedName>
    <definedName name="GHGD">#REF!</definedName>
    <definedName name="MMk" localSheetId="10">#REF!</definedName>
    <definedName name="MMk">#REF!</definedName>
    <definedName name="MoistureScenarios">#REF!</definedName>
    <definedName name="Opciones">#REF!</definedName>
    <definedName name="Option_1">#REF!</definedName>
    <definedName name="Option1or2">#REF!</definedName>
    <definedName name="OptionButton3">#REF!</definedName>
    <definedName name="Volume_flow___dry_basis">#REF!</definedName>
    <definedName name="Volume_flow___wet_basis">#REF!</definedName>
    <definedName name="Volumetric_fraction">#REF!</definedName>
    <definedName name="wetdr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30" l="1"/>
  <c r="E63" i="30"/>
  <c r="E95" i="30"/>
  <c r="E126" i="30"/>
  <c r="E158" i="30"/>
  <c r="O6" i="24"/>
  <c r="D4" i="24" l="1"/>
  <c r="D2" i="24"/>
  <c r="D3" i="24"/>
  <c r="C23" i="25"/>
  <c r="C22" i="25"/>
  <c r="G23" i="25"/>
  <c r="G22" i="25"/>
  <c r="D27" i="7" s="1"/>
  <c r="C37" i="20"/>
  <c r="C36" i="20"/>
  <c r="D13" i="9"/>
  <c r="D14" i="9" s="1"/>
  <c r="C13" i="9"/>
  <c r="C14" i="9" s="1"/>
  <c r="B13" i="9"/>
  <c r="B14" i="9" s="1"/>
  <c r="M43" i="7"/>
  <c r="B28" i="7"/>
  <c r="L4" i="9"/>
  <c r="F11" i="21"/>
  <c r="H11" i="21" s="1"/>
  <c r="F10" i="21"/>
  <c r="H10" i="21" s="1"/>
  <c r="E10" i="21"/>
  <c r="G10" i="21" s="1"/>
  <c r="F9" i="21"/>
  <c r="E9" i="21"/>
  <c r="C158" i="30"/>
  <c r="C126" i="30"/>
  <c r="C95" i="30"/>
  <c r="C63" i="30"/>
  <c r="C33" i="30"/>
  <c r="C378" i="29"/>
  <c r="C346" i="29"/>
  <c r="C315" i="29"/>
  <c r="C283" i="29"/>
  <c r="C252" i="29"/>
  <c r="C220" i="29"/>
  <c r="C188" i="29"/>
  <c r="C157" i="29"/>
  <c r="C125" i="29"/>
  <c r="C94" i="29"/>
  <c r="C62" i="29"/>
  <c r="C33" i="29"/>
  <c r="C138" i="28"/>
  <c r="C106" i="28"/>
  <c r="C75" i="28"/>
  <c r="C43" i="28"/>
  <c r="C12" i="28"/>
  <c r="A4" i="32"/>
  <c r="A5" i="32" s="1"/>
  <c r="A6" i="32" s="1"/>
  <c r="A7" i="32" s="1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52" i="32" s="1"/>
  <c r="A53" i="32" s="1"/>
  <c r="A54" i="32" s="1"/>
  <c r="A55" i="32" s="1"/>
  <c r="A56" i="32" s="1"/>
  <c r="A57" i="32" s="1"/>
  <c r="A58" i="32" s="1"/>
  <c r="A59" i="32" s="1"/>
  <c r="A60" i="32" s="1"/>
  <c r="A61" i="32" s="1"/>
  <c r="A62" i="32" s="1"/>
  <c r="A63" i="32" s="1"/>
  <c r="A64" i="32" s="1"/>
  <c r="A65" i="32" s="1"/>
  <c r="A66" i="32" s="1"/>
  <c r="A67" i="32" s="1"/>
  <c r="A68" i="32" s="1"/>
  <c r="A69" i="32" s="1"/>
  <c r="A70" i="32" s="1"/>
  <c r="A71" i="32" s="1"/>
  <c r="A72" i="32" s="1"/>
  <c r="A73" i="32" s="1"/>
  <c r="A74" i="32" s="1"/>
  <c r="A75" i="32" s="1"/>
  <c r="A76" i="32" s="1"/>
  <c r="A77" i="32" s="1"/>
  <c r="A78" i="32" s="1"/>
  <c r="A79" i="32" s="1"/>
  <c r="A80" i="32" s="1"/>
  <c r="A81" i="32" s="1"/>
  <c r="A82" i="32" s="1"/>
  <c r="A83" i="32" s="1"/>
  <c r="A84" i="32" s="1"/>
  <c r="A85" i="32" s="1"/>
  <c r="A86" i="32" s="1"/>
  <c r="A87" i="32" s="1"/>
  <c r="A88" i="32" s="1"/>
  <c r="A89" i="32" s="1"/>
  <c r="A90" i="32" s="1"/>
  <c r="A91" i="32" s="1"/>
  <c r="A92" i="32" s="1"/>
  <c r="A93" i="32" s="1"/>
  <c r="A94" i="32" s="1"/>
  <c r="A95" i="32" s="1"/>
  <c r="A96" i="32" s="1"/>
  <c r="A97" i="32" s="1"/>
  <c r="A98" i="32" s="1"/>
  <c r="A99" i="32" s="1"/>
  <c r="A100" i="32" s="1"/>
  <c r="A101" i="32" s="1"/>
  <c r="A102" i="32" s="1"/>
  <c r="A103" i="32" s="1"/>
  <c r="A104" i="32" s="1"/>
  <c r="A105" i="32" s="1"/>
  <c r="A106" i="32" s="1"/>
  <c r="A107" i="32" s="1"/>
  <c r="A108" i="32" s="1"/>
  <c r="A109" i="32" s="1"/>
  <c r="A110" i="32" s="1"/>
  <c r="A111" i="32" s="1"/>
  <c r="A112" i="32" s="1"/>
  <c r="A113" i="32" s="1"/>
  <c r="A114" i="32" s="1"/>
  <c r="A115" i="32" s="1"/>
  <c r="A116" i="32" s="1"/>
  <c r="A117" i="32" s="1"/>
  <c r="A118" i="32" s="1"/>
  <c r="A119" i="32" s="1"/>
  <c r="A120" i="32" s="1"/>
  <c r="A121" i="32" s="1"/>
  <c r="A122" i="32" s="1"/>
  <c r="A123" i="32" s="1"/>
  <c r="A124" i="32" s="1"/>
  <c r="A125" i="32" s="1"/>
  <c r="A126" i="32" s="1"/>
  <c r="A127" i="32" s="1"/>
  <c r="A128" i="32" s="1"/>
  <c r="A129" i="32" s="1"/>
  <c r="A130" i="32" s="1"/>
  <c r="A131" i="32" s="1"/>
  <c r="A132" i="32" s="1"/>
  <c r="A133" i="32" s="1"/>
  <c r="A134" i="32" s="1"/>
  <c r="A135" i="32" s="1"/>
  <c r="A136" i="32" s="1"/>
  <c r="A137" i="32" s="1"/>
  <c r="A138" i="32" s="1"/>
  <c r="A139" i="32" s="1"/>
  <c r="A140" i="32" s="1"/>
  <c r="A141" i="32" s="1"/>
  <c r="A142" i="32" s="1"/>
  <c r="A143" i="32" s="1"/>
  <c r="A144" i="32" s="1"/>
  <c r="A145" i="32" s="1"/>
  <c r="A146" i="32" s="1"/>
  <c r="A147" i="32" s="1"/>
  <c r="A148" i="32" s="1"/>
  <c r="A149" i="32" s="1"/>
  <c r="A150" i="32" s="1"/>
  <c r="A151" i="32" s="1"/>
  <c r="A152" i="32" s="1"/>
  <c r="A153" i="32" s="1"/>
  <c r="A154" i="32" s="1"/>
  <c r="A155" i="32" s="1"/>
  <c r="A156" i="32" s="1"/>
  <c r="A157" i="32" s="1"/>
  <c r="A158" i="32" s="1"/>
  <c r="A159" i="32" s="1"/>
  <c r="A160" i="32" s="1"/>
  <c r="A161" i="32" s="1"/>
  <c r="A162" i="32" s="1"/>
  <c r="A163" i="32" s="1"/>
  <c r="A164" i="32" s="1"/>
  <c r="A165" i="32" s="1"/>
  <c r="A166" i="32" s="1"/>
  <c r="A167" i="32" s="1"/>
  <c r="A168" i="32" s="1"/>
  <c r="A169" i="32" s="1"/>
  <c r="A170" i="32" s="1"/>
  <c r="A171" i="32" s="1"/>
  <c r="A172" i="32" s="1"/>
  <c r="A173" i="32" s="1"/>
  <c r="A174" i="32" s="1"/>
  <c r="A175" i="32" s="1"/>
  <c r="A176" i="32" s="1"/>
  <c r="A177" i="32" s="1"/>
  <c r="A178" i="32" s="1"/>
  <c r="A179" i="32" s="1"/>
  <c r="A180" i="32" s="1"/>
  <c r="A181" i="32" s="1"/>
  <c r="A182" i="32" s="1"/>
  <c r="A183" i="32" s="1"/>
  <c r="A184" i="32" s="1"/>
  <c r="A185" i="32" s="1"/>
  <c r="A186" i="32" s="1"/>
  <c r="A187" i="32" s="1"/>
  <c r="A188" i="32" s="1"/>
  <c r="A189" i="32" s="1"/>
  <c r="A190" i="32" s="1"/>
  <c r="A191" i="32" s="1"/>
  <c r="A192" i="32" s="1"/>
  <c r="A193" i="32" s="1"/>
  <c r="A194" i="32" s="1"/>
  <c r="A195" i="32" s="1"/>
  <c r="A196" i="32" s="1"/>
  <c r="A197" i="32" s="1"/>
  <c r="A198" i="32" s="1"/>
  <c r="A199" i="32" s="1"/>
  <c r="A200" i="32" s="1"/>
  <c r="A201" i="32" s="1"/>
  <c r="A202" i="32" s="1"/>
  <c r="A203" i="32" s="1"/>
  <c r="A204" i="32" s="1"/>
  <c r="A205" i="32" s="1"/>
  <c r="A206" i="32" s="1"/>
  <c r="A207" i="32" s="1"/>
  <c r="A208" i="32" s="1"/>
  <c r="A209" i="32" s="1"/>
  <c r="A210" i="32" s="1"/>
  <c r="A211" i="32" s="1"/>
  <c r="A212" i="32" s="1"/>
  <c r="A213" i="32" s="1"/>
  <c r="A214" i="32" s="1"/>
  <c r="A215" i="32" s="1"/>
  <c r="A216" i="32" s="1"/>
  <c r="A217" i="32" s="1"/>
  <c r="A218" i="32" s="1"/>
  <c r="A219" i="32" s="1"/>
  <c r="A220" i="32" s="1"/>
  <c r="A221" i="32" s="1"/>
  <c r="A222" i="32" s="1"/>
  <c r="A223" i="32" s="1"/>
  <c r="A224" i="32" s="1"/>
  <c r="A225" i="32" s="1"/>
  <c r="A226" i="32" s="1"/>
  <c r="A227" i="32" s="1"/>
  <c r="A228" i="32" s="1"/>
  <c r="A229" i="32" s="1"/>
  <c r="A230" i="32" s="1"/>
  <c r="A231" i="32" s="1"/>
  <c r="A232" i="32" s="1"/>
  <c r="A233" i="32" s="1"/>
  <c r="A234" i="32" s="1"/>
  <c r="A235" i="32" s="1"/>
  <c r="A236" i="32" s="1"/>
  <c r="A237" i="32" s="1"/>
  <c r="A238" i="32" s="1"/>
  <c r="A239" i="32" s="1"/>
  <c r="A240" i="32" s="1"/>
  <c r="A241" i="32" s="1"/>
  <c r="A242" i="32" s="1"/>
  <c r="A243" i="32" s="1"/>
  <c r="A244" i="32" s="1"/>
  <c r="A245" i="32" s="1"/>
  <c r="A246" i="32" s="1"/>
  <c r="A247" i="32" s="1"/>
  <c r="A248" i="32" s="1"/>
  <c r="A249" i="32" s="1"/>
  <c r="A250" i="32" s="1"/>
  <c r="A251" i="32" s="1"/>
  <c r="A252" i="32" s="1"/>
  <c r="A253" i="32" s="1"/>
  <c r="A254" i="32" s="1"/>
  <c r="A255" i="32" s="1"/>
  <c r="A256" i="32" s="1"/>
  <c r="A257" i="32" s="1"/>
  <c r="A258" i="32" s="1"/>
  <c r="A259" i="32" s="1"/>
  <c r="A260" i="32" s="1"/>
  <c r="A261" i="32" s="1"/>
  <c r="A262" i="32" s="1"/>
  <c r="A263" i="32" s="1"/>
  <c r="A264" i="32" s="1"/>
  <c r="A265" i="32" s="1"/>
  <c r="A266" i="32" s="1"/>
  <c r="A267" i="32" s="1"/>
  <c r="A268" i="32" s="1"/>
  <c r="A269" i="32" s="1"/>
  <c r="A270" i="32" s="1"/>
  <c r="A271" i="32" s="1"/>
  <c r="A272" i="32" s="1"/>
  <c r="A273" i="32" s="1"/>
  <c r="A274" i="32" s="1"/>
  <c r="A275" i="32" s="1"/>
  <c r="A276" i="32" s="1"/>
  <c r="A277" i="32" s="1"/>
  <c r="A278" i="32" s="1"/>
  <c r="A279" i="32" s="1"/>
  <c r="A280" i="32" s="1"/>
  <c r="A281" i="32" s="1"/>
  <c r="A282" i="32" s="1"/>
  <c r="A283" i="32" s="1"/>
  <c r="A284" i="32" s="1"/>
  <c r="A285" i="32" s="1"/>
  <c r="A286" i="32" s="1"/>
  <c r="A287" i="32" s="1"/>
  <c r="A288" i="32" s="1"/>
  <c r="A289" i="32" s="1"/>
  <c r="A290" i="32" s="1"/>
  <c r="A291" i="32" s="1"/>
  <c r="A292" i="32" s="1"/>
  <c r="A293" i="32" s="1"/>
  <c r="A294" i="32" s="1"/>
  <c r="A295" i="32" s="1"/>
  <c r="A296" i="32" s="1"/>
  <c r="A297" i="32" s="1"/>
  <c r="A298" i="32" s="1"/>
  <c r="A299" i="32" s="1"/>
  <c r="A300" i="32" s="1"/>
  <c r="A301" i="32" s="1"/>
  <c r="A302" i="32" s="1"/>
  <c r="A303" i="32" s="1"/>
  <c r="A304" i="32" s="1"/>
  <c r="A305" i="32" s="1"/>
  <c r="A306" i="32" s="1"/>
  <c r="A307" i="32" s="1"/>
  <c r="A308" i="32" s="1"/>
  <c r="A309" i="32" s="1"/>
  <c r="A310" i="32" s="1"/>
  <c r="A311" i="32" s="1"/>
  <c r="A312" i="32" s="1"/>
  <c r="A313" i="32" s="1"/>
  <c r="A314" i="32" s="1"/>
  <c r="A315" i="32" s="1"/>
  <c r="A316" i="32" s="1"/>
  <c r="A317" i="32" s="1"/>
  <c r="A318" i="32" s="1"/>
  <c r="A319" i="32" s="1"/>
  <c r="A320" i="32" s="1"/>
  <c r="A321" i="32" s="1"/>
  <c r="A322" i="32" s="1"/>
  <c r="A323" i="32" s="1"/>
  <c r="A324" i="32" s="1"/>
  <c r="A325" i="32" s="1"/>
  <c r="A326" i="32" s="1"/>
  <c r="A327" i="32" s="1"/>
  <c r="A328" i="32" s="1"/>
  <c r="A329" i="32" s="1"/>
  <c r="A330" i="32" s="1"/>
  <c r="A331" i="32" s="1"/>
  <c r="A332" i="32" s="1"/>
  <c r="A333" i="32" s="1"/>
  <c r="A334" i="32" s="1"/>
  <c r="A335" i="32" s="1"/>
  <c r="A336" i="32" s="1"/>
  <c r="A337" i="32" s="1"/>
  <c r="A338" i="32" s="1"/>
  <c r="A339" i="32" s="1"/>
  <c r="A340" i="32" s="1"/>
  <c r="A341" i="32" s="1"/>
  <c r="A342" i="32" s="1"/>
  <c r="A343" i="32" s="1"/>
  <c r="A344" i="32" s="1"/>
  <c r="A345" i="32" s="1"/>
  <c r="A346" i="32" s="1"/>
  <c r="A347" i="32" s="1"/>
  <c r="A348" i="32" s="1"/>
  <c r="A349" i="32" s="1"/>
  <c r="A350" i="32" s="1"/>
  <c r="A351" i="32" s="1"/>
  <c r="A352" i="32" s="1"/>
  <c r="A353" i="32" s="1"/>
  <c r="A354" i="32" s="1"/>
  <c r="A355" i="32" s="1"/>
  <c r="A356" i="32" s="1"/>
  <c r="A357" i="32" s="1"/>
  <c r="A358" i="32" s="1"/>
  <c r="A359" i="32" s="1"/>
  <c r="A360" i="32" s="1"/>
  <c r="A361" i="32" s="1"/>
  <c r="A362" i="32" s="1"/>
  <c r="A363" i="32" s="1"/>
  <c r="A364" i="32" s="1"/>
  <c r="A365" i="32" s="1"/>
  <c r="A366" i="32" s="1"/>
  <c r="A3" i="32"/>
  <c r="A4" i="31"/>
  <c r="A5" i="31"/>
  <c r="A6" i="31" s="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3" i="31"/>
  <c r="J4" i="24"/>
  <c r="J3" i="24"/>
  <c r="J5" i="24"/>
  <c r="K3" i="24"/>
  <c r="K2" i="24"/>
  <c r="L4" i="24"/>
  <c r="K4" i="24"/>
  <c r="L3" i="24"/>
  <c r="L2" i="24"/>
  <c r="J2" i="24"/>
  <c r="D28" i="7" l="1"/>
  <c r="E11" i="21"/>
  <c r="G11" i="21" s="1"/>
  <c r="C27" i="20"/>
  <c r="C10" i="25"/>
  <c r="B10" i="25"/>
  <c r="J8" i="27"/>
  <c r="J7" i="27"/>
  <c r="B184" i="33"/>
  <c r="A3" i="33"/>
  <c r="A4" i="33" s="1"/>
  <c r="A5" i="33" s="1"/>
  <c r="A6" i="33" s="1"/>
  <c r="A7" i="33" s="1"/>
  <c r="A8" i="33" s="1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A61" i="33" s="1"/>
  <c r="A62" i="33" s="1"/>
  <c r="A63" i="33" s="1"/>
  <c r="A64" i="33" s="1"/>
  <c r="A65" i="33" s="1"/>
  <c r="A66" i="33" s="1"/>
  <c r="A67" i="33" s="1"/>
  <c r="A68" i="33" s="1"/>
  <c r="A69" i="33" s="1"/>
  <c r="A70" i="33" s="1"/>
  <c r="A71" i="33" s="1"/>
  <c r="A72" i="33" s="1"/>
  <c r="A73" i="33" s="1"/>
  <c r="A74" i="33" s="1"/>
  <c r="A75" i="33" s="1"/>
  <c r="A76" i="33" s="1"/>
  <c r="A77" i="33" s="1"/>
  <c r="A78" i="33" s="1"/>
  <c r="A79" i="33" s="1"/>
  <c r="A80" i="33" s="1"/>
  <c r="A81" i="33" s="1"/>
  <c r="A82" i="33" s="1"/>
  <c r="A83" i="33" s="1"/>
  <c r="A84" i="33" s="1"/>
  <c r="A85" i="33" s="1"/>
  <c r="A86" i="33" s="1"/>
  <c r="A87" i="33" s="1"/>
  <c r="A88" i="33" s="1"/>
  <c r="A89" i="33" s="1"/>
  <c r="A90" i="33" s="1"/>
  <c r="A91" i="33" s="1"/>
  <c r="A92" i="33" s="1"/>
  <c r="A93" i="33" s="1"/>
  <c r="A94" i="33" s="1"/>
  <c r="A95" i="33" s="1"/>
  <c r="A96" i="33" s="1"/>
  <c r="A97" i="33" s="1"/>
  <c r="A98" i="33" s="1"/>
  <c r="A99" i="33" s="1"/>
  <c r="A100" i="33" s="1"/>
  <c r="A101" i="33" s="1"/>
  <c r="A102" i="33" s="1"/>
  <c r="A103" i="33" s="1"/>
  <c r="A104" i="33" s="1"/>
  <c r="A105" i="33" s="1"/>
  <c r="A106" i="33" s="1"/>
  <c r="A107" i="33" s="1"/>
  <c r="A108" i="33" s="1"/>
  <c r="A109" i="33" s="1"/>
  <c r="A110" i="33" s="1"/>
  <c r="A111" i="33" s="1"/>
  <c r="A112" i="33" s="1"/>
  <c r="A113" i="33" s="1"/>
  <c r="A114" i="33" s="1"/>
  <c r="A115" i="33" s="1"/>
  <c r="A116" i="33" s="1"/>
  <c r="A117" i="33" s="1"/>
  <c r="A118" i="33" s="1"/>
  <c r="A119" i="33" s="1"/>
  <c r="A120" i="33" s="1"/>
  <c r="A121" i="33" s="1"/>
  <c r="A122" i="33" s="1"/>
  <c r="A123" i="33" s="1"/>
  <c r="A124" i="33" s="1"/>
  <c r="A125" i="33" s="1"/>
  <c r="A126" i="33" s="1"/>
  <c r="A127" i="33" s="1"/>
  <c r="A128" i="33" s="1"/>
  <c r="A129" i="33" s="1"/>
  <c r="A130" i="33" s="1"/>
  <c r="A131" i="33" s="1"/>
  <c r="A132" i="33" s="1"/>
  <c r="A133" i="33" s="1"/>
  <c r="A134" i="33" s="1"/>
  <c r="A135" i="33" s="1"/>
  <c r="A136" i="33" s="1"/>
  <c r="A137" i="33" s="1"/>
  <c r="A138" i="33" s="1"/>
  <c r="A139" i="33" s="1"/>
  <c r="A140" i="33" s="1"/>
  <c r="A141" i="33" s="1"/>
  <c r="A142" i="33" s="1"/>
  <c r="A143" i="33" s="1"/>
  <c r="A144" i="33" s="1"/>
  <c r="A145" i="33" s="1"/>
  <c r="A146" i="33" s="1"/>
  <c r="A147" i="33" s="1"/>
  <c r="A148" i="33" s="1"/>
  <c r="A149" i="33" s="1"/>
  <c r="A150" i="33" s="1"/>
  <c r="A151" i="33" s="1"/>
  <c r="A152" i="33" s="1"/>
  <c r="A153" i="33" s="1"/>
  <c r="A154" i="33" s="1"/>
  <c r="A155" i="33" s="1"/>
  <c r="A156" i="33" s="1"/>
  <c r="A157" i="33" s="1"/>
  <c r="A158" i="33" s="1"/>
  <c r="A159" i="33" s="1"/>
  <c r="A160" i="33" s="1"/>
  <c r="A161" i="33" s="1"/>
  <c r="A162" i="33" s="1"/>
  <c r="A163" i="33" s="1"/>
  <c r="A164" i="33" s="1"/>
  <c r="A165" i="33" s="1"/>
  <c r="A166" i="33" s="1"/>
  <c r="A167" i="33" s="1"/>
  <c r="A168" i="33" s="1"/>
  <c r="A169" i="33" s="1"/>
  <c r="A170" i="33" s="1"/>
  <c r="A171" i="33" s="1"/>
  <c r="A172" i="33" s="1"/>
  <c r="A173" i="33" s="1"/>
  <c r="A174" i="33" s="1"/>
  <c r="A175" i="33" s="1"/>
  <c r="A176" i="33" s="1"/>
  <c r="A177" i="33" s="1"/>
  <c r="A178" i="33" s="1"/>
  <c r="A179" i="33" s="1"/>
  <c r="A180" i="33" s="1"/>
  <c r="A181" i="33" s="1"/>
  <c r="A182" i="33" s="1"/>
  <c r="A183" i="33" s="1"/>
  <c r="B367" i="32"/>
  <c r="B134" i="31"/>
  <c r="M3" i="24" l="1"/>
  <c r="M4" i="24"/>
  <c r="M2" i="24"/>
  <c r="E4" i="24"/>
  <c r="E3" i="24"/>
  <c r="E2" i="24"/>
  <c r="L5" i="24"/>
  <c r="K5" i="24"/>
  <c r="F108" i="28"/>
  <c r="F109" i="28"/>
  <c r="F110" i="28"/>
  <c r="F111" i="28"/>
  <c r="F112" i="28"/>
  <c r="F113" i="28"/>
  <c r="F114" i="28"/>
  <c r="F115" i="28"/>
  <c r="F116" i="28"/>
  <c r="F117" i="28"/>
  <c r="F118" i="28"/>
  <c r="F119" i="28"/>
  <c r="F120" i="28"/>
  <c r="F121" i="28"/>
  <c r="F122" i="28"/>
  <c r="F123" i="28"/>
  <c r="F124" i="28"/>
  <c r="F125" i="28"/>
  <c r="F126" i="28"/>
  <c r="F127" i="28"/>
  <c r="F128" i="28"/>
  <c r="F129" i="28"/>
  <c r="F130" i="28"/>
  <c r="F131" i="28"/>
  <c r="F132" i="28"/>
  <c r="F133" i="28"/>
  <c r="F134" i="28"/>
  <c r="F135" i="28"/>
  <c r="F136" i="28"/>
  <c r="F137" i="28"/>
  <c r="F107" i="28"/>
  <c r="F77" i="28"/>
  <c r="F78" i="28"/>
  <c r="F79" i="28"/>
  <c r="F80" i="28"/>
  <c r="F81" i="28"/>
  <c r="F82" i="28"/>
  <c r="F83" i="28"/>
  <c r="F84" i="28"/>
  <c r="F85" i="28"/>
  <c r="F86" i="28"/>
  <c r="F87" i="28"/>
  <c r="F88" i="28"/>
  <c r="F89" i="28"/>
  <c r="F90" i="28"/>
  <c r="F91" i="28"/>
  <c r="F92" i="28"/>
  <c r="F93" i="28"/>
  <c r="F94" i="28"/>
  <c r="F95" i="28"/>
  <c r="F96" i="28"/>
  <c r="F97" i="28"/>
  <c r="F98" i="28"/>
  <c r="F99" i="28"/>
  <c r="F100" i="28"/>
  <c r="F101" i="28"/>
  <c r="F102" i="28"/>
  <c r="F103" i="28"/>
  <c r="F104" i="28"/>
  <c r="F105" i="28"/>
  <c r="F76" i="28"/>
  <c r="F45" i="28"/>
  <c r="F46" i="28"/>
  <c r="F47" i="28"/>
  <c r="F48" i="28"/>
  <c r="F49" i="28"/>
  <c r="F50" i="28"/>
  <c r="F51" i="28"/>
  <c r="F52" i="28"/>
  <c r="F53" i="28"/>
  <c r="F54" i="28"/>
  <c r="F55" i="28"/>
  <c r="F56" i="28"/>
  <c r="F57" i="28"/>
  <c r="F58" i="28"/>
  <c r="F59" i="28"/>
  <c r="F60" i="28"/>
  <c r="F61" i="28"/>
  <c r="F62" i="28"/>
  <c r="F63" i="28"/>
  <c r="F64" i="28"/>
  <c r="F65" i="28"/>
  <c r="F66" i="28"/>
  <c r="F67" i="28"/>
  <c r="F68" i="28"/>
  <c r="F69" i="28"/>
  <c r="F70" i="28"/>
  <c r="F71" i="28"/>
  <c r="F72" i="28"/>
  <c r="F73" i="28"/>
  <c r="F74" i="28"/>
  <c r="F44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F34" i="28"/>
  <c r="F35" i="28"/>
  <c r="F36" i="28"/>
  <c r="F37" i="28"/>
  <c r="F38" i="28"/>
  <c r="F39" i="28"/>
  <c r="F40" i="28"/>
  <c r="F41" i="28"/>
  <c r="F42" i="28"/>
  <c r="F13" i="28"/>
  <c r="F2" i="28"/>
  <c r="F3" i="28"/>
  <c r="F4" i="28"/>
  <c r="F5" i="28"/>
  <c r="F6" i="28"/>
  <c r="F7" i="28"/>
  <c r="F8" i="28"/>
  <c r="F9" i="28"/>
  <c r="F10" i="28"/>
  <c r="F11" i="28"/>
  <c r="F348" i="29"/>
  <c r="F349" i="29"/>
  <c r="F350" i="29"/>
  <c r="F351" i="29"/>
  <c r="F352" i="29"/>
  <c r="F353" i="29"/>
  <c r="F354" i="29"/>
  <c r="F355" i="29"/>
  <c r="F356" i="29"/>
  <c r="F357" i="29"/>
  <c r="F358" i="29"/>
  <c r="F359" i="29"/>
  <c r="F360" i="29"/>
  <c r="F361" i="29"/>
  <c r="F362" i="29"/>
  <c r="F363" i="29"/>
  <c r="F364" i="29"/>
  <c r="F365" i="29"/>
  <c r="F366" i="29"/>
  <c r="F367" i="29"/>
  <c r="F368" i="29"/>
  <c r="F369" i="29"/>
  <c r="F370" i="29"/>
  <c r="F371" i="29"/>
  <c r="F372" i="29"/>
  <c r="F373" i="29"/>
  <c r="F374" i="29"/>
  <c r="F375" i="29"/>
  <c r="F376" i="29"/>
  <c r="F377" i="29"/>
  <c r="F347" i="29"/>
  <c r="F317" i="29"/>
  <c r="F318" i="29"/>
  <c r="F319" i="29"/>
  <c r="F320" i="29"/>
  <c r="F321" i="29"/>
  <c r="F322" i="29"/>
  <c r="F323" i="29"/>
  <c r="F324" i="29"/>
  <c r="F325" i="29"/>
  <c r="F326" i="29"/>
  <c r="F327" i="29"/>
  <c r="F328" i="29"/>
  <c r="F329" i="29"/>
  <c r="F330" i="29"/>
  <c r="F331" i="29"/>
  <c r="F332" i="29"/>
  <c r="F333" i="29"/>
  <c r="F334" i="29"/>
  <c r="F335" i="29"/>
  <c r="F336" i="29"/>
  <c r="F337" i="29"/>
  <c r="F338" i="29"/>
  <c r="F339" i="29"/>
  <c r="F340" i="29"/>
  <c r="F341" i="29"/>
  <c r="F342" i="29"/>
  <c r="F343" i="29"/>
  <c r="F344" i="29"/>
  <c r="F345" i="29"/>
  <c r="F316" i="29"/>
  <c r="F285" i="29"/>
  <c r="F286" i="29"/>
  <c r="F287" i="29"/>
  <c r="F288" i="29"/>
  <c r="F289" i="29"/>
  <c r="F290" i="29"/>
  <c r="F291" i="29"/>
  <c r="F292" i="29"/>
  <c r="F293" i="29"/>
  <c r="F294" i="29"/>
  <c r="F295" i="29"/>
  <c r="F296" i="29"/>
  <c r="F297" i="29"/>
  <c r="F298" i="29"/>
  <c r="F299" i="29"/>
  <c r="F300" i="29"/>
  <c r="F301" i="29"/>
  <c r="F302" i="29"/>
  <c r="F303" i="29"/>
  <c r="F304" i="29"/>
  <c r="F305" i="29"/>
  <c r="F306" i="29"/>
  <c r="F307" i="29"/>
  <c r="F308" i="29"/>
  <c r="F309" i="29"/>
  <c r="F310" i="29"/>
  <c r="F311" i="29"/>
  <c r="F312" i="29"/>
  <c r="F313" i="29"/>
  <c r="F314" i="29"/>
  <c r="F284" i="29"/>
  <c r="F254" i="29"/>
  <c r="F255" i="29"/>
  <c r="F256" i="29"/>
  <c r="F257" i="29"/>
  <c r="F258" i="29"/>
  <c r="F259" i="29"/>
  <c r="F260" i="29"/>
  <c r="F261" i="29"/>
  <c r="F262" i="29"/>
  <c r="F263" i="29"/>
  <c r="F264" i="29"/>
  <c r="F265" i="29"/>
  <c r="F266" i="29"/>
  <c r="F267" i="29"/>
  <c r="F268" i="29"/>
  <c r="F269" i="29"/>
  <c r="F270" i="29"/>
  <c r="F271" i="29"/>
  <c r="F272" i="29"/>
  <c r="F273" i="29"/>
  <c r="F274" i="29"/>
  <c r="F275" i="29"/>
  <c r="F276" i="29"/>
  <c r="F277" i="29"/>
  <c r="F278" i="29"/>
  <c r="F279" i="29"/>
  <c r="F280" i="29"/>
  <c r="F281" i="29"/>
  <c r="F282" i="29"/>
  <c r="F253" i="29"/>
  <c r="F222" i="29"/>
  <c r="F223" i="29"/>
  <c r="F224" i="29"/>
  <c r="F225" i="29"/>
  <c r="F226" i="29"/>
  <c r="F227" i="29"/>
  <c r="F228" i="29"/>
  <c r="F229" i="29"/>
  <c r="F230" i="29"/>
  <c r="F231" i="29"/>
  <c r="F232" i="29"/>
  <c r="F233" i="29"/>
  <c r="F234" i="29"/>
  <c r="F235" i="29"/>
  <c r="F236" i="29"/>
  <c r="F237" i="29"/>
  <c r="F238" i="29"/>
  <c r="F239" i="29"/>
  <c r="F240" i="29"/>
  <c r="F241" i="29"/>
  <c r="F242" i="29"/>
  <c r="F243" i="29"/>
  <c r="F244" i="29"/>
  <c r="F245" i="29"/>
  <c r="F246" i="29"/>
  <c r="F247" i="29"/>
  <c r="F248" i="29"/>
  <c r="F249" i="29"/>
  <c r="F250" i="29"/>
  <c r="F251" i="29"/>
  <c r="F221" i="29"/>
  <c r="F190" i="29"/>
  <c r="F191" i="29"/>
  <c r="F192" i="29"/>
  <c r="F193" i="29"/>
  <c r="F194" i="29"/>
  <c r="F195" i="29"/>
  <c r="F196" i="29"/>
  <c r="F197" i="29"/>
  <c r="F198" i="29"/>
  <c r="F199" i="29"/>
  <c r="F200" i="29"/>
  <c r="F201" i="29"/>
  <c r="F202" i="29"/>
  <c r="F203" i="29"/>
  <c r="F204" i="29"/>
  <c r="F205" i="29"/>
  <c r="F206" i="29"/>
  <c r="F207" i="29"/>
  <c r="F208" i="29"/>
  <c r="F209" i="29"/>
  <c r="F210" i="29"/>
  <c r="F211" i="29"/>
  <c r="F212" i="29"/>
  <c r="F213" i="29"/>
  <c r="F214" i="29"/>
  <c r="F215" i="29"/>
  <c r="F216" i="29"/>
  <c r="F217" i="29"/>
  <c r="F218" i="29"/>
  <c r="F219" i="29"/>
  <c r="F189" i="29"/>
  <c r="F159" i="29"/>
  <c r="F160" i="29"/>
  <c r="F161" i="29"/>
  <c r="F162" i="29"/>
  <c r="F163" i="29"/>
  <c r="F164" i="29"/>
  <c r="F165" i="29"/>
  <c r="F166" i="29"/>
  <c r="F167" i="29"/>
  <c r="F168" i="29"/>
  <c r="F169" i="29"/>
  <c r="F170" i="29"/>
  <c r="F171" i="29"/>
  <c r="F172" i="29"/>
  <c r="F173" i="29"/>
  <c r="F174" i="29"/>
  <c r="F175" i="29"/>
  <c r="F176" i="29"/>
  <c r="F177" i="29"/>
  <c r="F178" i="29"/>
  <c r="F179" i="29"/>
  <c r="F180" i="29"/>
  <c r="F181" i="29"/>
  <c r="F182" i="29"/>
  <c r="F183" i="29"/>
  <c r="F184" i="29"/>
  <c r="F185" i="29"/>
  <c r="F186" i="29"/>
  <c r="F187" i="29"/>
  <c r="F158" i="29"/>
  <c r="F127" i="29"/>
  <c r="F128" i="29"/>
  <c r="F129" i="29"/>
  <c r="F130" i="29"/>
  <c r="F131" i="29"/>
  <c r="F132" i="29"/>
  <c r="F133" i="29"/>
  <c r="F134" i="29"/>
  <c r="F135" i="29"/>
  <c r="F136" i="29"/>
  <c r="F137" i="29"/>
  <c r="F138" i="29"/>
  <c r="F139" i="29"/>
  <c r="F140" i="29"/>
  <c r="F141" i="29"/>
  <c r="F142" i="29"/>
  <c r="F143" i="29"/>
  <c r="F144" i="29"/>
  <c r="F145" i="29"/>
  <c r="F146" i="29"/>
  <c r="F147" i="29"/>
  <c r="F148" i="29"/>
  <c r="F149" i="29"/>
  <c r="F150" i="29"/>
  <c r="F151" i="29"/>
  <c r="F152" i="29"/>
  <c r="F153" i="29"/>
  <c r="F154" i="29"/>
  <c r="F155" i="29"/>
  <c r="F156" i="29"/>
  <c r="F126" i="29"/>
  <c r="F96" i="29"/>
  <c r="F97" i="29"/>
  <c r="F98" i="29"/>
  <c r="F99" i="29"/>
  <c r="F100" i="29"/>
  <c r="F101" i="29"/>
  <c r="F102" i="29"/>
  <c r="F103" i="29"/>
  <c r="F104" i="29"/>
  <c r="F105" i="29"/>
  <c r="F106" i="29"/>
  <c r="F107" i="29"/>
  <c r="F108" i="29"/>
  <c r="F109" i="29"/>
  <c r="F110" i="29"/>
  <c r="F111" i="29"/>
  <c r="F112" i="29"/>
  <c r="F113" i="29"/>
  <c r="F114" i="29"/>
  <c r="F115" i="29"/>
  <c r="F116" i="29"/>
  <c r="F117" i="29"/>
  <c r="F118" i="29"/>
  <c r="F119" i="29"/>
  <c r="F120" i="29"/>
  <c r="F121" i="29"/>
  <c r="F122" i="29"/>
  <c r="F123" i="29"/>
  <c r="F124" i="29"/>
  <c r="F95" i="29"/>
  <c r="F64" i="29"/>
  <c r="F65" i="29"/>
  <c r="F66" i="29"/>
  <c r="F67" i="29"/>
  <c r="F68" i="29"/>
  <c r="F69" i="29"/>
  <c r="F70" i="29"/>
  <c r="F71" i="29"/>
  <c r="F72" i="29"/>
  <c r="F73" i="29"/>
  <c r="F74" i="29"/>
  <c r="F75" i="29"/>
  <c r="F76" i="29"/>
  <c r="F77" i="29"/>
  <c r="F78" i="29"/>
  <c r="F79" i="29"/>
  <c r="F80" i="29"/>
  <c r="F81" i="29"/>
  <c r="F82" i="29"/>
  <c r="F83" i="29"/>
  <c r="F84" i="29"/>
  <c r="F85" i="29"/>
  <c r="F86" i="29"/>
  <c r="F87" i="29"/>
  <c r="F88" i="29"/>
  <c r="F89" i="29"/>
  <c r="F90" i="29"/>
  <c r="F91" i="29"/>
  <c r="F92" i="29"/>
  <c r="F93" i="29"/>
  <c r="F63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F53" i="29"/>
  <c r="F54" i="29"/>
  <c r="F55" i="29"/>
  <c r="F56" i="29"/>
  <c r="F57" i="29"/>
  <c r="F58" i="29"/>
  <c r="F59" i="29"/>
  <c r="F60" i="29"/>
  <c r="F61" i="29"/>
  <c r="F34" i="29"/>
  <c r="F3" i="29"/>
  <c r="F4" i="29"/>
  <c r="F5" i="29"/>
  <c r="F6" i="29"/>
  <c r="F7" i="29"/>
  <c r="F8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27" i="29"/>
  <c r="F28" i="29"/>
  <c r="F29" i="29"/>
  <c r="F30" i="29"/>
  <c r="F31" i="29"/>
  <c r="F32" i="29"/>
  <c r="F2" i="29"/>
  <c r="F128" i="30"/>
  <c r="F129" i="30"/>
  <c r="F130" i="30"/>
  <c r="F131" i="30"/>
  <c r="F132" i="30"/>
  <c r="F133" i="30"/>
  <c r="F134" i="30"/>
  <c r="F135" i="30"/>
  <c r="F136" i="30"/>
  <c r="F137" i="30"/>
  <c r="F138" i="30"/>
  <c r="F139" i="30"/>
  <c r="F140" i="30"/>
  <c r="F141" i="30"/>
  <c r="F142" i="30"/>
  <c r="F143" i="30"/>
  <c r="F144" i="30"/>
  <c r="F145" i="30"/>
  <c r="F146" i="30"/>
  <c r="F147" i="30"/>
  <c r="F148" i="30"/>
  <c r="F149" i="30"/>
  <c r="F150" i="30"/>
  <c r="F151" i="30"/>
  <c r="F152" i="30"/>
  <c r="F153" i="30"/>
  <c r="F154" i="30"/>
  <c r="F155" i="30"/>
  <c r="F156" i="30"/>
  <c r="F157" i="30"/>
  <c r="F127" i="30"/>
  <c r="F97" i="30"/>
  <c r="F98" i="30"/>
  <c r="F99" i="30"/>
  <c r="F100" i="30"/>
  <c r="F101" i="30"/>
  <c r="F102" i="30"/>
  <c r="F103" i="30"/>
  <c r="F104" i="30"/>
  <c r="F105" i="30"/>
  <c r="F106" i="30"/>
  <c r="F107" i="30"/>
  <c r="F108" i="30"/>
  <c r="F109" i="30"/>
  <c r="F110" i="30"/>
  <c r="F111" i="30"/>
  <c r="F112" i="30"/>
  <c r="F113" i="30"/>
  <c r="F114" i="30"/>
  <c r="F115" i="30"/>
  <c r="F116" i="30"/>
  <c r="F117" i="30"/>
  <c r="F118" i="30"/>
  <c r="F119" i="30"/>
  <c r="F120" i="30"/>
  <c r="F121" i="30"/>
  <c r="F122" i="30"/>
  <c r="F123" i="30"/>
  <c r="F124" i="30"/>
  <c r="F125" i="30"/>
  <c r="F96" i="30"/>
  <c r="F65" i="30"/>
  <c r="F66" i="30"/>
  <c r="F67" i="30"/>
  <c r="F68" i="30"/>
  <c r="F69" i="30"/>
  <c r="F70" i="30"/>
  <c r="F71" i="30"/>
  <c r="F72" i="30"/>
  <c r="F73" i="30"/>
  <c r="F74" i="30"/>
  <c r="F75" i="30"/>
  <c r="F76" i="30"/>
  <c r="F77" i="30"/>
  <c r="F78" i="30"/>
  <c r="F79" i="30"/>
  <c r="F80" i="30"/>
  <c r="F81" i="30"/>
  <c r="F82" i="30"/>
  <c r="F83" i="30"/>
  <c r="F84" i="30"/>
  <c r="F85" i="30"/>
  <c r="F86" i="30"/>
  <c r="F87" i="30"/>
  <c r="F88" i="30"/>
  <c r="F89" i="30"/>
  <c r="F90" i="30"/>
  <c r="F91" i="30"/>
  <c r="F92" i="30"/>
  <c r="F93" i="30"/>
  <c r="F94" i="30"/>
  <c r="F64" i="30"/>
  <c r="F35" i="30"/>
  <c r="F36" i="30"/>
  <c r="F37" i="30"/>
  <c r="F38" i="30"/>
  <c r="F39" i="30"/>
  <c r="F40" i="30"/>
  <c r="F41" i="30"/>
  <c r="F42" i="30"/>
  <c r="F43" i="30"/>
  <c r="F44" i="30"/>
  <c r="F45" i="30"/>
  <c r="F46" i="30"/>
  <c r="F47" i="30"/>
  <c r="F48" i="30"/>
  <c r="F49" i="30"/>
  <c r="F50" i="30"/>
  <c r="F51" i="30"/>
  <c r="F52" i="30"/>
  <c r="F53" i="30"/>
  <c r="F54" i="30"/>
  <c r="F55" i="30"/>
  <c r="F56" i="30"/>
  <c r="F57" i="30"/>
  <c r="F58" i="30"/>
  <c r="F59" i="30"/>
  <c r="F60" i="30"/>
  <c r="F61" i="30"/>
  <c r="F62" i="30"/>
  <c r="F34" i="30"/>
  <c r="F3" i="30"/>
  <c r="F4" i="30"/>
  <c r="F5" i="30"/>
  <c r="F6" i="30"/>
  <c r="F7" i="30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F24" i="30"/>
  <c r="F25" i="30"/>
  <c r="F26" i="30"/>
  <c r="F27" i="30"/>
  <c r="F28" i="30"/>
  <c r="F29" i="30"/>
  <c r="F30" i="30"/>
  <c r="F31" i="30"/>
  <c r="F32" i="30"/>
  <c r="F2" i="30"/>
  <c r="B158" i="30"/>
  <c r="B126" i="30"/>
  <c r="B95" i="30"/>
  <c r="B63" i="30"/>
  <c r="K16" i="24"/>
  <c r="B33" i="30"/>
  <c r="A3" i="30"/>
  <c r="A4" i="30" s="1"/>
  <c r="A5" i="30" s="1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E378" i="29"/>
  <c r="B378" i="29"/>
  <c r="E346" i="29"/>
  <c r="B346" i="29"/>
  <c r="E315" i="29"/>
  <c r="B315" i="29"/>
  <c r="E283" i="29"/>
  <c r="B283" i="29"/>
  <c r="E252" i="29"/>
  <c r="B252" i="29"/>
  <c r="E220" i="29"/>
  <c r="B220" i="29"/>
  <c r="E188" i="29"/>
  <c r="B188" i="29"/>
  <c r="E157" i="29"/>
  <c r="B157" i="29"/>
  <c r="E125" i="29"/>
  <c r="B125" i="29"/>
  <c r="E94" i="29"/>
  <c r="B94" i="29"/>
  <c r="E62" i="29"/>
  <c r="B62" i="29"/>
  <c r="E33" i="29"/>
  <c r="K15" i="24" s="1"/>
  <c r="B33" i="29"/>
  <c r="A3" i="29"/>
  <c r="A4" i="29" s="1"/>
  <c r="A5" i="29" s="1"/>
  <c r="A6" i="29" s="1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59" i="29" s="1"/>
  <c r="A60" i="29" s="1"/>
  <c r="A61" i="29" s="1"/>
  <c r="A63" i="29" s="1"/>
  <c r="A64" i="29" s="1"/>
  <c r="A65" i="29" s="1"/>
  <c r="A66" i="29" s="1"/>
  <c r="A67" i="29" s="1"/>
  <c r="A68" i="29" s="1"/>
  <c r="A69" i="29" s="1"/>
  <c r="A70" i="29" s="1"/>
  <c r="A71" i="29" s="1"/>
  <c r="A72" i="29" s="1"/>
  <c r="A73" i="29" s="1"/>
  <c r="A74" i="29" s="1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A85" i="29" s="1"/>
  <c r="A86" i="29" s="1"/>
  <c r="A87" i="29" s="1"/>
  <c r="A88" i="29" s="1"/>
  <c r="A89" i="29" s="1"/>
  <c r="A90" i="29" s="1"/>
  <c r="A91" i="29" s="1"/>
  <c r="A92" i="29" s="1"/>
  <c r="A93" i="29" s="1"/>
  <c r="A95" i="29" s="1"/>
  <c r="A96" i="29" s="1"/>
  <c r="A97" i="29" s="1"/>
  <c r="A98" i="29" s="1"/>
  <c r="A99" i="29" s="1"/>
  <c r="A100" i="29" s="1"/>
  <c r="A101" i="29" s="1"/>
  <c r="A102" i="29" s="1"/>
  <c r="A103" i="29" s="1"/>
  <c r="A104" i="29" s="1"/>
  <c r="A105" i="29" s="1"/>
  <c r="A106" i="29" s="1"/>
  <c r="A107" i="29" s="1"/>
  <c r="A108" i="29" s="1"/>
  <c r="A109" i="29" s="1"/>
  <c r="A110" i="29" s="1"/>
  <c r="A111" i="29" s="1"/>
  <c r="A112" i="29" s="1"/>
  <c r="A113" i="29" s="1"/>
  <c r="A114" i="29" s="1"/>
  <c r="A115" i="29" s="1"/>
  <c r="A116" i="29" s="1"/>
  <c r="A117" i="29" s="1"/>
  <c r="A118" i="29" s="1"/>
  <c r="A119" i="29" s="1"/>
  <c r="A120" i="29" s="1"/>
  <c r="A121" i="29" s="1"/>
  <c r="A122" i="29" s="1"/>
  <c r="A123" i="29" s="1"/>
  <c r="A124" i="29" s="1"/>
  <c r="A126" i="29" s="1"/>
  <c r="A127" i="29" s="1"/>
  <c r="A128" i="29" s="1"/>
  <c r="A129" i="29" s="1"/>
  <c r="A130" i="29" s="1"/>
  <c r="A131" i="29" s="1"/>
  <c r="A132" i="29" s="1"/>
  <c r="A133" i="29" s="1"/>
  <c r="A134" i="29" s="1"/>
  <c r="A135" i="29" s="1"/>
  <c r="A136" i="29" s="1"/>
  <c r="A137" i="29" s="1"/>
  <c r="A138" i="29" s="1"/>
  <c r="A139" i="29" s="1"/>
  <c r="A140" i="29" s="1"/>
  <c r="A141" i="29" s="1"/>
  <c r="A142" i="29" s="1"/>
  <c r="A143" i="29" s="1"/>
  <c r="A144" i="29" s="1"/>
  <c r="A145" i="29" s="1"/>
  <c r="A146" i="29" s="1"/>
  <c r="A147" i="29" s="1"/>
  <c r="A148" i="29" s="1"/>
  <c r="A149" i="29" s="1"/>
  <c r="A150" i="29" s="1"/>
  <c r="A151" i="29" s="1"/>
  <c r="A152" i="29" s="1"/>
  <c r="A153" i="29" s="1"/>
  <c r="A154" i="29" s="1"/>
  <c r="A155" i="29" s="1"/>
  <c r="A156" i="29" s="1"/>
  <c r="A158" i="29" s="1"/>
  <c r="A159" i="29" s="1"/>
  <c r="A160" i="29" s="1"/>
  <c r="A161" i="29" s="1"/>
  <c r="A162" i="29" s="1"/>
  <c r="A163" i="29" s="1"/>
  <c r="A164" i="29" s="1"/>
  <c r="A165" i="29" s="1"/>
  <c r="A166" i="29" s="1"/>
  <c r="A167" i="29" s="1"/>
  <c r="A168" i="29" s="1"/>
  <c r="A169" i="29" s="1"/>
  <c r="A170" i="29" s="1"/>
  <c r="A171" i="29" s="1"/>
  <c r="A172" i="29" s="1"/>
  <c r="A173" i="29" s="1"/>
  <c r="A174" i="29" s="1"/>
  <c r="A175" i="29" s="1"/>
  <c r="A176" i="29" s="1"/>
  <c r="A177" i="29" s="1"/>
  <c r="A178" i="29" s="1"/>
  <c r="A179" i="29" s="1"/>
  <c r="A180" i="29" s="1"/>
  <c r="A181" i="29" s="1"/>
  <c r="A182" i="29" s="1"/>
  <c r="A183" i="29" s="1"/>
  <c r="A184" i="29" s="1"/>
  <c r="A185" i="29" s="1"/>
  <c r="A186" i="29" s="1"/>
  <c r="A187" i="29" s="1"/>
  <c r="A189" i="29" s="1"/>
  <c r="A190" i="29" s="1"/>
  <c r="A191" i="29" s="1"/>
  <c r="A192" i="29" s="1"/>
  <c r="A193" i="29" s="1"/>
  <c r="A194" i="29" s="1"/>
  <c r="A195" i="29" s="1"/>
  <c r="A196" i="29" s="1"/>
  <c r="A197" i="29" s="1"/>
  <c r="A198" i="29" s="1"/>
  <c r="A199" i="29" s="1"/>
  <c r="A200" i="29" s="1"/>
  <c r="A201" i="29" s="1"/>
  <c r="A202" i="29" s="1"/>
  <c r="A203" i="29" s="1"/>
  <c r="A204" i="29" s="1"/>
  <c r="A205" i="29" s="1"/>
  <c r="A206" i="29" s="1"/>
  <c r="A207" i="29" s="1"/>
  <c r="A208" i="29" s="1"/>
  <c r="A209" i="29" s="1"/>
  <c r="A210" i="29" s="1"/>
  <c r="A211" i="29" s="1"/>
  <c r="A212" i="29" s="1"/>
  <c r="A213" i="29" s="1"/>
  <c r="A214" i="29" s="1"/>
  <c r="A215" i="29" s="1"/>
  <c r="A216" i="29" s="1"/>
  <c r="A217" i="29" s="1"/>
  <c r="A218" i="29" s="1"/>
  <c r="A219" i="29" s="1"/>
  <c r="A221" i="29" s="1"/>
  <c r="A222" i="29" s="1"/>
  <c r="A223" i="29" s="1"/>
  <c r="A224" i="29" s="1"/>
  <c r="A225" i="29" s="1"/>
  <c r="A226" i="29" s="1"/>
  <c r="A227" i="29" s="1"/>
  <c r="A228" i="29" s="1"/>
  <c r="A229" i="29" s="1"/>
  <c r="A230" i="29" s="1"/>
  <c r="A231" i="29" s="1"/>
  <c r="A232" i="29" s="1"/>
  <c r="A233" i="29" s="1"/>
  <c r="A234" i="29" s="1"/>
  <c r="A235" i="29" s="1"/>
  <c r="A236" i="29" s="1"/>
  <c r="A237" i="29" s="1"/>
  <c r="A238" i="29" s="1"/>
  <c r="A239" i="29" s="1"/>
  <c r="A240" i="29" s="1"/>
  <c r="A241" i="29" s="1"/>
  <c r="A242" i="29" s="1"/>
  <c r="A243" i="29" s="1"/>
  <c r="A244" i="29" s="1"/>
  <c r="A245" i="29" s="1"/>
  <c r="A246" i="29" s="1"/>
  <c r="A247" i="29" s="1"/>
  <c r="A248" i="29" s="1"/>
  <c r="A249" i="29" s="1"/>
  <c r="A250" i="29" s="1"/>
  <c r="A251" i="29" s="1"/>
  <c r="A253" i="29" s="1"/>
  <c r="A254" i="29" s="1"/>
  <c r="A255" i="29" s="1"/>
  <c r="A256" i="29" s="1"/>
  <c r="A257" i="29" s="1"/>
  <c r="A258" i="29" s="1"/>
  <c r="A259" i="29" s="1"/>
  <c r="A260" i="29" s="1"/>
  <c r="A261" i="29" s="1"/>
  <c r="A262" i="29" s="1"/>
  <c r="A263" i="29" s="1"/>
  <c r="A264" i="29" s="1"/>
  <c r="A265" i="29" s="1"/>
  <c r="A266" i="29" s="1"/>
  <c r="A267" i="29" s="1"/>
  <c r="A268" i="29" s="1"/>
  <c r="A269" i="29" s="1"/>
  <c r="A270" i="29" s="1"/>
  <c r="A271" i="29" s="1"/>
  <c r="A272" i="29" s="1"/>
  <c r="A273" i="29" s="1"/>
  <c r="A274" i="29" s="1"/>
  <c r="A275" i="29" s="1"/>
  <c r="A276" i="29" s="1"/>
  <c r="A277" i="29" s="1"/>
  <c r="A278" i="29" s="1"/>
  <c r="A279" i="29" s="1"/>
  <c r="A280" i="29" s="1"/>
  <c r="A281" i="29" s="1"/>
  <c r="A282" i="29" s="1"/>
  <c r="A284" i="29" s="1"/>
  <c r="A285" i="29" s="1"/>
  <c r="A286" i="29" s="1"/>
  <c r="A287" i="29" s="1"/>
  <c r="A288" i="29" s="1"/>
  <c r="A289" i="29" s="1"/>
  <c r="A290" i="29" s="1"/>
  <c r="A291" i="29" s="1"/>
  <c r="A292" i="29" s="1"/>
  <c r="A293" i="29" s="1"/>
  <c r="A294" i="29" s="1"/>
  <c r="A295" i="29" s="1"/>
  <c r="A296" i="29" s="1"/>
  <c r="A297" i="29" s="1"/>
  <c r="A298" i="29" s="1"/>
  <c r="A299" i="29" s="1"/>
  <c r="A300" i="29" s="1"/>
  <c r="A301" i="29" s="1"/>
  <c r="A302" i="29" s="1"/>
  <c r="A303" i="29" s="1"/>
  <c r="A304" i="29" s="1"/>
  <c r="A305" i="29" s="1"/>
  <c r="A306" i="29" s="1"/>
  <c r="A307" i="29" s="1"/>
  <c r="A308" i="29" s="1"/>
  <c r="A309" i="29" s="1"/>
  <c r="A310" i="29" s="1"/>
  <c r="A311" i="29" s="1"/>
  <c r="A312" i="29" s="1"/>
  <c r="A313" i="29" s="1"/>
  <c r="A314" i="29" s="1"/>
  <c r="A316" i="29" s="1"/>
  <c r="A317" i="29" s="1"/>
  <c r="A318" i="29" s="1"/>
  <c r="A319" i="29" s="1"/>
  <c r="A320" i="29" s="1"/>
  <c r="A321" i="29" s="1"/>
  <c r="A322" i="29" s="1"/>
  <c r="A323" i="29" s="1"/>
  <c r="A324" i="29" s="1"/>
  <c r="A325" i="29" s="1"/>
  <c r="A326" i="29" s="1"/>
  <c r="A327" i="29" s="1"/>
  <c r="A328" i="29" s="1"/>
  <c r="A329" i="29" s="1"/>
  <c r="A330" i="29" s="1"/>
  <c r="A331" i="29" s="1"/>
  <c r="A332" i="29" s="1"/>
  <c r="A333" i="29" s="1"/>
  <c r="A334" i="29" s="1"/>
  <c r="A335" i="29" s="1"/>
  <c r="A336" i="29" s="1"/>
  <c r="A337" i="29" s="1"/>
  <c r="A338" i="29" s="1"/>
  <c r="A339" i="29" s="1"/>
  <c r="A340" i="29" s="1"/>
  <c r="A341" i="29" s="1"/>
  <c r="A342" i="29" s="1"/>
  <c r="A343" i="29" s="1"/>
  <c r="A344" i="29" s="1"/>
  <c r="A345" i="29" s="1"/>
  <c r="A347" i="29" s="1"/>
  <c r="A348" i="29" s="1"/>
  <c r="A349" i="29" s="1"/>
  <c r="A350" i="29" s="1"/>
  <c r="A351" i="29" s="1"/>
  <c r="A352" i="29" s="1"/>
  <c r="A353" i="29" s="1"/>
  <c r="A354" i="29" s="1"/>
  <c r="A355" i="29" s="1"/>
  <c r="A356" i="29" s="1"/>
  <c r="A357" i="29" s="1"/>
  <c r="A358" i="29" s="1"/>
  <c r="A359" i="29" s="1"/>
  <c r="A360" i="29" s="1"/>
  <c r="A361" i="29" s="1"/>
  <c r="A362" i="29" s="1"/>
  <c r="A363" i="29" s="1"/>
  <c r="A364" i="29" s="1"/>
  <c r="A365" i="29" s="1"/>
  <c r="A366" i="29" s="1"/>
  <c r="A367" i="29" s="1"/>
  <c r="A368" i="29" s="1"/>
  <c r="A369" i="29" s="1"/>
  <c r="A370" i="29" s="1"/>
  <c r="A371" i="29" s="1"/>
  <c r="A372" i="29" s="1"/>
  <c r="A373" i="29" s="1"/>
  <c r="A374" i="29" s="1"/>
  <c r="A375" i="29" s="1"/>
  <c r="A376" i="29" s="1"/>
  <c r="A377" i="29" s="1"/>
  <c r="E138" i="28"/>
  <c r="B138" i="28"/>
  <c r="E106" i="28"/>
  <c r="B106" i="28"/>
  <c r="E75" i="28"/>
  <c r="B75" i="28"/>
  <c r="E43" i="28"/>
  <c r="B43" i="28"/>
  <c r="E12" i="28"/>
  <c r="J5" i="27"/>
  <c r="B12" i="28"/>
  <c r="J4" i="27" s="1"/>
  <c r="A3" i="28"/>
  <c r="A4" i="28" s="1"/>
  <c r="A5" i="28" s="1"/>
  <c r="A6" i="28" s="1"/>
  <c r="A7" i="28" s="1"/>
  <c r="A8" i="28" s="1"/>
  <c r="A9" i="28" s="1"/>
  <c r="A10" i="28" s="1"/>
  <c r="A11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F157" i="29" l="1"/>
  <c r="F158" i="30"/>
  <c r="F33" i="30"/>
  <c r="K14" i="24"/>
  <c r="M14" i="24" s="1"/>
  <c r="F315" i="29"/>
  <c r="F283" i="29"/>
  <c r="F62" i="29"/>
  <c r="F33" i="29"/>
  <c r="F188" i="29"/>
  <c r="F252" i="29"/>
  <c r="F220" i="29"/>
  <c r="F94" i="29"/>
  <c r="F138" i="28"/>
  <c r="F12" i="28"/>
  <c r="F106" i="28"/>
  <c r="F95" i="30"/>
  <c r="F126" i="30"/>
  <c r="F75" i="28"/>
  <c r="F43" i="28"/>
  <c r="F378" i="29"/>
  <c r="F346" i="29"/>
  <c r="F125" i="29"/>
  <c r="K10" i="24"/>
  <c r="B3" i="24" s="1"/>
  <c r="F63" i="30"/>
  <c r="K11" i="24" l="1"/>
  <c r="B4" i="24" s="1"/>
  <c r="K9" i="24"/>
  <c r="D10" i="24" l="1"/>
  <c r="D11" i="24" s="1"/>
  <c r="B2" i="24"/>
  <c r="I43" i="7"/>
  <c r="I41" i="7"/>
  <c r="E47" i="7"/>
  <c r="D47" i="7"/>
  <c r="C47" i="7"/>
  <c r="E42" i="7"/>
  <c r="D42" i="7"/>
  <c r="C42" i="7"/>
  <c r="G16" i="25"/>
  <c r="P11" i="27"/>
  <c r="I23" i="20"/>
  <c r="I22" i="20"/>
  <c r="I21" i="20"/>
  <c r="I20" i="20"/>
  <c r="I19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C30" i="20"/>
  <c r="C29" i="20"/>
  <c r="C28" i="20"/>
  <c r="J7" i="25"/>
  <c r="J6" i="25"/>
  <c r="J5" i="25"/>
  <c r="J4" i="25"/>
  <c r="J3" i="25"/>
  <c r="G14" i="25"/>
  <c r="G13" i="25"/>
  <c r="G12" i="25"/>
  <c r="G11" i="25"/>
  <c r="G10" i="25"/>
  <c r="G9" i="25"/>
  <c r="G8" i="25"/>
  <c r="G7" i="25"/>
  <c r="G6" i="25"/>
  <c r="G5" i="25"/>
  <c r="G4" i="25"/>
  <c r="G3" i="25"/>
  <c r="D14" i="25"/>
  <c r="D13" i="25"/>
  <c r="D12" i="25"/>
  <c r="D11" i="25"/>
  <c r="D20" i="27"/>
  <c r="E20" i="27"/>
  <c r="F20" i="27"/>
  <c r="G20" i="27"/>
  <c r="C20" i="27"/>
  <c r="D13" i="27"/>
  <c r="E13" i="27"/>
  <c r="F13" i="27"/>
  <c r="G13" i="27"/>
  <c r="H13" i="27"/>
  <c r="I13" i="27"/>
  <c r="J13" i="27"/>
  <c r="K13" i="27"/>
  <c r="L13" i="27"/>
  <c r="M13" i="27"/>
  <c r="N13" i="27"/>
  <c r="C13" i="27"/>
  <c r="J6" i="27"/>
  <c r="C26" i="20" s="1"/>
  <c r="K6" i="27"/>
  <c r="L6" i="27"/>
  <c r="M6" i="27"/>
  <c r="N6" i="27"/>
  <c r="O22" i="27"/>
  <c r="O21" i="27"/>
  <c r="O19" i="27"/>
  <c r="O18" i="27"/>
  <c r="J11" i="24" s="1"/>
  <c r="O15" i="27"/>
  <c r="O14" i="27"/>
  <c r="O12" i="27"/>
  <c r="O11" i="27"/>
  <c r="J10" i="24" s="1"/>
  <c r="O8" i="27"/>
  <c r="O7" i="27"/>
  <c r="O5" i="27"/>
  <c r="O4" i="27"/>
  <c r="J9" i="24" s="1"/>
  <c r="D3" i="8"/>
  <c r="D15" i="24"/>
  <c r="I15" i="25"/>
  <c r="H15" i="25"/>
  <c r="F15" i="25"/>
  <c r="E15" i="25"/>
  <c r="C15" i="25"/>
  <c r="D20" i="8" s="1"/>
  <c r="B15" i="25"/>
  <c r="D10" i="25" l="1"/>
  <c r="D15" i="25" s="1"/>
  <c r="P4" i="27"/>
  <c r="B26" i="7"/>
  <c r="P18" i="27"/>
  <c r="I45" i="7"/>
  <c r="D19" i="8"/>
  <c r="I31" i="20"/>
  <c r="F31" i="20"/>
  <c r="C27" i="7" s="1"/>
  <c r="C31" i="20"/>
  <c r="J15" i="25"/>
  <c r="J16" i="25" s="1"/>
  <c r="D2" i="8"/>
  <c r="D12" i="24"/>
  <c r="G15" i="25"/>
  <c r="C12" i="20" l="1"/>
  <c r="C35" i="20"/>
  <c r="F34" i="20"/>
  <c r="D16" i="25"/>
  <c r="C28" i="7"/>
  <c r="C26" i="7"/>
  <c r="D12" i="7"/>
  <c r="D11" i="7"/>
  <c r="D10" i="7"/>
  <c r="C18" i="25" l="1"/>
  <c r="G9" i="21"/>
  <c r="H9" i="21"/>
  <c r="G21" i="25"/>
  <c r="C38" i="20"/>
  <c r="F4" i="24"/>
  <c r="C4" i="9" s="1"/>
  <c r="F3" i="24"/>
  <c r="C3" i="9" s="1"/>
  <c r="D6" i="7"/>
  <c r="C12" i="18"/>
  <c r="G24" i="25" l="1"/>
  <c r="C21" i="25"/>
  <c r="D26" i="7" s="1"/>
  <c r="D18" i="7" s="1"/>
  <c r="E28" i="7"/>
  <c r="B4" i="9" s="1"/>
  <c r="B27" i="7"/>
  <c r="E27" i="7" s="1"/>
  <c r="B3" i="9" s="1"/>
  <c r="M5" i="24"/>
  <c r="D26" i="8"/>
  <c r="B10" i="23"/>
  <c r="D3" i="7" l="1"/>
  <c r="E26" i="7"/>
  <c r="B2" i="9" s="1"/>
  <c r="B5" i="9" s="1"/>
  <c r="D25" i="8"/>
  <c r="F2" i="24"/>
  <c r="C2" i="9" s="1"/>
  <c r="C5" i="9" s="1"/>
  <c r="D21" i="7" l="1"/>
  <c r="H2" i="9"/>
  <c r="H4" i="9"/>
  <c r="F40" i="8"/>
  <c r="D27" i="8"/>
  <c r="D7" i="8"/>
  <c r="F23" i="8"/>
  <c r="D14" i="8"/>
  <c r="D11" i="8"/>
  <c r="C11" i="9" l="1"/>
  <c r="B11" i="9"/>
  <c r="H6" i="9"/>
  <c r="D23" i="8"/>
  <c r="C11" i="20"/>
  <c r="B15" i="9" l="1"/>
  <c r="D11" i="9"/>
  <c r="C15" i="9"/>
  <c r="D5" i="9"/>
  <c r="D17" i="7"/>
  <c r="D15" i="9" l="1"/>
  <c r="D22" i="7"/>
  <c r="D30" i="8"/>
  <c r="D2" i="9" l="1"/>
  <c r="D3" i="9"/>
  <c r="B6" i="9" l="1"/>
  <c r="D4" i="9"/>
  <c r="C6" i="9"/>
  <c r="D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tc={796ED9D2-5D50-44AF-9AD0-025620A871F4}</author>
    <author>tc={FB339609-540C-4202-977D-70FDF4856C48}</author>
  </authors>
  <commentList>
    <comment ref="C14" authorId="0" shapeId="0" xr:uid="{796ED9D2-5D50-44AF-9AD0-025620A871F4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a listed parameter
Reply:
    Added to MR</t>
      </text>
    </comment>
    <comment ref="B17" authorId="1" shapeId="0" xr:uid="{FB339609-540C-4202-977D-70FDF4856C48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daily record(photo of primary record or excel sheet) required
Reply:
    provided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tc={BF176823-FB71-491E-AC62-79AB420B9C35}</author>
  </authors>
  <commentList>
    <comment ref="D16" authorId="0" shapeId="0" xr:uid="{BF176823-FB71-491E-AC62-79AB420B9C35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parameter needs to be a measured and monitored value on daily basis. Moreover, default value of methane is 60%
Reply:
    Revised. The parameter is monitored.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tc={FA77EF13-A785-4A23-B38B-CA0692731135}</author>
    <author>tc={DB6AC8E2-1502-4C6F-968C-1E05C7993392}</author>
  </authors>
  <commentList>
    <comment ref="K8" authorId="0" shapeId="0" xr:uid="{FA77EF13-A785-4A23-B38B-CA0692731135}">
      <text>
        <t>[Threaded comment]
Your version of Excel allows you to read this threaded comment; however, any edits to it will get removed if the file is opened in a newer version of Excel. Learn more: https://go.microsoft.com/fwlink/?linkid=870924
Comment:
    It is not clear why it is calculated on the basis of assumption (7000hours) when the parameter is recorded continuously and has actual data recorded on daily basis
Reply:
    revised</t>
      </text>
    </comment>
    <comment ref="D14" authorId="1" shapeId="0" xr:uid="{DB6AC8E2-1502-4C6F-968C-1E05C7993392}">
      <text>
        <t>[Threaded comment]
Your version of Excel allows you to read this threaded comment; however, any edits to it will get removed if the file is opened in a newer version of Excel. Learn more: https://go.microsoft.com/fwlink/?linkid=870924
Comment:
    The parameter needs to be a measured and monitored value on daily basis as per the registered monitoring plan. Please clarify if permanent deviation from monitoring plan is being sought
Reply:
    It is monitored daily, the record is provided.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tc={2355352B-3CA3-4740-922D-D666D1FB6821}</author>
  </authors>
  <commentList>
    <comment ref="A3" authorId="0" shapeId="0" xr:uid="{2355352B-3CA3-4740-922D-D666D1FB6821}">
      <text>
        <t>[Threaded comment]
Your version of Excel allows you to read this threaded comment; however, any edits to it will get removed if the file is opened in a newer version of Excel. Learn more: https://go.microsoft.com/fwlink/?linkid=870924
Comment:
    Electricity generation does not discount WW contribution
Reply:
    revised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tc={353397DB-0CD1-4D34-BFCE-378B5F36642E}</author>
  </authors>
  <commentList>
    <comment ref="B3" authorId="0" shapeId="0" xr:uid="{353397DB-0CD1-4D34-BFCE-378B5F36642E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consider changing the language to English
Reply:
    revised</t>
      </text>
    </comment>
  </commentList>
</comments>
</file>

<file path=xl/sharedStrings.xml><?xml version="1.0" encoding="utf-8"?>
<sst xmlns="http://schemas.openxmlformats.org/spreadsheetml/2006/main" count="593" uniqueCount="363">
  <si>
    <t>Unit</t>
  </si>
  <si>
    <t>Reference</t>
  </si>
  <si>
    <t>Description</t>
  </si>
  <si>
    <t>tCO2</t>
  </si>
  <si>
    <t>Mark</t>
  </si>
  <si>
    <r>
      <t>EF</t>
    </r>
    <r>
      <rPr>
        <vertAlign val="subscript"/>
        <sz val="10"/>
        <rFont val="Verdana"/>
        <family val="2"/>
      </rPr>
      <t>y</t>
    </r>
  </si>
  <si>
    <t>Emission factor</t>
  </si>
  <si>
    <t>tCO2/MWh</t>
  </si>
  <si>
    <t>Operational time</t>
  </si>
  <si>
    <t>hour</t>
  </si>
  <si>
    <t>T</t>
  </si>
  <si>
    <t xml:space="preserve">Parameter </t>
  </si>
  <si>
    <t>Value</t>
  </si>
  <si>
    <r>
      <t>G</t>
    </r>
    <r>
      <rPr>
        <sz val="10"/>
        <rFont val="Verdana"/>
        <family val="2"/>
      </rPr>
      <t>eneration Capacity</t>
    </r>
    <phoneticPr fontId="5" type="noConversion"/>
  </si>
  <si>
    <t>P</t>
    <phoneticPr fontId="5" type="noConversion"/>
  </si>
  <si>
    <t>T</t>
    <phoneticPr fontId="5" type="noConversion"/>
  </si>
  <si>
    <r>
      <t>W</t>
    </r>
    <r>
      <rPr>
        <sz val="10"/>
        <rFont val="Verdana"/>
        <family val="2"/>
      </rPr>
      <t>orking time</t>
    </r>
    <phoneticPr fontId="5" type="noConversion"/>
  </si>
  <si>
    <t>Hours/y</t>
    <phoneticPr fontId="5" type="noConversion"/>
  </si>
  <si>
    <t>tCO2e/a</t>
    <phoneticPr fontId="7" type="noConversion"/>
  </si>
  <si>
    <t>Baseline methane emission in year y</t>
    <phoneticPr fontId="7" type="noConversion"/>
  </si>
  <si>
    <r>
      <t>G</t>
    </r>
    <r>
      <rPr>
        <sz val="10"/>
        <rFont val="Verdana"/>
        <family val="2"/>
      </rPr>
      <t>WP</t>
    </r>
    <r>
      <rPr>
        <vertAlign val="subscript"/>
        <sz val="10"/>
        <rFont val="Verdana"/>
        <family val="2"/>
      </rPr>
      <t>CH4</t>
    </r>
    <phoneticPr fontId="7" type="noConversion"/>
  </si>
  <si>
    <t>Global warming potential of methane</t>
    <phoneticPr fontId="5" type="noConversion"/>
  </si>
  <si>
    <r>
      <t>D</t>
    </r>
    <r>
      <rPr>
        <vertAlign val="subscript"/>
        <sz val="10"/>
        <rFont val="Verdana"/>
        <family val="2"/>
      </rPr>
      <t>CH4</t>
    </r>
    <phoneticPr fontId="7" type="noConversion"/>
  </si>
  <si>
    <r>
      <t>t/m</t>
    </r>
    <r>
      <rPr>
        <vertAlign val="superscript"/>
        <sz val="10"/>
        <rFont val="Verdana"/>
        <family val="2"/>
      </rPr>
      <t>3</t>
    </r>
    <phoneticPr fontId="7" type="noConversion"/>
  </si>
  <si>
    <t>CH4 density at 20 degree of Celsius and 1 atm pressure</t>
    <phoneticPr fontId="7" type="noConversion"/>
  </si>
  <si>
    <r>
      <t>M</t>
    </r>
    <r>
      <rPr>
        <sz val="10"/>
        <rFont val="Verdana"/>
        <family val="2"/>
      </rPr>
      <t>CF</t>
    </r>
    <r>
      <rPr>
        <vertAlign val="subscript"/>
        <sz val="10"/>
        <rFont val="Verdana"/>
        <family val="2"/>
      </rPr>
      <t>j</t>
    </r>
    <phoneticPr fontId="7" type="noConversion"/>
  </si>
  <si>
    <r>
      <t>A</t>
    </r>
    <r>
      <rPr>
        <sz val="10"/>
        <rFont val="Verdana"/>
        <family val="2"/>
      </rPr>
      <t>nnual methane conversion factor for the baseline</t>
    </r>
    <phoneticPr fontId="7" type="noConversion"/>
  </si>
  <si>
    <r>
      <t>M</t>
    </r>
    <r>
      <rPr>
        <sz val="10"/>
        <rFont val="Verdana"/>
        <family val="2"/>
      </rPr>
      <t>aximum methane producing potential of the volatile solid generated</t>
    </r>
    <phoneticPr fontId="7" type="noConversion"/>
  </si>
  <si>
    <r>
      <t>m</t>
    </r>
    <r>
      <rPr>
        <vertAlign val="superscript"/>
        <sz val="10"/>
        <rFont val="Verdana"/>
        <family val="2"/>
      </rPr>
      <t>3</t>
    </r>
    <r>
      <rPr>
        <sz val="10"/>
        <rFont val="Verdana"/>
        <family val="2"/>
      </rPr>
      <t>CH4/kg_dm</t>
    </r>
    <phoneticPr fontId="7" type="noConversion"/>
  </si>
  <si>
    <r>
      <t>L</t>
    </r>
    <r>
      <rPr>
        <sz val="10"/>
        <rFont val="Verdana"/>
        <family val="2"/>
      </rPr>
      <t>T</t>
    </r>
    <phoneticPr fontId="7" type="noConversion"/>
  </si>
  <si>
    <r>
      <t>A</t>
    </r>
    <r>
      <rPr>
        <sz val="10"/>
        <rFont val="Verdana"/>
        <family val="2"/>
      </rPr>
      <t>ll tpye of livestock</t>
    </r>
    <phoneticPr fontId="7" type="noConversion"/>
  </si>
  <si>
    <r>
      <t>E</t>
    </r>
    <r>
      <rPr>
        <sz val="10"/>
        <rFont val="Verdana"/>
        <family val="2"/>
      </rPr>
      <t>F</t>
    </r>
    <r>
      <rPr>
        <vertAlign val="subscript"/>
        <sz val="10"/>
        <rFont val="Verdana"/>
        <family val="2"/>
      </rPr>
      <t>y</t>
    </r>
    <r>
      <rPr>
        <sz val="10"/>
        <rFont val="Verdana"/>
        <family val="2"/>
      </rPr>
      <t>*EG</t>
    </r>
    <r>
      <rPr>
        <vertAlign val="subscript"/>
        <sz val="10"/>
        <rFont val="Verdana"/>
        <family val="2"/>
      </rPr>
      <t>baseline</t>
    </r>
    <phoneticPr fontId="7" type="noConversion"/>
  </si>
  <si>
    <r>
      <t>BE</t>
    </r>
    <r>
      <rPr>
        <vertAlign val="subscript"/>
        <sz val="10"/>
        <rFont val="Verdana"/>
        <family val="2"/>
      </rPr>
      <t>elec.</t>
    </r>
    <phoneticPr fontId="7" type="noConversion"/>
  </si>
  <si>
    <t>tCO2e</t>
    <phoneticPr fontId="7" type="noConversion"/>
  </si>
  <si>
    <t>tCO2</t>
    <phoneticPr fontId="7" type="noConversion"/>
  </si>
  <si>
    <t>Project emission from flaring of the residual gas stream</t>
    <phoneticPr fontId="7" type="noConversion"/>
  </si>
  <si>
    <r>
      <t>f</t>
    </r>
    <r>
      <rPr>
        <vertAlign val="subscript"/>
        <sz val="10"/>
        <rFont val="Verdana"/>
        <family val="2"/>
      </rPr>
      <t>flare</t>
    </r>
    <phoneticPr fontId="7" type="noConversion"/>
  </si>
  <si>
    <t xml:space="preserve">Flare efficiency </t>
    <phoneticPr fontId="7" type="noConversion"/>
  </si>
  <si>
    <r>
      <t>FM</t>
    </r>
    <r>
      <rPr>
        <vertAlign val="subscript"/>
        <sz val="10"/>
        <rFont val="Verdana"/>
        <family val="2"/>
      </rPr>
      <t>RG,h</t>
    </r>
    <phoneticPr fontId="7" type="noConversion"/>
  </si>
  <si>
    <t>kg/h</t>
    <phoneticPr fontId="7" type="noConversion"/>
  </si>
  <si>
    <t>Mass flow rate of CH4 in the residual gas stream in hour h</t>
    <phoneticPr fontId="7" type="noConversion"/>
  </si>
  <si>
    <r>
      <t>p</t>
    </r>
    <r>
      <rPr>
        <vertAlign val="subscript"/>
        <sz val="10"/>
        <rFont val="Verdana"/>
        <family val="2"/>
      </rPr>
      <t>RG,n,h</t>
    </r>
    <phoneticPr fontId="7" type="noConversion"/>
  </si>
  <si>
    <r>
      <t>kg/m</t>
    </r>
    <r>
      <rPr>
        <vertAlign val="superscript"/>
        <sz val="10"/>
        <rFont val="Verdana"/>
        <family val="2"/>
      </rPr>
      <t>3</t>
    </r>
    <phoneticPr fontId="7" type="noConversion"/>
  </si>
  <si>
    <t>density of residual gas at normal conditions in hour h</t>
    <phoneticPr fontId="7" type="noConversion"/>
  </si>
  <si>
    <r>
      <t>FV</t>
    </r>
    <r>
      <rPr>
        <vertAlign val="subscript"/>
        <sz val="10"/>
        <rFont val="Verdana"/>
        <family val="2"/>
      </rPr>
      <t>RG,h</t>
    </r>
    <phoneticPr fontId="7" type="noConversion"/>
  </si>
  <si>
    <r>
      <t>m</t>
    </r>
    <r>
      <rPr>
        <vertAlign val="superscript"/>
        <sz val="10"/>
        <rFont val="Verdana"/>
        <family val="2"/>
      </rPr>
      <t>3</t>
    </r>
    <r>
      <rPr>
        <sz val="10"/>
        <rFont val="Verdana"/>
        <family val="2"/>
      </rPr>
      <t>/h</t>
    </r>
    <phoneticPr fontId="7" type="noConversion"/>
  </si>
  <si>
    <t>Volumetric flow rate of the residual gas in dry basis at normal consitions in the hour h</t>
    <phoneticPr fontId="7" type="noConversion"/>
  </si>
  <si>
    <r>
      <t>p</t>
    </r>
    <r>
      <rPr>
        <vertAlign val="subscript"/>
        <sz val="10"/>
        <rFont val="Verdana"/>
        <family val="2"/>
      </rPr>
      <t>RG,n,h</t>
    </r>
    <r>
      <rPr>
        <sz val="10"/>
        <rFont val="Verdana"/>
        <family val="2"/>
      </rPr>
      <t>*FV</t>
    </r>
    <r>
      <rPr>
        <vertAlign val="subscript"/>
        <sz val="10"/>
        <rFont val="Verdana"/>
        <family val="2"/>
      </rPr>
      <t>RG,h</t>
    </r>
    <phoneticPr fontId="7" type="noConversion"/>
  </si>
  <si>
    <r>
      <t>P</t>
    </r>
    <r>
      <rPr>
        <vertAlign val="subscript"/>
        <sz val="10"/>
        <rFont val="Verdana"/>
        <family val="2"/>
      </rPr>
      <t>n</t>
    </r>
    <r>
      <rPr>
        <sz val="10"/>
        <rFont val="Verdana"/>
        <family val="2"/>
      </rPr>
      <t>/(R</t>
    </r>
    <r>
      <rPr>
        <vertAlign val="subscript"/>
        <sz val="10"/>
        <rFont val="Verdana"/>
        <family val="2"/>
      </rPr>
      <t>u</t>
    </r>
    <r>
      <rPr>
        <sz val="10"/>
        <rFont val="Verdana"/>
        <family val="2"/>
      </rPr>
      <t>/MM</t>
    </r>
    <r>
      <rPr>
        <vertAlign val="subscript"/>
        <sz val="10"/>
        <rFont val="Verdana"/>
        <family val="2"/>
      </rPr>
      <t>RG,h</t>
    </r>
    <r>
      <rPr>
        <sz val="10"/>
        <rFont val="Verdana"/>
        <family val="2"/>
      </rPr>
      <t>)/T</t>
    </r>
    <r>
      <rPr>
        <vertAlign val="subscript"/>
        <sz val="10"/>
        <rFont val="Verdana"/>
        <family val="2"/>
      </rPr>
      <t>n</t>
    </r>
    <phoneticPr fontId="7" type="noConversion"/>
  </si>
  <si>
    <r>
      <t>P</t>
    </r>
    <r>
      <rPr>
        <vertAlign val="subscript"/>
        <sz val="10"/>
        <rFont val="Verdana"/>
        <family val="2"/>
      </rPr>
      <t>n</t>
    </r>
    <phoneticPr fontId="7" type="noConversion"/>
  </si>
  <si>
    <t>Pa</t>
    <phoneticPr fontId="7" type="noConversion"/>
  </si>
  <si>
    <t>Atmospheric pressure at normal conditions</t>
    <phoneticPr fontId="7" type="noConversion"/>
  </si>
  <si>
    <r>
      <t>R</t>
    </r>
    <r>
      <rPr>
        <vertAlign val="subscript"/>
        <sz val="10"/>
        <rFont val="Verdana"/>
        <family val="2"/>
      </rPr>
      <t>u</t>
    </r>
    <phoneticPr fontId="7" type="noConversion"/>
  </si>
  <si>
    <r>
      <t>Pa.m</t>
    </r>
    <r>
      <rPr>
        <vertAlign val="superscript"/>
        <sz val="10"/>
        <rFont val="Verdana"/>
        <family val="2"/>
      </rPr>
      <t>3</t>
    </r>
    <r>
      <rPr>
        <sz val="10"/>
        <rFont val="Verdana"/>
        <family val="2"/>
      </rPr>
      <t>/kmol.k</t>
    </r>
    <phoneticPr fontId="7" type="noConversion"/>
  </si>
  <si>
    <t>Molecular mass of the residual gas in hour h</t>
    <phoneticPr fontId="7" type="noConversion"/>
  </si>
  <si>
    <t>K</t>
    <phoneticPr fontId="7" type="noConversion"/>
  </si>
  <si>
    <t>Temperature at normal consition</t>
    <phoneticPr fontId="7" type="noConversion"/>
  </si>
  <si>
    <t>i</t>
    <phoneticPr fontId="7" type="noConversion"/>
  </si>
  <si>
    <r>
      <t>MM</t>
    </r>
    <r>
      <rPr>
        <vertAlign val="subscript"/>
        <sz val="10"/>
        <rFont val="Arial Unicode MS"/>
        <family val="2"/>
        <charset val="134"/>
      </rPr>
      <t>RG,h</t>
    </r>
    <phoneticPr fontId="7" type="noConversion"/>
  </si>
  <si>
    <t>kg/kmol</t>
    <phoneticPr fontId="7" type="noConversion"/>
  </si>
  <si>
    <r>
      <t>∑fv</t>
    </r>
    <r>
      <rPr>
        <vertAlign val="subscript"/>
        <sz val="10"/>
        <rFont val="Arial Unicode MS"/>
        <family val="2"/>
        <charset val="134"/>
      </rPr>
      <t>i,h</t>
    </r>
    <r>
      <rPr>
        <sz val="10"/>
        <rFont val="Arial Unicode MS"/>
        <family val="2"/>
        <charset val="134"/>
      </rPr>
      <t>*MM</t>
    </r>
    <r>
      <rPr>
        <vertAlign val="subscript"/>
        <sz val="10"/>
        <rFont val="Arial Unicode MS"/>
        <family val="2"/>
        <charset val="134"/>
      </rPr>
      <t>i</t>
    </r>
    <phoneticPr fontId="7" type="noConversion"/>
  </si>
  <si>
    <r>
      <t>T</t>
    </r>
    <r>
      <rPr>
        <vertAlign val="subscript"/>
        <sz val="10"/>
        <rFont val="Arial Unicode MS"/>
        <family val="2"/>
        <charset val="134"/>
      </rPr>
      <t>n</t>
    </r>
    <phoneticPr fontId="7" type="noConversion"/>
  </si>
  <si>
    <r>
      <t>fv</t>
    </r>
    <r>
      <rPr>
        <vertAlign val="subscript"/>
        <sz val="10"/>
        <rFont val="Arial Unicode MS"/>
        <family val="2"/>
        <charset val="134"/>
      </rPr>
      <t>i,h</t>
    </r>
    <phoneticPr fontId="7" type="noConversion"/>
  </si>
  <si>
    <r>
      <t>MM</t>
    </r>
    <r>
      <rPr>
        <vertAlign val="subscript"/>
        <sz val="10"/>
        <rFont val="Arial Unicode MS"/>
        <family val="2"/>
        <charset val="134"/>
      </rPr>
      <t>i</t>
    </r>
    <phoneticPr fontId="7" type="noConversion"/>
  </si>
  <si>
    <t>Universal ideal gas constant</t>
    <phoneticPr fontId="7" type="noConversion"/>
  </si>
  <si>
    <t>Volumetric fraction of component I in the residual gas in the hour h</t>
    <phoneticPr fontId="7" type="noConversion"/>
  </si>
  <si>
    <t>Molecular mass of residual gas compont i</t>
    <phoneticPr fontId="7" type="noConversion"/>
  </si>
  <si>
    <t>The componets CH4, CO2, CO, H2…</t>
    <phoneticPr fontId="7" type="noConversion"/>
  </si>
  <si>
    <r>
      <t>TM</t>
    </r>
    <r>
      <rPr>
        <vertAlign val="subscript"/>
        <sz val="10"/>
        <rFont val="Verdana"/>
        <family val="2"/>
      </rPr>
      <t>RG,h</t>
    </r>
    <phoneticPr fontId="7" type="noConversion"/>
  </si>
  <si>
    <t>Mass flow rate of CH4 in the residual gas in hour h</t>
    <phoneticPr fontId="7" type="noConversion"/>
  </si>
  <si>
    <t>Density of methane at normal conditions</t>
    <phoneticPr fontId="7" type="noConversion"/>
  </si>
  <si>
    <t>PE</t>
    <phoneticPr fontId="7" type="noConversion"/>
  </si>
  <si>
    <t>Project emission</t>
    <phoneticPr fontId="7" type="noConversion"/>
  </si>
  <si>
    <r>
      <t>T</t>
    </r>
    <r>
      <rPr>
        <sz val="10"/>
        <rFont val="Verdana"/>
        <family val="2"/>
      </rPr>
      <t>otal</t>
    </r>
    <phoneticPr fontId="7" type="noConversion"/>
  </si>
  <si>
    <t>IPCC 2006 Table 10.17, p.10.45,Chapter10, Volume 4</t>
    <phoneticPr fontId="7" type="noConversion"/>
  </si>
  <si>
    <t>MW</t>
    <phoneticPr fontId="5" type="noConversion"/>
  </si>
  <si>
    <t>Option b of the determination of baseline emission</t>
  </si>
  <si>
    <r>
      <t>Q</t>
    </r>
    <r>
      <rPr>
        <vertAlign val="subscript"/>
        <sz val="10"/>
        <rFont val="Verdana"/>
        <family val="2"/>
      </rPr>
      <t>manure,j,LT,y</t>
    </r>
  </si>
  <si>
    <t>Quantity of manure treated from livestock type LT and animal manure management system j</t>
  </si>
  <si>
    <t>Physical leakage of biogas in the manure management system that capture's CH4</t>
  </si>
  <si>
    <t>Emissions from incremental transportation in the year y</t>
  </si>
  <si>
    <t>tons/a, wet basis</t>
  </si>
  <si>
    <r>
      <t>MS%</t>
    </r>
    <r>
      <rPr>
        <vertAlign val="subscript"/>
        <sz val="10"/>
        <rFont val="Verdana"/>
        <family val="2"/>
      </rPr>
      <t>i,y</t>
    </r>
  </si>
  <si>
    <t>Fraction of manure handled in system i in year y</t>
  </si>
  <si>
    <r>
      <t>D</t>
    </r>
    <r>
      <rPr>
        <vertAlign val="subscript"/>
        <sz val="10"/>
        <rFont val="Verdana"/>
        <family val="2"/>
      </rPr>
      <t>CH4,n</t>
    </r>
  </si>
  <si>
    <r>
      <t>t/m</t>
    </r>
    <r>
      <rPr>
        <vertAlign val="superscript"/>
        <sz val="10"/>
        <rFont val="Verdana"/>
        <family val="2"/>
      </rPr>
      <t>3</t>
    </r>
  </si>
  <si>
    <t>Volumetric flow rate of methane in dry basis at normal conditions in the hour h</t>
  </si>
  <si>
    <t>Volumetric flow rate of the residual gas in dry basis at normal conditions in the hour h</t>
  </si>
  <si>
    <t>%</t>
  </si>
  <si>
    <t>MWh</t>
  </si>
  <si>
    <r>
      <t>CO</t>
    </r>
    <r>
      <rPr>
        <vertAlign val="subscript"/>
        <sz val="10"/>
        <rFont val="Verdana"/>
        <family val="2"/>
      </rPr>
      <t>2</t>
    </r>
    <r>
      <rPr>
        <sz val="10"/>
        <rFont val="Verdana"/>
        <family val="2"/>
      </rPr>
      <t xml:space="preserve"> emission factor of the grid in year </t>
    </r>
    <r>
      <rPr>
        <i/>
        <sz val="10"/>
        <rFont val="Verdana"/>
        <family val="2"/>
      </rPr>
      <t>y</t>
    </r>
  </si>
  <si>
    <t>Calculation</t>
  </si>
  <si>
    <t>Equipment specification</t>
  </si>
  <si>
    <t>Dairy cows</t>
  </si>
  <si>
    <r>
      <t>fv</t>
    </r>
    <r>
      <rPr>
        <vertAlign val="subscript"/>
        <sz val="10"/>
        <rFont val="Verdana"/>
        <family val="2"/>
      </rPr>
      <t>CH4,RG,h</t>
    </r>
  </si>
  <si>
    <t>Generation License</t>
  </si>
  <si>
    <t xml:space="preserve">Conservative value for open  flare </t>
  </si>
  <si>
    <t>Baseline CO2 emission from electricity generation replaced by the project in year y</t>
  </si>
  <si>
    <t>Emission through electricity consumption</t>
  </si>
  <si>
    <t>Internal consumption has been assumed as 10% of generation figures as per FSR</t>
  </si>
  <si>
    <t>Default Value</t>
  </si>
  <si>
    <t>Amount of steam produced</t>
  </si>
  <si>
    <t>Steam Temp</t>
  </si>
  <si>
    <t>Steam Pressure</t>
  </si>
  <si>
    <t>Enthalpy of output steam @ 11.5barg and 190C</t>
  </si>
  <si>
    <t>t/y</t>
  </si>
  <si>
    <t>C</t>
  </si>
  <si>
    <t>kj/kg</t>
  </si>
  <si>
    <t>TJ</t>
  </si>
  <si>
    <r>
      <t>EF</t>
    </r>
    <r>
      <rPr>
        <vertAlign val="subscript"/>
        <sz val="10"/>
        <rFont val="Verdana"/>
        <family val="2"/>
        <charset val="162"/>
      </rPr>
      <t>FF,CO2</t>
    </r>
  </si>
  <si>
    <r>
      <t>BE</t>
    </r>
    <r>
      <rPr>
        <vertAlign val="subscript"/>
        <sz val="10"/>
        <rFont val="Verdana"/>
        <family val="2"/>
        <charset val="162"/>
      </rPr>
      <t>thermal,CO2,y</t>
    </r>
  </si>
  <si>
    <t>References</t>
  </si>
  <si>
    <t>The efficiency of the plant using fossil fuel that would have been used in the absence of the project activity</t>
  </si>
  <si>
    <t>tCO2e/a</t>
  </si>
  <si>
    <r>
      <t>Be</t>
    </r>
    <r>
      <rPr>
        <vertAlign val="subscript"/>
        <sz val="10"/>
        <rFont val="Verdana"/>
        <family val="2"/>
        <charset val="162"/>
      </rPr>
      <t>heat</t>
    </r>
  </si>
  <si>
    <t>Baseline CO2 emission from heat generation replaced by the project in year y</t>
  </si>
  <si>
    <t>http://www.steamtablesonline.com/steam97web.aspx</t>
  </si>
  <si>
    <t>Project design</t>
  </si>
  <si>
    <t>kJ/kg</t>
  </si>
  <si>
    <t>Enthalpy at boiler inlet (at 102 °C feed water temperature to boiler as per PO)</t>
  </si>
  <si>
    <t>http://www.thermexcel.com/english/tables/eau_boui.htm</t>
  </si>
  <si>
    <r>
      <t>η</t>
    </r>
    <r>
      <rPr>
        <vertAlign val="subscript"/>
        <sz val="10"/>
        <rFont val="Verdana"/>
        <family val="2"/>
        <charset val="162"/>
      </rPr>
      <t>BL,thermal</t>
    </r>
  </si>
  <si>
    <t>The baseline emissions from steam/heat displaced by the project activity during the year y (tCO2)</t>
  </si>
  <si>
    <t>The net quantity of steam/heat supplied by the project activity during the year y (TJ)</t>
  </si>
  <si>
    <t>The CO2 emission factor of the fossil fuel that would have been used in the baseline plant</t>
  </si>
  <si>
    <t>tCO2/TJ</t>
  </si>
  <si>
    <t>Calculated</t>
  </si>
  <si>
    <t>bar</t>
  </si>
  <si>
    <t>dimensionless</t>
  </si>
  <si>
    <t>Calculated using boiler maximum hourly steam output rate and operational hours</t>
  </si>
  <si>
    <t>IPCC 2006 Table 2.2 Lower Limit Value for Natural Gas</t>
  </si>
  <si>
    <t>Annual Average</t>
  </si>
  <si>
    <t>Quantity of methane produced in the anaerobic digester in year y</t>
  </si>
  <si>
    <t>fraction</t>
  </si>
  <si>
    <t>Default emission factor for lined concrete digesters with a gas holding system.</t>
  </si>
  <si>
    <t>tonnes</t>
  </si>
  <si>
    <t>km/truck</t>
  </si>
  <si>
    <r>
      <t>tCO</t>
    </r>
    <r>
      <rPr>
        <vertAlign val="subscript"/>
        <sz val="10"/>
        <rFont val="Verdana"/>
        <family val="2"/>
        <charset val="162"/>
      </rPr>
      <t>2</t>
    </r>
    <r>
      <rPr>
        <sz val="10"/>
        <rFont val="Verdana"/>
        <family val="2"/>
      </rPr>
      <t>e</t>
    </r>
  </si>
  <si>
    <t>IPCC 2006 Table 10.17, p.10.45,Chapter10, Volume 4</t>
  </si>
  <si>
    <t>Uncovered anaerobic lagoon for 14 Degrees Celcius</t>
  </si>
  <si>
    <t>Calculated as per the applied tool. See CM Calculation Excel Sheet</t>
  </si>
  <si>
    <r>
      <t>B</t>
    </r>
    <r>
      <rPr>
        <vertAlign val="subscript"/>
        <sz val="10"/>
        <rFont val="Verdana"/>
        <family val="2"/>
      </rPr>
      <t>0,LT</t>
    </r>
  </si>
  <si>
    <r>
      <t>EC</t>
    </r>
    <r>
      <rPr>
        <vertAlign val="subscript"/>
        <sz val="10"/>
        <rFont val="Verdana"/>
        <family val="2"/>
      </rPr>
      <t>p,y</t>
    </r>
  </si>
  <si>
    <t>TDL</t>
  </si>
  <si>
    <t>Transmission + Distribution Loss</t>
  </si>
  <si>
    <t>IPCC Fifth Asessment Report (2014)</t>
  </si>
  <si>
    <t>https://www.ipcc-nggip.iges.or.jp/public/2006gl/pdf/4_Volume4/V4_10_Ch10_Livestock.pdf</t>
  </si>
  <si>
    <t>Poultry</t>
  </si>
  <si>
    <t>https://www.ipcc-nggip.iges.or.jp/public/gp/bgp/4_2_CH4_and_N2O_Livestock_Manure.pdf</t>
  </si>
  <si>
    <t>EF co2,f</t>
  </si>
  <si>
    <t>g CO2/t*km</t>
  </si>
  <si>
    <t xml:space="preserve">Default CO2 emission factor for freight transportation activity f
(g CO2/t km) </t>
  </si>
  <si>
    <t>Methodological tool “Project and leakage emissions from transportation of freight.</t>
  </si>
  <si>
    <t>https://cdm.unfccc.int/methodologies/PAmethodologies/tools/am-tool-12-v1.1.0.pdf</t>
  </si>
  <si>
    <t>FR f,m</t>
  </si>
  <si>
    <t xml:space="preserve">Total mass of freight transported in freight transportation activity f
in monitoring period m (t) </t>
  </si>
  <si>
    <t>D f,m</t>
  </si>
  <si>
    <t>Return trip distance between the origin and destination of freight
transportation activity f in monitoring period m (km)</t>
  </si>
  <si>
    <r>
      <t>PE</t>
    </r>
    <r>
      <rPr>
        <vertAlign val="subscript"/>
        <sz val="10"/>
        <rFont val="Verdana"/>
        <family val="2"/>
      </rPr>
      <t>CH4,y</t>
    </r>
    <r>
      <rPr>
        <sz val="10"/>
        <rFont val="Verdana"/>
        <family val="2"/>
      </rPr>
      <t>= Q</t>
    </r>
    <r>
      <rPr>
        <vertAlign val="subscript"/>
        <sz val="10"/>
        <rFont val="Verdana"/>
        <family val="2"/>
      </rPr>
      <t>CH4,y</t>
    </r>
    <r>
      <rPr>
        <sz val="10"/>
        <rFont val="Verdana"/>
        <family val="2"/>
      </rPr>
      <t xml:space="preserve"> × EF</t>
    </r>
    <r>
      <rPr>
        <vertAlign val="subscript"/>
        <sz val="10"/>
        <rFont val="Verdana"/>
        <family val="2"/>
      </rPr>
      <t>CH4,default</t>
    </r>
    <r>
      <rPr>
        <sz val="10"/>
        <rFont val="Verdana"/>
        <family val="2"/>
      </rPr>
      <t xml:space="preserve"> × GWP</t>
    </r>
    <r>
      <rPr>
        <vertAlign val="subscript"/>
        <sz val="10"/>
        <rFont val="Verdana"/>
        <family val="2"/>
      </rPr>
      <t>CH4</t>
    </r>
  </si>
  <si>
    <r>
      <t>Q</t>
    </r>
    <r>
      <rPr>
        <vertAlign val="subscript"/>
        <sz val="10"/>
        <rFont val="Verdana"/>
        <family val="2"/>
      </rPr>
      <t>CH4,y</t>
    </r>
  </si>
  <si>
    <r>
      <t>tCH</t>
    </r>
    <r>
      <rPr>
        <vertAlign val="subscript"/>
        <sz val="10"/>
        <rFont val="Verdana"/>
        <family val="2"/>
      </rPr>
      <t>4</t>
    </r>
  </si>
  <si>
    <r>
      <t>EF</t>
    </r>
    <r>
      <rPr>
        <vertAlign val="subscript"/>
        <sz val="10"/>
        <rFont val="Verdana"/>
        <family val="2"/>
      </rPr>
      <t>CH4,default</t>
    </r>
  </si>
  <si>
    <r>
      <t>GWP</t>
    </r>
    <r>
      <rPr>
        <vertAlign val="subscript"/>
        <sz val="10"/>
        <rFont val="Verdana"/>
        <family val="2"/>
      </rPr>
      <t>CH4</t>
    </r>
  </si>
  <si>
    <t>PEAD,y (=PECH4)</t>
  </si>
  <si>
    <t>Tool: Project and leakage emissions from anaerobic digesters version 02</t>
  </si>
  <si>
    <r>
      <t>PE</t>
    </r>
    <r>
      <rPr>
        <b/>
        <vertAlign val="subscript"/>
        <sz val="16"/>
        <rFont val="Verdana"/>
        <family val="2"/>
      </rPr>
      <t>transp,y</t>
    </r>
  </si>
  <si>
    <r>
      <t>PE</t>
    </r>
    <r>
      <rPr>
        <b/>
        <vertAlign val="subscript"/>
        <sz val="14"/>
        <rFont val="Verdana"/>
        <family val="2"/>
      </rPr>
      <t>flare,y</t>
    </r>
  </si>
  <si>
    <r>
      <t>PE</t>
    </r>
    <r>
      <rPr>
        <b/>
        <vertAlign val="subscript"/>
        <sz val="14"/>
        <rFont val="Verdana"/>
        <family val="2"/>
      </rPr>
      <t>power,y</t>
    </r>
  </si>
  <si>
    <r>
      <t>PE</t>
    </r>
    <r>
      <rPr>
        <b/>
        <vertAlign val="subscript"/>
        <sz val="10"/>
        <rFont val="Verdana"/>
        <family val="2"/>
      </rPr>
      <t>PL,y</t>
    </r>
    <r>
      <rPr>
        <b/>
        <sz val="10"/>
        <rFont val="Verdana"/>
        <family val="2"/>
      </rPr>
      <t>+PE</t>
    </r>
    <r>
      <rPr>
        <b/>
        <vertAlign val="subscript"/>
        <sz val="10"/>
        <rFont val="Verdana"/>
        <family val="2"/>
      </rPr>
      <t>flare,y</t>
    </r>
    <r>
      <rPr>
        <b/>
        <sz val="10"/>
        <rFont val="Verdana"/>
        <family val="2"/>
      </rPr>
      <t>+PE</t>
    </r>
    <r>
      <rPr>
        <b/>
        <vertAlign val="subscript"/>
        <sz val="10"/>
        <rFont val="Verdana"/>
        <family val="2"/>
      </rPr>
      <t xml:space="preserve">y,power </t>
    </r>
    <r>
      <rPr>
        <b/>
        <sz val="10"/>
        <rFont val="Verdana"/>
        <family val="2"/>
      </rPr>
      <t>+PE</t>
    </r>
    <r>
      <rPr>
        <b/>
        <vertAlign val="subscript"/>
        <sz val="10"/>
        <rFont val="Verdana"/>
        <family val="2"/>
      </rPr>
      <t>stransp,y</t>
    </r>
    <r>
      <rPr>
        <b/>
        <sz val="10"/>
        <rFont val="Verdana"/>
        <family val="2"/>
      </rPr>
      <t xml:space="preserve"> </t>
    </r>
  </si>
  <si>
    <t>Indicator #1 Air Quality</t>
  </si>
  <si>
    <t xml:space="preserve">Vt,db </t>
  </si>
  <si>
    <t xml:space="preserve">Vi,t,db </t>
  </si>
  <si>
    <t xml:space="preserve">ρi,t </t>
  </si>
  <si>
    <t>Mmi</t>
  </si>
  <si>
    <t xml:space="preserve">Ru </t>
  </si>
  <si>
    <t>Tt</t>
  </si>
  <si>
    <t>Pa.m3 /kmol.K</t>
  </si>
  <si>
    <t>kg/kmol</t>
  </si>
  <si>
    <t xml:space="preserve">kg gas /m³ gas </t>
  </si>
  <si>
    <t>Pt</t>
  </si>
  <si>
    <t>Pa</t>
  </si>
  <si>
    <t>K</t>
  </si>
  <si>
    <t>m³ gas /m³ dry gas</t>
  </si>
  <si>
    <t>m³ dry gas/h</t>
  </si>
  <si>
    <t xml:space="preserve">Mass flow of greenhouse gas i in the gaseous stream in time interval t </t>
  </si>
  <si>
    <t xml:space="preserve">Volumetric flow of the gaseous stream in time interval t on a dry basis </t>
  </si>
  <si>
    <t xml:space="preserve">Volumetric fraction of greenhouse gas i in the gaseous stream in a time interval t on a dry basis </t>
  </si>
  <si>
    <t xml:space="preserve">Density of greenhouse gas i in the gaseous stream in time interval t </t>
  </si>
  <si>
    <t xml:space="preserve">Absolute pressure of the gaseous stream in time interval t </t>
  </si>
  <si>
    <t xml:space="preserve">Molecular mass of greenhouse gas i </t>
  </si>
  <si>
    <t>Universal ideal gases constant</t>
  </si>
  <si>
    <t xml:space="preserve">Temperature of the gaseous stream in time interval t </t>
  </si>
  <si>
    <t>-</t>
  </si>
  <si>
    <t>Site record (2mbar (200pa) - 6 (600pa) mbar, blowerda 120 (12000pa) mbar çıkarılır)</t>
  </si>
  <si>
    <t>For CH4</t>
  </si>
  <si>
    <t>Plant operates 7000 hours/year in design average</t>
  </si>
  <si>
    <t>calculated</t>
  </si>
  <si>
    <t>constant</t>
  </si>
  <si>
    <t>calculated (for CH4)</t>
  </si>
  <si>
    <t xml:space="preserve">Fi,t, ch4 </t>
  </si>
  <si>
    <t xml:space="preserve">Quantity of methane produced in the digester in year y  (Reference tool: Tool 08 - Tool to determine the mass flow of a greenhouse gas in a gaseous stream version 03.0)
</t>
  </si>
  <si>
    <t>310,15 K (37 C) site records</t>
  </si>
  <si>
    <t>VS,LT</t>
  </si>
  <si>
    <t xml:space="preserve">(kg -dm/animal/yr)
</t>
  </si>
  <si>
    <t>Annual volatile solid excretions for livestock LT entering all AWMS
on a dry matter weight basis</t>
  </si>
  <si>
    <t xml:space="preserve">Fraction of manure handled in system j in the baseline
</t>
  </si>
  <si>
    <t>MS%BL,j</t>
  </si>
  <si>
    <t>BE</t>
  </si>
  <si>
    <t>tCO2e</t>
  </si>
  <si>
    <t>As per Tool 08: “Tool to determine the mass flow of a greenhouse gas in a gaseous stream” by using site data on biogas production within the dates 01/01/2019-31/12/2019</t>
  </si>
  <si>
    <r>
      <t>B</t>
    </r>
    <r>
      <rPr>
        <b/>
        <vertAlign val="subscript"/>
        <sz val="12"/>
        <rFont val="Verdana"/>
        <family val="2"/>
      </rPr>
      <t>CH4</t>
    </r>
    <r>
      <rPr>
        <b/>
        <sz val="12"/>
        <rFont val="Verdana"/>
        <family val="2"/>
      </rPr>
      <t>+BE</t>
    </r>
    <r>
      <rPr>
        <b/>
        <vertAlign val="subscript"/>
        <sz val="12"/>
        <rFont val="Verdana"/>
        <family val="2"/>
      </rPr>
      <t>elec.</t>
    </r>
    <r>
      <rPr>
        <b/>
        <sz val="12"/>
        <rFont val="Verdana"/>
        <family val="2"/>
      </rPr>
      <t>+BE</t>
    </r>
    <r>
      <rPr>
        <b/>
        <vertAlign val="subscript"/>
        <sz val="12"/>
        <rFont val="Verdana"/>
        <family val="2"/>
      </rPr>
      <t>heat</t>
    </r>
  </si>
  <si>
    <t>BASELINE EMISSION REDUCTION CALCULATIONS</t>
  </si>
  <si>
    <r>
      <t>BE(tCO</t>
    </r>
    <r>
      <rPr>
        <b/>
        <vertAlign val="subscript"/>
        <sz val="10"/>
        <rFont val="Verdana"/>
        <family val="2"/>
      </rPr>
      <t>2</t>
    </r>
    <r>
      <rPr>
        <b/>
        <sz val="10"/>
        <rFont val="Verdana"/>
        <family val="2"/>
      </rPr>
      <t>)</t>
    </r>
  </si>
  <si>
    <r>
      <t>PE(tCO</t>
    </r>
    <r>
      <rPr>
        <b/>
        <vertAlign val="subscript"/>
        <sz val="10"/>
        <rFont val="Verdana"/>
        <family val="2"/>
      </rPr>
      <t>2</t>
    </r>
    <r>
      <rPr>
        <b/>
        <sz val="10"/>
        <rFont val="Verdana"/>
        <family val="2"/>
      </rPr>
      <t>)</t>
    </r>
  </si>
  <si>
    <r>
      <t>ER(tCO</t>
    </r>
    <r>
      <rPr>
        <b/>
        <vertAlign val="subscript"/>
        <sz val="10"/>
        <rFont val="Verdana"/>
        <family val="2"/>
      </rPr>
      <t>2</t>
    </r>
    <r>
      <rPr>
        <b/>
        <sz val="10"/>
        <rFont val="Verdana"/>
        <family val="2"/>
      </rPr>
      <t>)</t>
    </r>
  </si>
  <si>
    <t>The Gold Standard Revised Consolidated Baseline Methodology for GHG Emission Reduction from Manure Management Systems and Municipal Solid Waste</t>
  </si>
  <si>
    <r>
      <t xml:space="preserve">                             2</t>
    </r>
    <r>
      <rPr>
        <vertAlign val="superscript"/>
        <sz val="10"/>
        <color indexed="8"/>
        <rFont val="Calibri"/>
        <family val="2"/>
      </rPr>
      <t>nd</t>
    </r>
    <r>
      <rPr>
        <sz val="10"/>
        <color indexed="8"/>
        <rFont val="Calibri"/>
        <family val="2"/>
      </rPr>
      <t xml:space="preserve"> - 3</t>
    </r>
    <r>
      <rPr>
        <vertAlign val="superscript"/>
        <sz val="10"/>
        <color indexed="8"/>
        <rFont val="Calibri"/>
        <family val="2"/>
      </rPr>
      <t>rd</t>
    </r>
    <r>
      <rPr>
        <sz val="10"/>
        <color indexed="8"/>
        <rFont val="Calibri"/>
        <family val="2"/>
      </rPr>
      <t xml:space="preserve"> crediting period</t>
    </r>
  </si>
  <si>
    <r>
      <t>All other Projects; 1</t>
    </r>
    <r>
      <rPr>
        <vertAlign val="superscript"/>
        <sz val="10"/>
        <color indexed="8"/>
        <rFont val="Calibri"/>
        <family val="2"/>
      </rPr>
      <t>st</t>
    </r>
    <r>
      <rPr>
        <sz val="10"/>
        <color indexed="8"/>
        <rFont val="Calibri"/>
        <family val="2"/>
      </rPr>
      <t xml:space="preserve"> crediting period</t>
    </r>
  </si>
  <si>
    <t xml:space="preserve">For solar, wind  Projects </t>
  </si>
  <si>
    <r>
      <t>W</t>
    </r>
    <r>
      <rPr>
        <b/>
        <vertAlign val="subscript"/>
        <sz val="10"/>
        <color indexed="9"/>
        <rFont val="Calibri"/>
        <family val="2"/>
      </rPr>
      <t>BM</t>
    </r>
  </si>
  <si>
    <r>
      <t>W</t>
    </r>
    <r>
      <rPr>
        <b/>
        <vertAlign val="subscript"/>
        <sz val="10"/>
        <color indexed="9"/>
        <rFont val="Calibri"/>
        <family val="2"/>
      </rPr>
      <t>OM</t>
    </r>
  </si>
  <si>
    <t>Weighting factor</t>
  </si>
  <si>
    <t>Build Margin Emission Factor</t>
  </si>
  <si>
    <t>Operating Margin Emission Factor</t>
  </si>
  <si>
    <t>CM calculation for emission reduction estimations for CDM projects</t>
  </si>
  <si>
    <t xml:space="preserve">Latest official emission factor of Turkey that can be used in the projects depending on the project type published by the Ministry of Energy and Natural Resources. </t>
  </si>
  <si>
    <t xml:space="preserve">IPCC Fifth Asessment Report </t>
  </si>
  <si>
    <r>
      <t>BE</t>
    </r>
    <r>
      <rPr>
        <vertAlign val="subscript"/>
        <sz val="14"/>
        <rFont val="Verdana"/>
        <family val="2"/>
      </rPr>
      <t xml:space="preserve">CH4 (with GWP 28; after 31/12/2020)
</t>
    </r>
    <r>
      <rPr>
        <sz val="10"/>
        <rFont val="Verdana"/>
        <family val="2"/>
        <charset val="162"/>
      </rPr>
      <t/>
    </r>
  </si>
  <si>
    <t>Baseline emission (GWP taken as 28; after 31/12/2020)</t>
  </si>
  <si>
    <t>number of days</t>
  </si>
  <si>
    <t>total</t>
  </si>
  <si>
    <t>Period (monthly)</t>
  </si>
  <si>
    <t>Steam (ton)</t>
  </si>
  <si>
    <t>Total</t>
  </si>
  <si>
    <t>Tire Biogas Plant biogas production was 8,572,937 m3/y within the dates 01/01/2019-31/12/2019 and CH4 content of biogas is recorded as 59% as site records.</t>
  </si>
  <si>
    <t>Name of the Farm</t>
  </si>
  <si>
    <t>Animal Type</t>
  </si>
  <si>
    <t>Hatice Güler Cattle Farm</t>
  </si>
  <si>
    <t>Dairy Cattle</t>
  </si>
  <si>
    <t>Şerif Demir Cattle Farm</t>
  </si>
  <si>
    <t>Total Cattle Number</t>
  </si>
  <si>
    <t>Ercanlar Poultry Farm</t>
  </si>
  <si>
    <t>Total Poultry Number</t>
  </si>
  <si>
    <t>Plant Records (signed documents provided seperately with monthly records)</t>
  </si>
  <si>
    <t>Combined Margin for Tire Biogas Project</t>
  </si>
  <si>
    <t>https://www.mgm.gov.tr/veridegerlendirme/il-ve-ilceler-istatistik.aspx?m=IZMIR</t>
  </si>
  <si>
    <t>MCF</t>
  </si>
  <si>
    <t>Multiplying with 0,94 for correction</t>
  </si>
  <si>
    <t>default value as per tool 09 ver.03</t>
  </si>
  <si>
    <t>IPCC 2019 Refinement, Chapter 10, Volume 4 Table 10.16,  Eastern Europe Data is taken</t>
  </si>
  <si>
    <r>
      <t xml:space="preserve">Annual average temperature is 17.9 </t>
    </r>
    <r>
      <rPr>
        <sz val="10"/>
        <rFont val="Arial Tur"/>
      </rPr>
      <t>̊</t>
    </r>
    <r>
      <rPr>
        <sz val="8.5"/>
        <rFont val="Verdana"/>
        <family val="2"/>
      </rPr>
      <t>C for İzmir</t>
    </r>
    <r>
      <rPr>
        <sz val="10"/>
        <rFont val="Verdana"/>
        <family val="2"/>
        <charset val="162"/>
      </rPr>
      <t xml:space="preserve"> District of Turkey according to data provide by MGM</t>
    </r>
  </si>
  <si>
    <t>17.9 Celcius =&gt; 76%</t>
  </si>
  <si>
    <t xml:space="preserve">Project and leakage emissions from anaerobic digesters
https://cdm.unfccc.int/methodologies/PAmethodologies/tools/am-tool-14-v2.pdf
</t>
  </si>
  <si>
    <t>IPCC 2006 vol.4, chapter 10, Table10A-4(Dairy Cows eastern Europe) (4.5  kg/hd/day)</t>
  </si>
  <si>
    <t>IPCC 2006 vol.4, chapter 10, Table10A-9(Chicken-layer)  (0.02 kg/hd/day)</t>
  </si>
  <si>
    <t>Chicken Layer</t>
  </si>
  <si>
    <t>Gross</t>
  </si>
  <si>
    <t>Internal Consumption</t>
  </si>
  <si>
    <t>Net Generation</t>
  </si>
  <si>
    <t xml:space="preserve">January </t>
  </si>
  <si>
    <t xml:space="preserve">February </t>
  </si>
  <si>
    <t>March</t>
  </si>
  <si>
    <t>April</t>
  </si>
  <si>
    <t>May</t>
  </si>
  <si>
    <t xml:space="preserve">June </t>
  </si>
  <si>
    <t>July</t>
  </si>
  <si>
    <t xml:space="preserve">August </t>
  </si>
  <si>
    <t>September</t>
  </si>
  <si>
    <t xml:space="preserve">October </t>
  </si>
  <si>
    <t xml:space="preserve">November </t>
  </si>
  <si>
    <t>December</t>
  </si>
  <si>
    <t>TOTAL</t>
  </si>
  <si>
    <t>Years</t>
  </si>
  <si>
    <r>
      <t>BE</t>
    </r>
    <r>
      <rPr>
        <vertAlign val="subscript"/>
        <sz val="12"/>
        <rFont val="Calibri"/>
        <family val="2"/>
        <charset val="162"/>
        <scheme val="minor"/>
      </rPr>
      <t>elec.</t>
    </r>
    <r>
      <rPr>
        <sz val="12"/>
        <rFont val="Calibri"/>
        <family val="2"/>
        <charset val="162"/>
        <scheme val="minor"/>
      </rPr>
      <t xml:space="preserve"> (tCO2e)/year</t>
    </r>
  </si>
  <si>
    <t>Electricty generation (MWh)</t>
  </si>
  <si>
    <t>Average</t>
  </si>
  <si>
    <t>Steam provided To Dairy Factory By Project (2023)</t>
  </si>
  <si>
    <t>January</t>
  </si>
  <si>
    <t>February</t>
  </si>
  <si>
    <t>June</t>
  </si>
  <si>
    <t>August</t>
  </si>
  <si>
    <t>October</t>
  </si>
  <si>
    <t>November</t>
  </si>
  <si>
    <t>Kamil Doğan Cattle Farm</t>
  </si>
  <si>
    <t>Işık Yumurta</t>
  </si>
  <si>
    <t>Çetinel Kardeşler</t>
  </si>
  <si>
    <t>Defne Agriculture</t>
  </si>
  <si>
    <r>
      <t>BE</t>
    </r>
    <r>
      <rPr>
        <vertAlign val="subscript"/>
        <sz val="10"/>
        <rFont val="Verdana"/>
        <family val="2"/>
      </rPr>
      <t xml:space="preserve">CH4 </t>
    </r>
    <r>
      <rPr>
        <sz val="10"/>
        <rFont val="Verdana"/>
        <family val="2"/>
        <charset val="162"/>
      </rPr>
      <t>(tCO2e/a)</t>
    </r>
    <r>
      <rPr>
        <vertAlign val="subscript"/>
        <sz val="10"/>
        <rFont val="Verdana"/>
        <family val="2"/>
      </rPr>
      <t xml:space="preserve">
</t>
    </r>
    <r>
      <rPr>
        <sz val="10"/>
        <rFont val="Verdana"/>
        <family val="2"/>
      </rPr>
      <t xml:space="preserve">(with GWP 28; after 31/12/2020) </t>
    </r>
  </si>
  <si>
    <r>
      <t>BE</t>
    </r>
    <r>
      <rPr>
        <vertAlign val="subscript"/>
        <sz val="10"/>
        <rFont val="Verdana"/>
        <family val="2"/>
      </rPr>
      <t>elec.</t>
    </r>
    <r>
      <rPr>
        <sz val="10"/>
        <rFont val="Verdana"/>
        <family val="2"/>
      </rPr>
      <t xml:space="preserve"> (tCO2e/a)</t>
    </r>
  </si>
  <si>
    <t>Total (tCO2e/a)</t>
  </si>
  <si>
    <r>
      <t>PE</t>
    </r>
    <r>
      <rPr>
        <vertAlign val="subscript"/>
        <sz val="10"/>
        <rFont val="Verdana"/>
        <family val="2"/>
        <charset val="162"/>
      </rPr>
      <t>AD</t>
    </r>
    <r>
      <rPr>
        <vertAlign val="subscript"/>
        <sz val="10"/>
        <rFont val="Verdana"/>
        <family val="2"/>
      </rPr>
      <t xml:space="preserve"> </t>
    </r>
    <r>
      <rPr>
        <sz val="10"/>
        <rFont val="Verdana"/>
        <family val="2"/>
        <charset val="162"/>
      </rPr>
      <t>(tCO2e/a)</t>
    </r>
    <r>
      <rPr>
        <vertAlign val="subscript"/>
        <sz val="10"/>
        <rFont val="Verdana"/>
        <family val="2"/>
      </rPr>
      <t xml:space="preserve">
</t>
    </r>
    <r>
      <rPr>
        <sz val="10"/>
        <rFont val="Verdana"/>
        <family val="2"/>
      </rPr>
      <t xml:space="preserve">(with GWP 28; after 31/12/2020) </t>
    </r>
  </si>
  <si>
    <r>
      <rPr>
        <sz val="10"/>
        <rFont val="Verdana"/>
        <family val="2"/>
      </rPr>
      <t>PE</t>
    </r>
    <r>
      <rPr>
        <vertAlign val="subscript"/>
        <sz val="10"/>
        <rFont val="Verdana"/>
        <family val="2"/>
        <charset val="162"/>
      </rPr>
      <t>Flare</t>
    </r>
    <r>
      <rPr>
        <sz val="10"/>
        <rFont val="Verdana"/>
        <family val="2"/>
      </rPr>
      <t xml:space="preserve"> (tCO2e/a)</t>
    </r>
  </si>
  <si>
    <r>
      <t>PE</t>
    </r>
    <r>
      <rPr>
        <vertAlign val="subscript"/>
        <sz val="10"/>
        <rFont val="Verdana"/>
        <family val="2"/>
      </rPr>
      <t>power.</t>
    </r>
    <r>
      <rPr>
        <sz val="10"/>
        <rFont val="Verdana"/>
        <family val="2"/>
      </rPr>
      <t xml:space="preserve"> (tCO2e/a)</t>
    </r>
  </si>
  <si>
    <t>Vt,db (m³ dry gas/year)</t>
  </si>
  <si>
    <t>Fi,t, ch4</t>
  </si>
  <si>
    <t>tonne gas/MP</t>
  </si>
  <si>
    <t>kg gas/MP</t>
  </si>
  <si>
    <t>m³ dry gas/MP</t>
  </si>
  <si>
    <t>TİRE</t>
  </si>
  <si>
    <t>Manure Biogas</t>
  </si>
  <si>
    <t>Quantity of the electricity imported from the grid and consumed by the project activity in MP</t>
  </si>
  <si>
    <t>Omega Milk Agriculture Farm</t>
  </si>
  <si>
    <t>İzmir Pasteurized Egg Ind.</t>
  </si>
  <si>
    <t>Qmanure,j,LT,y (tons/a, wet basis)</t>
  </si>
  <si>
    <t>Steam</t>
  </si>
  <si>
    <t>Hot water</t>
  </si>
  <si>
    <t>Manure Biogas/Total Biogas</t>
  </si>
  <si>
    <t>Volkan Güler Poultry Farm</t>
  </si>
  <si>
    <t>Total in MP</t>
  </si>
  <si>
    <r>
      <t>BE</t>
    </r>
    <r>
      <rPr>
        <vertAlign val="subscript"/>
        <sz val="10"/>
        <rFont val="Verdana"/>
        <family val="2"/>
        <charset val="162"/>
      </rPr>
      <t>heat</t>
    </r>
    <r>
      <rPr>
        <sz val="10"/>
        <rFont val="Verdana"/>
        <family val="2"/>
      </rPr>
      <t xml:space="preserve"> (tCO2e/a)</t>
    </r>
  </si>
  <si>
    <t>m³/month</t>
  </si>
  <si>
    <t>ton/month</t>
  </si>
  <si>
    <t>MWh/month</t>
  </si>
  <si>
    <t>WWTP Biogas</t>
  </si>
  <si>
    <t>B.6.4. Summary emission reductions</t>
  </si>
  <si>
    <t>HGpj,k,y</t>
  </si>
  <si>
    <t>Migros</t>
  </si>
  <si>
    <t>İzmir Province Brood Cattle Farm</t>
  </si>
  <si>
    <t>Brood Cattle</t>
  </si>
  <si>
    <t>Ragyu Farm</t>
  </si>
  <si>
    <t>Cactus Farm</t>
  </si>
  <si>
    <t>TOPLAM</t>
  </si>
  <si>
    <t>Date</t>
  </si>
  <si>
    <t>Digester Biogas m3/day</t>
  </si>
  <si>
    <t>WWTP Biogas m3/day</t>
  </si>
  <si>
    <t>Digester
% CH4</t>
  </si>
  <si>
    <t>Vt,db (ton CH4/year)</t>
  </si>
  <si>
    <t>ton CH4/day</t>
  </si>
  <si>
    <t>%CH4 in dry gas</t>
  </si>
  <si>
    <t>01/01/2024 - 31/05/2024</t>
  </si>
  <si>
    <t>2024 (1.01.2024-31.05.2024)</t>
  </si>
  <si>
    <t>Steam provided To Dairy Factory By Project (Between 01/01/2024 and 31/05/2024)</t>
  </si>
  <si>
    <r>
      <t>PE</t>
    </r>
    <r>
      <rPr>
        <vertAlign val="subscript"/>
        <sz val="10"/>
        <rFont val="Verdana"/>
        <family val="2"/>
      </rPr>
      <t>tran</t>
    </r>
    <r>
      <rPr>
        <sz val="10"/>
        <rFont val="Verdana"/>
        <family val="2"/>
      </rPr>
      <t xml:space="preserve"> (tCO2e/a)</t>
    </r>
  </si>
  <si>
    <t>Agricultural Waste (tonnes)</t>
  </si>
  <si>
    <t>Waste Water Treatment Sludge (tonnes)</t>
  </si>
  <si>
    <t>B.6.4. Summary of ex ante estimates of emission reductions</t>
  </si>
  <si>
    <r>
      <t>T</t>
    </r>
    <r>
      <rPr>
        <sz val="10"/>
        <rFont val="Verdana"/>
        <family val="2"/>
      </rPr>
      <t>otal</t>
    </r>
  </si>
  <si>
    <t>22/08/2022-31/12/2022</t>
  </si>
  <si>
    <t>Steam (ton/day)</t>
  </si>
  <si>
    <t>Steam provided To Dairy Factory By Project (Between 22/08/2022 and 31/12/2022)</t>
  </si>
  <si>
    <t>2022 Total Gross Electricity Generation of Turkey (GWh)</t>
  </si>
  <si>
    <t>2023 Total Gross Electricity Generation of Turkey (GWh)</t>
  </si>
  <si>
    <t>https://unfccc.int/documents/644389</t>
  </si>
  <si>
    <t xml:space="preserve"> Total SO2 and NOx emission related to electricity generation is about 1908.82 kt and 368.67 kt respectively  according to 2022  National Inventory of Turkey (latest published inventory).</t>
  </si>
  <si>
    <t>SO2 Emission in 2022 (latest published) (kt)</t>
  </si>
  <si>
    <t>NOx Emission in 2022 (latest published) (kt)</t>
  </si>
  <si>
    <t>* For 2024 emission factors, 2022 and 2023 average is taken, since 2024 data has not been published.</t>
  </si>
  <si>
    <t>Year</t>
  </si>
  <si>
    <t>SO2 EF (kg/MWh)</t>
  </si>
  <si>
    <t>NOx EF (kg/MWh)</t>
  </si>
  <si>
    <t>https://webim.teias.gov.tr/file/2e8f7a79-8861-4a1e-8e29-0319f6c0b0af?download</t>
  </si>
  <si>
    <t>https://webim.teias.gov.tr/file/ba3a35b0-2393-4d0a-89e2-7351f149e88d?download</t>
  </si>
  <si>
    <t>SO2 Emission Reduction (tons)</t>
  </si>
  <si>
    <t>NOx Emission Reduction (tons)</t>
  </si>
  <si>
    <t>Tool 6 equation 15</t>
  </si>
  <si>
    <t>Tool to determine project emission from flaring</t>
  </si>
  <si>
    <t>MRG,m = pRG,ref,m×VRG,m</t>
  </si>
  <si>
    <t>𝐺𝑊𝑃𝐶𝐻4× ∑ 𝐹𝐶𝐻4,𝑅𝐺,𝑚×(1 − 𝜂𝑓𝑙𝑎𝑟𝑒,𝑚)×10−3</t>
  </si>
  <si>
    <t>2022 (22.08.2022-31.12.2022)</t>
  </si>
  <si>
    <r>
      <t>EF</t>
    </r>
    <r>
      <rPr>
        <vertAlign val="subscript"/>
        <sz val="10"/>
        <rFont val="Verdana"/>
        <family val="2"/>
      </rPr>
      <t>grid,CM,y</t>
    </r>
  </si>
  <si>
    <t>44-Grafik III.VIII - Türkiye Elektrik Enerjisi İletim Ve Dağıtım Kaybı Oranları (2013-2023)</t>
  </si>
  <si>
    <t>Total Net Generation for the monitoring period (MWh)</t>
  </si>
  <si>
    <t>Total (Cogeneration) Biogas (m3/day)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</si>
</sst>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3" formatCode="_-* #,##0.00_-;\-* #,##0.00_-;_-* &quot;-&quot;??_-;_-@_-"/>
    <numFmt numFmtId="164" formatCode="_(* #,##0.00_);_(* \(#,##0.00\);_(* &quot;-&quot;??_);_(@_)"/>
    <numFmt numFmtId="165" formatCode="_-* #,##0.00\ _T_L_-;\-* #,##0.00\ _T_L_-;_-* &quot;-&quot;??\ _T_L_-;_-@_-"/>
    <numFmt numFmtId="166" formatCode="0_);[Red]\(0\)"/>
    <numFmt numFmtId="167" formatCode="0.0%"/>
    <numFmt numFmtId="168" formatCode="0.00_ "/>
    <numFmt numFmtId="169" formatCode="0.0"/>
    <numFmt numFmtId="170" formatCode="_-* #,##0\ _T_L_-;\-* #,##0\ _T_L_-;_-* &quot;-&quot;??\ _T_L_-;_-@_-"/>
    <numFmt numFmtId="171" formatCode="_-* #,##0.000\ _T_L_-;\-* #,##0.000\ _T_L_-;_-* &quot;-&quot;??\ _T_L_-;_-@_-"/>
    <numFmt numFmtId="172" formatCode="#,##0.0"/>
    <numFmt numFmtId="173" formatCode="#,##0.000"/>
    <numFmt numFmtId="174" formatCode="0.000"/>
    <numFmt numFmtId="175" formatCode="_-* #,##0.00\ [$€-1]_-;\-* #,##0.00\ [$€-1]_-;_-* &quot;-&quot;??\ [$€-1]_-"/>
    <numFmt numFmtId="176" formatCode="#."/>
    <numFmt numFmtId="177" formatCode="#,##0\ &quot;TL&quot;;\-#,##0\ &quot;TL&quot;"/>
    <numFmt numFmtId="178" formatCode="mmmm\-yy"/>
    <numFmt numFmtId="179" formatCode="General_)"/>
    <numFmt numFmtId="180" formatCode="0.0000"/>
    <numFmt numFmtId="181" formatCode="_-* #,##0_-;\-* #,##0_-;_-* &quot;-&quot;??_-;_-@_-"/>
    <numFmt numFmtId="182" formatCode="[$-F800]dddd\,\ mmmm\ dd\,\ yyyy"/>
    <numFmt numFmtId="183" formatCode="_-* #,##0.0_-;\-* #,##0.0_-;_-* &quot;-&quot;??_-;_-@_-"/>
    <numFmt numFmtId="184" formatCode="[$-41F]d\ mmmm\ yyyy;@"/>
    <numFmt numFmtId="185" formatCode="#,##0.0\ &quot;ton&quot;"/>
  </numFmts>
  <fonts count="90">
    <font>
      <sz val="10"/>
      <name val="Verdana"/>
      <family val="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Verdana"/>
      <family val="2"/>
    </font>
    <font>
      <sz val="8"/>
      <name val="Verdana"/>
      <family val="2"/>
    </font>
    <font>
      <vertAlign val="subscript"/>
      <sz val="10"/>
      <name val="Verdana"/>
      <family val="2"/>
    </font>
    <font>
      <sz val="9"/>
      <name val="宋体"/>
      <charset val="134"/>
    </font>
    <font>
      <vertAlign val="superscript"/>
      <sz val="10"/>
      <name val="Verdana"/>
      <family val="2"/>
    </font>
    <font>
      <sz val="10"/>
      <name val="Arial Unicode MS"/>
      <family val="2"/>
      <charset val="134"/>
    </font>
    <font>
      <vertAlign val="subscript"/>
      <sz val="10"/>
      <name val="Arial Unicode MS"/>
      <family val="2"/>
      <charset val="134"/>
    </font>
    <font>
      <i/>
      <sz val="10"/>
      <name val="Verdana"/>
      <family val="2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sz val="11"/>
      <name val="Times New Roman"/>
      <family val="1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Geneva"/>
      <charset val="16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Verdana"/>
      <family val="2"/>
      <charset val="162"/>
    </font>
    <font>
      <sz val="10"/>
      <name val="Verdana"/>
      <family val="2"/>
      <charset val="162"/>
    </font>
    <font>
      <vertAlign val="subscript"/>
      <sz val="10"/>
      <name val="Verdana"/>
      <family val="2"/>
      <charset val="162"/>
    </font>
    <font>
      <sz val="11"/>
      <color indexed="8"/>
      <name val="Times New Roman"/>
      <family val="1"/>
    </font>
    <font>
      <b/>
      <sz val="12"/>
      <name val="Verdana"/>
      <family val="2"/>
    </font>
    <font>
      <sz val="12"/>
      <name val="Calibri"/>
      <family val="2"/>
    </font>
    <font>
      <sz val="10"/>
      <name val="Arial Tur"/>
    </font>
    <font>
      <sz val="8.5"/>
      <name val="Verdana"/>
      <family val="2"/>
    </font>
    <font>
      <b/>
      <sz val="10"/>
      <name val="Verdana"/>
      <family val="2"/>
    </font>
    <font>
      <b/>
      <vertAlign val="subscript"/>
      <sz val="10"/>
      <name val="Verdana"/>
      <family val="2"/>
    </font>
    <font>
      <b/>
      <sz val="14"/>
      <name val="Verdana"/>
      <family val="2"/>
    </font>
    <font>
      <b/>
      <vertAlign val="subscript"/>
      <sz val="14"/>
      <name val="Verdana"/>
      <family val="2"/>
    </font>
    <font>
      <b/>
      <sz val="16"/>
      <name val="Verdana"/>
      <family val="2"/>
    </font>
    <font>
      <b/>
      <vertAlign val="subscript"/>
      <sz val="16"/>
      <name val="Verdana"/>
      <family val="2"/>
    </font>
    <font>
      <vertAlign val="subscript"/>
      <sz val="12"/>
      <name val="Verdana"/>
      <family val="2"/>
    </font>
    <font>
      <b/>
      <vertAlign val="subscript"/>
      <sz val="12"/>
      <name val="Verdana"/>
      <family val="2"/>
    </font>
    <font>
      <b/>
      <sz val="16"/>
      <color theme="0"/>
      <name val="Verdana"/>
      <family val="2"/>
    </font>
    <font>
      <sz val="10"/>
      <color theme="1"/>
      <name val="Calibri"/>
      <family val="2"/>
      <scheme val="minor"/>
    </font>
    <font>
      <vertAlign val="superscript"/>
      <sz val="10"/>
      <color indexed="8"/>
      <name val="Calibri"/>
      <family val="2"/>
    </font>
    <font>
      <sz val="10"/>
      <color indexed="8"/>
      <name val="Calibri"/>
      <family val="2"/>
    </font>
    <font>
      <b/>
      <sz val="10"/>
      <color theme="0"/>
      <name val="Calibri"/>
      <family val="2"/>
      <scheme val="minor"/>
    </font>
    <font>
      <b/>
      <vertAlign val="subscript"/>
      <sz val="10"/>
      <color indexed="9"/>
      <name val="Calibri"/>
      <family val="2"/>
    </font>
    <font>
      <sz val="10"/>
      <color theme="0"/>
      <name val="Calibri"/>
      <family val="2"/>
      <scheme val="minor"/>
    </font>
    <font>
      <b/>
      <sz val="11"/>
      <name val="Arial"/>
      <family val="2"/>
    </font>
    <font>
      <sz val="12"/>
      <name val="Times New Roman Tur"/>
      <charset val="162"/>
    </font>
    <font>
      <sz val="10"/>
      <name val="Geneva"/>
      <family val="2"/>
    </font>
    <font>
      <sz val="10"/>
      <name val="Arial Tur"/>
      <charset val="162"/>
    </font>
    <font>
      <sz val="9"/>
      <color indexed="8"/>
      <name val="Times New Roman"/>
      <family val="1"/>
    </font>
    <font>
      <b/>
      <sz val="12"/>
      <name val="Times New Roman"/>
      <family val="1"/>
    </font>
    <font>
      <u/>
      <sz val="10"/>
      <color theme="10"/>
      <name val="Arial Tur"/>
      <charset val="162"/>
    </font>
    <font>
      <sz val="10"/>
      <name val="Geneva"/>
      <family val="2"/>
      <charset val="162"/>
    </font>
    <font>
      <b/>
      <sz val="9"/>
      <name val="Times New Roman"/>
      <family val="1"/>
    </font>
    <font>
      <sz val="10"/>
      <name val="MS Sans Serif"/>
      <family val="2"/>
      <charset val="162"/>
    </font>
    <font>
      <sz val="14"/>
      <name val="Verdana"/>
      <family val="2"/>
    </font>
    <font>
      <vertAlign val="subscript"/>
      <sz val="14"/>
      <name val="Verdana"/>
      <family val="2"/>
    </font>
    <font>
      <b/>
      <sz val="11"/>
      <color theme="1"/>
      <name val="Calibri"/>
      <family val="2"/>
      <scheme val="minor"/>
    </font>
    <font>
      <sz val="11"/>
      <color rgb="FF4D4D4C"/>
      <name val="Verdana"/>
      <family val="2"/>
    </font>
    <font>
      <b/>
      <sz val="11"/>
      <color rgb="FF4D4D4C"/>
      <name val="Verdana"/>
      <family val="2"/>
    </font>
    <font>
      <b/>
      <sz val="11"/>
      <color theme="1"/>
      <name val="Verdana"/>
      <family val="2"/>
    </font>
    <font>
      <b/>
      <u/>
      <sz val="10"/>
      <color indexed="12"/>
      <name val="Arial"/>
      <family val="2"/>
    </font>
    <font>
      <sz val="12"/>
      <name val="宋体"/>
      <charset val="134"/>
    </font>
    <font>
      <sz val="12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2"/>
      <color rgb="FFFF0000"/>
      <name val="Calibri"/>
      <family val="2"/>
      <charset val="162"/>
      <scheme val="minor"/>
    </font>
    <font>
      <vertAlign val="subscript"/>
      <sz val="12"/>
      <name val="Calibri"/>
      <family val="2"/>
      <charset val="162"/>
      <scheme val="minor"/>
    </font>
    <font>
      <b/>
      <sz val="16"/>
      <color rgb="FFFF000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b/>
      <sz val="14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9"/>
      <color theme="0"/>
      <name val="Arial"/>
      <family val="2"/>
      <charset val="162"/>
    </font>
    <font>
      <sz val="8"/>
      <name val="Arial"/>
      <family val="2"/>
      <charset val="162"/>
    </font>
    <font>
      <b/>
      <sz val="11"/>
      <color theme="0"/>
      <name val="Calibri"/>
      <family val="2"/>
      <charset val="162"/>
      <scheme val="minor"/>
    </font>
    <font>
      <b/>
      <sz val="8"/>
      <color theme="0"/>
      <name val="Arial"/>
      <family val="2"/>
      <charset val="162"/>
    </font>
    <font>
      <b/>
      <sz val="8"/>
      <color theme="1"/>
      <name val="Arial"/>
      <family val="2"/>
      <charset val="162"/>
    </font>
    <font>
      <sz val="8"/>
      <color theme="1"/>
      <name val="Arial"/>
      <family val="2"/>
      <charset val="16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/>
      <top/>
      <bottom style="thin">
        <color theme="4" tint="0.39991454817346722"/>
      </bottom>
      <diagonal/>
    </border>
    <border>
      <left style="thin">
        <color theme="4" tint="0.39991454817346722"/>
      </left>
      <right/>
      <top/>
      <bottom style="thin">
        <color theme="4" tint="0.39991454817346722"/>
      </bottom>
      <diagonal/>
    </border>
    <border>
      <left/>
      <right/>
      <top style="thin">
        <color theme="4" tint="0.39991454817346722"/>
      </top>
      <bottom style="medium">
        <color indexed="64"/>
      </bottom>
      <diagonal/>
    </border>
    <border>
      <left/>
      <right/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medium">
        <color indexed="64"/>
      </top>
      <bottom style="thin">
        <color theme="4" tint="0.39991454817346722"/>
      </bottom>
      <diagonal/>
    </border>
    <border>
      <left/>
      <right/>
      <top style="medium">
        <color indexed="64"/>
      </top>
      <bottom style="thin">
        <color theme="4" tint="0.39991454817346722"/>
      </bottom>
      <diagonal/>
    </border>
    <border>
      <left style="thin">
        <color theme="4" tint="0.39991454817346722"/>
      </left>
      <right/>
      <top style="medium">
        <color indexed="64"/>
      </top>
      <bottom style="thin">
        <color theme="4" tint="0.39991454817346722"/>
      </bottom>
      <diagonal/>
    </border>
    <border>
      <left style="thin">
        <color theme="4" tint="0.39991454817346722"/>
      </left>
      <right/>
      <top style="thin">
        <color theme="4" tint="0.399914548173467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0">
    <xf numFmtId="0" fontId="0" fillId="0" borderId="0"/>
    <xf numFmtId="0" fontId="12" fillId="0" borderId="0"/>
    <xf numFmtId="0" fontId="13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2" applyNumberFormat="0" applyAlignment="0" applyProtection="0"/>
    <xf numFmtId="0" fontId="19" fillId="21" borderId="13" applyNumberFormat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25" fillId="7" borderId="12" applyNumberFormat="0" applyAlignment="0" applyProtection="0"/>
    <xf numFmtId="0" fontId="26" fillId="0" borderId="17" applyNumberFormat="0" applyFill="0" applyAlignment="0" applyProtection="0"/>
    <xf numFmtId="0" fontId="15" fillId="0" borderId="0"/>
    <xf numFmtId="0" fontId="27" fillId="0" borderId="0"/>
    <xf numFmtId="0" fontId="15" fillId="22" borderId="18" applyNumberFormat="0" applyFont="0" applyAlignment="0" applyProtection="0"/>
    <xf numFmtId="0" fontId="28" fillId="20" borderId="1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31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9" fontId="31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1" fillId="0" borderId="0" applyNumberFormat="0" applyFont="0" applyFill="0" applyBorder="0" applyProtection="0">
      <alignment horizontal="left" vertical="center" indent="2"/>
    </xf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7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0" fontId="60" fillId="0" borderId="0" applyNumberFormat="0">
      <alignment horizontal="right"/>
    </xf>
    <xf numFmtId="0" fontId="31" fillId="0" borderId="5"/>
    <xf numFmtId="175" fontId="12" fillId="0" borderId="0" applyFont="0" applyFill="0" applyBorder="0" applyAlignment="0" applyProtection="0"/>
    <xf numFmtId="176" fontId="59" fillId="0" borderId="0">
      <protection locked="0"/>
    </xf>
    <xf numFmtId="176" fontId="59" fillId="0" borderId="0">
      <protection locked="0"/>
    </xf>
    <xf numFmtId="176" fontId="59" fillId="0" borderId="0">
      <protection locked="0"/>
    </xf>
    <xf numFmtId="176" fontId="59" fillId="0" borderId="0">
      <protection locked="0"/>
    </xf>
    <xf numFmtId="176" fontId="59" fillId="0" borderId="0">
      <protection locked="0"/>
    </xf>
    <xf numFmtId="176" fontId="59" fillId="0" borderId="0">
      <protection locked="0"/>
    </xf>
    <xf numFmtId="176" fontId="59" fillId="0" borderId="0"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9" fillId="0" borderId="0"/>
    <xf numFmtId="0" fontId="1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177" fontId="58" fillId="0" borderId="0"/>
    <xf numFmtId="177" fontId="58" fillId="0" borderId="0"/>
    <xf numFmtId="178" fontId="12" fillId="0" borderId="0"/>
    <xf numFmtId="179" fontId="58" fillId="0" borderId="0"/>
    <xf numFmtId="179" fontId="58" fillId="0" borderId="0"/>
    <xf numFmtId="0" fontId="31" fillId="0" borderId="0"/>
    <xf numFmtId="0" fontId="59" fillId="0" borderId="0"/>
    <xf numFmtId="0" fontId="59" fillId="0" borderId="0"/>
    <xf numFmtId="0" fontId="27" fillId="0" borderId="0"/>
    <xf numFmtId="0" fontId="27" fillId="0" borderId="0"/>
    <xf numFmtId="0" fontId="63" fillId="0" borderId="0"/>
    <xf numFmtId="0" fontId="13" fillId="0" borderId="0"/>
    <xf numFmtId="0" fontId="58" fillId="0" borderId="0"/>
    <xf numFmtId="0" fontId="12" fillId="0" borderId="0"/>
    <xf numFmtId="0" fontId="12" fillId="0" borderId="0"/>
    <xf numFmtId="0" fontId="31" fillId="0" borderId="0"/>
    <xf numFmtId="37" fontId="58" fillId="0" borderId="0"/>
    <xf numFmtId="37" fontId="58" fillId="0" borderId="0"/>
    <xf numFmtId="0" fontId="12" fillId="0" borderId="0"/>
    <xf numFmtId="0" fontId="57" fillId="0" borderId="0"/>
    <xf numFmtId="0" fontId="12" fillId="0" borderId="0"/>
    <xf numFmtId="0" fontId="3" fillId="0" borderId="0"/>
    <xf numFmtId="169" fontId="58" fillId="0" borderId="0"/>
    <xf numFmtId="0" fontId="58" fillId="0" borderId="0"/>
    <xf numFmtId="0" fontId="58" fillId="0" borderId="0"/>
    <xf numFmtId="178" fontId="12" fillId="0" borderId="0"/>
    <xf numFmtId="0" fontId="64" fillId="0" borderId="0" applyNumberFormat="0" applyFill="0" applyBorder="0" applyProtection="0">
      <alignment horizontal="left" vertical="center"/>
    </xf>
    <xf numFmtId="38" fontId="65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37" fontId="58" fillId="0" borderId="0"/>
    <xf numFmtId="37" fontId="58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63" fillId="0" borderId="0"/>
  </cellStyleXfs>
  <cellXfs count="414">
    <xf numFmtId="0" fontId="0" fillId="0" borderId="0" xfId="0"/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168" fontId="0" fillId="0" borderId="0" xfId="0" applyNumberFormat="1" applyAlignment="1">
      <alignment vertical="center" wrapText="1"/>
    </xf>
    <xf numFmtId="9" fontId="0" fillId="0" borderId="0" xfId="0" applyNumberFormat="1" applyAlignment="1">
      <alignment vertical="center" wrapText="1"/>
    </xf>
    <xf numFmtId="9" fontId="4" fillId="0" borderId="0" xfId="0" applyNumberFormat="1" applyFont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/>
    </xf>
    <xf numFmtId="167" fontId="0" fillId="0" borderId="0" xfId="0" applyNumberFormat="1" applyAlignment="1">
      <alignment vertical="center" wrapText="1"/>
    </xf>
    <xf numFmtId="0" fontId="32" fillId="0" borderId="0" xfId="45" applyAlignment="1" applyProtection="1"/>
    <xf numFmtId="170" fontId="4" fillId="0" borderId="10" xfId="47" applyNumberFormat="1" applyFont="1" applyBorder="1" applyAlignment="1">
      <alignment vertical="center" wrapText="1"/>
    </xf>
    <xf numFmtId="0" fontId="33" fillId="0" borderId="7" xfId="0" applyFont="1" applyBorder="1" applyAlignment="1">
      <alignment vertical="center" wrapText="1"/>
    </xf>
    <xf numFmtId="170" fontId="33" fillId="0" borderId="9" xfId="47" applyNumberFormat="1" applyFont="1" applyBorder="1" applyAlignment="1">
      <alignment vertical="center" wrapText="1"/>
    </xf>
    <xf numFmtId="0" fontId="33" fillId="0" borderId="5" xfId="0" applyFont="1" applyBorder="1" applyAlignment="1">
      <alignment vertical="center" wrapText="1"/>
    </xf>
    <xf numFmtId="0" fontId="33" fillId="0" borderId="6" xfId="0" applyFont="1" applyBorder="1" applyAlignment="1">
      <alignment vertical="center" wrapText="1"/>
    </xf>
    <xf numFmtId="0" fontId="14" fillId="0" borderId="0" xfId="0" applyFont="1" applyAlignment="1">
      <alignment horizontal="justify" vertical="center" wrapText="1"/>
    </xf>
    <xf numFmtId="0" fontId="0" fillId="0" borderId="20" xfId="0" applyBorder="1" applyAlignment="1">
      <alignment vertical="center" wrapText="1"/>
    </xf>
    <xf numFmtId="0" fontId="0" fillId="0" borderId="20" xfId="0" applyBorder="1"/>
    <xf numFmtId="0" fontId="36" fillId="0" borderId="0" xfId="0" applyFont="1" applyAlignment="1">
      <alignment horizontal="left"/>
    </xf>
    <xf numFmtId="0" fontId="36" fillId="0" borderId="21" xfId="0" applyFont="1" applyBorder="1" applyAlignment="1">
      <alignment horizontal="left"/>
    </xf>
    <xf numFmtId="165" fontId="0" fillId="0" borderId="20" xfId="47" applyFont="1" applyBorder="1" applyAlignment="1">
      <alignment vertical="center"/>
    </xf>
    <xf numFmtId="0" fontId="0" fillId="24" borderId="20" xfId="0" applyFill="1" applyBorder="1"/>
    <xf numFmtId="3" fontId="0" fillId="24" borderId="20" xfId="0" applyNumberFormat="1" applyFill="1" applyBorder="1"/>
    <xf numFmtId="0" fontId="0" fillId="25" borderId="20" xfId="0" applyFill="1" applyBorder="1"/>
    <xf numFmtId="3" fontId="0" fillId="25" borderId="20" xfId="0" applyNumberFormat="1" applyFill="1" applyBorder="1"/>
    <xf numFmtId="0" fontId="4" fillId="24" borderId="20" xfId="0" applyFont="1" applyFill="1" applyBorder="1"/>
    <xf numFmtId="170" fontId="33" fillId="0" borderId="0" xfId="47" applyNumberFormat="1" applyFont="1" applyBorder="1" applyAlignment="1">
      <alignment vertical="center" wrapText="1"/>
    </xf>
    <xf numFmtId="170" fontId="4" fillId="0" borderId="0" xfId="47" applyNumberFormat="1" applyFont="1" applyBorder="1" applyAlignment="1">
      <alignment vertical="center" wrapText="1"/>
    </xf>
    <xf numFmtId="170" fontId="0" fillId="0" borderId="0" xfId="47" applyNumberFormat="1" applyFont="1" applyAlignment="1">
      <alignment vertical="center" wrapText="1"/>
    </xf>
    <xf numFmtId="170" fontId="0" fillId="0" borderId="0" xfId="0" applyNumberFormat="1" applyAlignment="1">
      <alignment vertical="center" wrapText="1"/>
    </xf>
    <xf numFmtId="170" fontId="4" fillId="0" borderId="0" xfId="47" applyNumberFormat="1" applyFont="1" applyAlignment="1">
      <alignment vertical="center" wrapText="1"/>
    </xf>
    <xf numFmtId="170" fontId="0" fillId="26" borderId="20" xfId="47" applyNumberFormat="1" applyFont="1" applyFill="1" applyBorder="1"/>
    <xf numFmtId="165" fontId="0" fillId="27" borderId="20" xfId="47" applyFont="1" applyFill="1" applyBorder="1" applyAlignment="1">
      <alignment vertical="center"/>
    </xf>
    <xf numFmtId="0" fontId="0" fillId="27" borderId="20" xfId="0" applyFill="1" applyBorder="1" applyAlignment="1">
      <alignment vertical="center"/>
    </xf>
    <xf numFmtId="0" fontId="0" fillId="27" borderId="20" xfId="0" applyFill="1" applyBorder="1" applyAlignment="1">
      <alignment vertical="center" wrapText="1"/>
    </xf>
    <xf numFmtId="0" fontId="4" fillId="27" borderId="20" xfId="0" applyFont="1" applyFill="1" applyBorder="1" applyAlignment="1">
      <alignment vertical="center" wrapText="1"/>
    </xf>
    <xf numFmtId="168" fontId="0" fillId="27" borderId="20" xfId="0" applyNumberFormat="1" applyFill="1" applyBorder="1" applyAlignment="1">
      <alignment vertical="center" wrapText="1"/>
    </xf>
    <xf numFmtId="168" fontId="32" fillId="27" borderId="20" xfId="45" applyNumberFormat="1" applyFill="1" applyBorder="1" applyAlignment="1" applyProtection="1">
      <alignment vertical="center" wrapText="1"/>
    </xf>
    <xf numFmtId="0" fontId="0" fillId="28" borderId="20" xfId="0" applyFill="1" applyBorder="1" applyAlignment="1">
      <alignment vertical="center" wrapText="1"/>
    </xf>
    <xf numFmtId="0" fontId="0" fillId="27" borderId="20" xfId="0" applyFill="1" applyBorder="1" applyAlignment="1">
      <alignment horizontal="justify" vertical="center"/>
    </xf>
    <xf numFmtId="0" fontId="4" fillId="27" borderId="20" xfId="0" applyFont="1" applyFill="1" applyBorder="1" applyAlignment="1">
      <alignment horizontal="justify" vertical="center"/>
    </xf>
    <xf numFmtId="167" fontId="0" fillId="27" borderId="20" xfId="0" applyNumberFormat="1" applyFill="1" applyBorder="1" applyAlignment="1">
      <alignment vertical="center" wrapText="1"/>
    </xf>
    <xf numFmtId="0" fontId="41" fillId="0" borderId="20" xfId="0" applyFont="1" applyBorder="1" applyAlignment="1">
      <alignment vertical="center" wrapText="1"/>
    </xf>
    <xf numFmtId="0" fontId="0" fillId="26" borderId="5" xfId="0" applyFill="1" applyBorder="1" applyAlignment="1">
      <alignment vertical="center" wrapText="1"/>
    </xf>
    <xf numFmtId="0" fontId="0" fillId="26" borderId="6" xfId="0" applyFill="1" applyBorder="1" applyAlignment="1">
      <alignment vertical="center" wrapText="1"/>
    </xf>
    <xf numFmtId="0" fontId="0" fillId="26" borderId="7" xfId="0" applyFill="1" applyBorder="1" applyAlignment="1">
      <alignment vertical="center" wrapText="1"/>
    </xf>
    <xf numFmtId="0" fontId="0" fillId="26" borderId="0" xfId="0" applyFill="1" applyAlignment="1">
      <alignment vertical="center" wrapText="1"/>
    </xf>
    <xf numFmtId="0" fontId="0" fillId="26" borderId="8" xfId="0" applyFill="1" applyBorder="1" applyAlignment="1">
      <alignment vertical="center" wrapText="1"/>
    </xf>
    <xf numFmtId="171" fontId="0" fillId="26" borderId="0" xfId="47" applyNumberFormat="1" applyFont="1" applyFill="1" applyBorder="1" applyAlignment="1">
      <alignment vertical="center" wrapText="1"/>
    </xf>
    <xf numFmtId="0" fontId="0" fillId="26" borderId="9" xfId="0" applyFill="1" applyBorder="1" applyAlignment="1">
      <alignment vertical="center" wrapText="1"/>
    </xf>
    <xf numFmtId="0" fontId="0" fillId="26" borderId="10" xfId="0" applyFill="1" applyBorder="1" applyAlignment="1">
      <alignment vertical="center" wrapText="1"/>
    </xf>
    <xf numFmtId="0" fontId="0" fillId="26" borderId="10" xfId="0" applyFill="1" applyBorder="1" applyAlignment="1">
      <alignment horizontal="justify" vertical="center"/>
    </xf>
    <xf numFmtId="0" fontId="0" fillId="26" borderId="10" xfId="0" applyFill="1" applyBorder="1" applyAlignment="1">
      <alignment horizontal="center" vertical="center"/>
    </xf>
    <xf numFmtId="0" fontId="0" fillId="26" borderId="11" xfId="0" applyFill="1" applyBorder="1" applyAlignment="1">
      <alignment vertical="center" wrapText="1"/>
    </xf>
    <xf numFmtId="0" fontId="0" fillId="29" borderId="5" xfId="0" applyFill="1" applyBorder="1" applyAlignment="1">
      <alignment horizontal="justify" vertical="center"/>
    </xf>
    <xf numFmtId="0" fontId="38" fillId="29" borderId="5" xfId="0" applyFont="1" applyFill="1" applyBorder="1" applyAlignment="1">
      <alignment horizontal="left" vertical="center" wrapText="1"/>
    </xf>
    <xf numFmtId="0" fontId="0" fillId="29" borderId="5" xfId="0" applyFill="1" applyBorder="1" applyAlignment="1">
      <alignment vertical="center" wrapText="1"/>
    </xf>
    <xf numFmtId="0" fontId="0" fillId="29" borderId="6" xfId="0" applyFill="1" applyBorder="1" applyAlignment="1">
      <alignment vertical="center" wrapText="1"/>
    </xf>
    <xf numFmtId="0" fontId="0" fillId="29" borderId="7" xfId="0" applyFill="1" applyBorder="1" applyAlignment="1">
      <alignment vertical="center" wrapText="1"/>
    </xf>
    <xf numFmtId="0" fontId="0" fillId="29" borderId="0" xfId="0" applyFill="1" applyAlignment="1">
      <alignment vertical="center" wrapText="1"/>
    </xf>
    <xf numFmtId="3" fontId="0" fillId="29" borderId="0" xfId="0" applyNumberFormat="1" applyFill="1" applyAlignment="1">
      <alignment vertical="center" wrapText="1"/>
    </xf>
    <xf numFmtId="0" fontId="0" fillId="29" borderId="0" xfId="0" applyFill="1" applyAlignment="1">
      <alignment horizontal="justify" vertical="center"/>
    </xf>
    <xf numFmtId="0" fontId="0" fillId="29" borderId="8" xfId="0" applyFill="1" applyBorder="1" applyAlignment="1">
      <alignment vertical="center" wrapText="1"/>
    </xf>
    <xf numFmtId="0" fontId="0" fillId="29" borderId="9" xfId="0" applyFill="1" applyBorder="1" applyAlignment="1">
      <alignment vertical="center" wrapText="1"/>
    </xf>
    <xf numFmtId="0" fontId="0" fillId="29" borderId="10" xfId="0" applyFill="1" applyBorder="1" applyAlignment="1">
      <alignment vertical="center" wrapText="1"/>
    </xf>
    <xf numFmtId="3" fontId="0" fillId="29" borderId="10" xfId="0" applyNumberFormat="1" applyFill="1" applyBorder="1" applyAlignment="1">
      <alignment vertical="center" wrapText="1"/>
    </xf>
    <xf numFmtId="0" fontId="0" fillId="29" borderId="10" xfId="0" applyFill="1" applyBorder="1" applyAlignment="1">
      <alignment horizontal="justify" vertical="center"/>
    </xf>
    <xf numFmtId="0" fontId="0" fillId="29" borderId="11" xfId="0" applyFill="1" applyBorder="1" applyAlignment="1">
      <alignment vertical="center" wrapText="1"/>
    </xf>
    <xf numFmtId="0" fontId="37" fillId="26" borderId="4" xfId="0" applyFont="1" applyFill="1" applyBorder="1" applyAlignment="1">
      <alignment vertical="center" wrapText="1"/>
    </xf>
    <xf numFmtId="0" fontId="45" fillId="29" borderId="4" xfId="0" applyFont="1" applyFill="1" applyBorder="1" applyAlignment="1">
      <alignment horizontal="justify" vertical="center"/>
    </xf>
    <xf numFmtId="0" fontId="4" fillId="30" borderId="5" xfId="0" applyFont="1" applyFill="1" applyBorder="1" applyAlignment="1">
      <alignment vertical="center" wrapText="1"/>
    </xf>
    <xf numFmtId="0" fontId="0" fillId="30" borderId="5" xfId="0" applyFill="1" applyBorder="1" applyAlignment="1">
      <alignment vertical="center" wrapText="1"/>
    </xf>
    <xf numFmtId="0" fontId="4" fillId="30" borderId="6" xfId="0" applyFont="1" applyFill="1" applyBorder="1" applyAlignment="1">
      <alignment vertical="center" wrapText="1"/>
    </xf>
    <xf numFmtId="0" fontId="4" fillId="30" borderId="7" xfId="0" applyFont="1" applyFill="1" applyBorder="1" applyAlignment="1">
      <alignment vertical="center" wrapText="1"/>
    </xf>
    <xf numFmtId="0" fontId="0" fillId="30" borderId="0" xfId="0" applyFill="1" applyAlignment="1">
      <alignment vertical="center" wrapText="1"/>
    </xf>
    <xf numFmtId="0" fontId="4" fillId="30" borderId="0" xfId="0" applyFont="1" applyFill="1" applyAlignment="1">
      <alignment horizontal="justify" vertical="center"/>
    </xf>
    <xf numFmtId="0" fontId="0" fillId="30" borderId="0" xfId="0" applyFill="1" applyAlignment="1">
      <alignment vertical="center"/>
    </xf>
    <xf numFmtId="0" fontId="4" fillId="30" borderId="0" xfId="0" applyFont="1" applyFill="1" applyAlignment="1">
      <alignment vertical="center" wrapText="1"/>
    </xf>
    <xf numFmtId="0" fontId="4" fillId="30" borderId="8" xfId="0" applyFont="1" applyFill="1" applyBorder="1" applyAlignment="1">
      <alignment vertical="center" wrapText="1"/>
    </xf>
    <xf numFmtId="9" fontId="4" fillId="30" borderId="0" xfId="0" applyNumberFormat="1" applyFont="1" applyFill="1" applyAlignment="1">
      <alignment vertical="center" wrapText="1"/>
    </xf>
    <xf numFmtId="0" fontId="0" fillId="30" borderId="8" xfId="0" applyFill="1" applyBorder="1" applyAlignment="1">
      <alignment vertical="center" wrapText="1"/>
    </xf>
    <xf numFmtId="0" fontId="0" fillId="30" borderId="7" xfId="0" applyFill="1" applyBorder="1" applyAlignment="1">
      <alignment vertical="center" wrapText="1"/>
    </xf>
    <xf numFmtId="0" fontId="0" fillId="30" borderId="9" xfId="0" applyFill="1" applyBorder="1" applyAlignment="1">
      <alignment vertical="center" wrapText="1"/>
    </xf>
    <xf numFmtId="0" fontId="0" fillId="30" borderId="10" xfId="0" applyFill="1" applyBorder="1" applyAlignment="1">
      <alignment vertical="center" wrapText="1"/>
    </xf>
    <xf numFmtId="0" fontId="4" fillId="30" borderId="10" xfId="0" applyFont="1" applyFill="1" applyBorder="1" applyAlignment="1">
      <alignment vertical="center" wrapText="1"/>
    </xf>
    <xf numFmtId="0" fontId="4" fillId="30" borderId="11" xfId="0" applyFont="1" applyFill="1" applyBorder="1" applyAlignment="1">
      <alignment vertical="center" wrapText="1"/>
    </xf>
    <xf numFmtId="0" fontId="43" fillId="30" borderId="4" xfId="0" applyFont="1" applyFill="1" applyBorder="1" applyAlignment="1">
      <alignment vertical="center" wrapText="1"/>
    </xf>
    <xf numFmtId="0" fontId="43" fillId="27" borderId="4" xfId="0" applyFont="1" applyFill="1" applyBorder="1" applyAlignment="1">
      <alignment horizontal="justify" vertical="center"/>
    </xf>
    <xf numFmtId="0" fontId="0" fillId="27" borderId="5" xfId="0" applyFill="1" applyBorder="1" applyAlignment="1">
      <alignment horizontal="justify" vertical="center"/>
    </xf>
    <xf numFmtId="0" fontId="4" fillId="27" borderId="5" xfId="0" applyFont="1" applyFill="1" applyBorder="1" applyAlignment="1">
      <alignment vertical="center" wrapText="1"/>
    </xf>
    <xf numFmtId="0" fontId="4" fillId="27" borderId="6" xfId="0" applyFont="1" applyFill="1" applyBorder="1" applyAlignment="1">
      <alignment vertical="center" wrapText="1"/>
    </xf>
    <xf numFmtId="0" fontId="0" fillId="27" borderId="7" xfId="0" applyFill="1" applyBorder="1" applyAlignment="1">
      <alignment horizontal="justify" vertical="center"/>
    </xf>
    <xf numFmtId="0" fontId="0" fillId="27" borderId="0" xfId="0" applyFill="1" applyAlignment="1">
      <alignment horizontal="justify" vertical="center"/>
    </xf>
    <xf numFmtId="0" fontId="0" fillId="27" borderId="0" xfId="0" applyFill="1" applyAlignment="1">
      <alignment vertical="center" wrapText="1"/>
    </xf>
    <xf numFmtId="0" fontId="4" fillId="27" borderId="8" xfId="0" applyFont="1" applyFill="1" applyBorder="1" applyAlignment="1">
      <alignment vertical="center" wrapText="1"/>
    </xf>
    <xf numFmtId="167" fontId="0" fillId="27" borderId="0" xfId="48" applyNumberFormat="1" applyFont="1" applyFill="1" applyBorder="1" applyAlignment="1">
      <alignment vertical="center"/>
    </xf>
    <xf numFmtId="0" fontId="0" fillId="27" borderId="8" xfId="0" applyFill="1" applyBorder="1" applyAlignment="1">
      <alignment vertical="center" wrapText="1"/>
    </xf>
    <xf numFmtId="0" fontId="0" fillId="27" borderId="0" xfId="0" applyFill="1" applyAlignment="1">
      <alignment vertical="center"/>
    </xf>
    <xf numFmtId="0" fontId="4" fillId="27" borderId="0" xfId="0" applyFont="1" applyFill="1" applyAlignment="1">
      <alignment vertical="center" wrapText="1"/>
    </xf>
    <xf numFmtId="0" fontId="0" fillId="27" borderId="9" xfId="0" applyFill="1" applyBorder="1" applyAlignment="1">
      <alignment horizontal="justify" vertical="center"/>
    </xf>
    <xf numFmtId="0" fontId="0" fillId="27" borderId="10" xfId="0" applyFill="1" applyBorder="1" applyAlignment="1">
      <alignment horizontal="justify" vertical="center"/>
    </xf>
    <xf numFmtId="0" fontId="4" fillId="27" borderId="11" xfId="0" applyFont="1" applyFill="1" applyBorder="1" applyAlignment="1">
      <alignment vertical="center" wrapText="1"/>
    </xf>
    <xf numFmtId="1" fontId="37" fillId="29" borderId="5" xfId="0" applyNumberFormat="1" applyFont="1" applyFill="1" applyBorder="1" applyAlignment="1">
      <alignment vertical="center"/>
    </xf>
    <xf numFmtId="170" fontId="37" fillId="26" borderId="5" xfId="47" applyNumberFormat="1" applyFont="1" applyFill="1" applyBorder="1" applyAlignment="1">
      <alignment vertical="center" wrapText="1"/>
    </xf>
    <xf numFmtId="1" fontId="43" fillId="26" borderId="2" xfId="0" applyNumberFormat="1" applyFont="1" applyFill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1" fillId="0" borderId="2" xfId="0" applyFont="1" applyBorder="1" applyAlignment="1">
      <alignment vertical="center" wrapText="1"/>
    </xf>
    <xf numFmtId="0" fontId="41" fillId="0" borderId="3" xfId="0" applyFont="1" applyBorder="1" applyAlignment="1">
      <alignment vertical="center" wrapText="1"/>
    </xf>
    <xf numFmtId="1" fontId="0" fillId="0" borderId="0" xfId="0" applyNumberFormat="1"/>
    <xf numFmtId="14" fontId="0" fillId="0" borderId="0" xfId="0" applyNumberFormat="1"/>
    <xf numFmtId="1" fontId="0" fillId="0" borderId="20" xfId="0" applyNumberFormat="1" applyBorder="1"/>
    <xf numFmtId="0" fontId="0" fillId="0" borderId="20" xfId="0" applyBorder="1" applyAlignment="1">
      <alignment vertical="center"/>
    </xf>
    <xf numFmtId="4" fontId="0" fillId="0" borderId="0" xfId="0" applyNumberFormat="1" applyAlignment="1">
      <alignment vertical="center" wrapText="1"/>
    </xf>
    <xf numFmtId="3" fontId="0" fillId="0" borderId="0" xfId="0" applyNumberFormat="1" applyAlignment="1">
      <alignment vertical="center" wrapText="1"/>
    </xf>
    <xf numFmtId="0" fontId="0" fillId="31" borderId="20" xfId="0" applyFill="1" applyBorder="1" applyAlignment="1">
      <alignment vertical="center" wrapText="1"/>
    </xf>
    <xf numFmtId="0" fontId="0" fillId="31" borderId="29" xfId="0" applyFill="1" applyBorder="1" applyAlignment="1">
      <alignment vertical="center" wrapText="1"/>
    </xf>
    <xf numFmtId="3" fontId="41" fillId="31" borderId="20" xfId="0" applyNumberFormat="1" applyFont="1" applyFill="1" applyBorder="1" applyAlignment="1">
      <alignment vertical="center" wrapText="1"/>
    </xf>
    <xf numFmtId="172" fontId="0" fillId="31" borderId="20" xfId="0" applyNumberFormat="1" applyFill="1" applyBorder="1" applyAlignment="1">
      <alignment vertical="center" wrapText="1"/>
    </xf>
    <xf numFmtId="9" fontId="0" fillId="31" borderId="20" xfId="0" applyNumberFormat="1" applyFill="1" applyBorder="1" applyAlignment="1">
      <alignment vertical="center" wrapText="1"/>
    </xf>
    <xf numFmtId="2" fontId="0" fillId="31" borderId="20" xfId="0" applyNumberFormat="1" applyFill="1" applyBorder="1" applyAlignment="1">
      <alignment vertical="center" wrapText="1"/>
    </xf>
    <xf numFmtId="0" fontId="41" fillId="31" borderId="20" xfId="0" applyFont="1" applyFill="1" applyBorder="1" applyAlignment="1">
      <alignment vertical="center" wrapText="1"/>
    </xf>
    <xf numFmtId="0" fontId="41" fillId="31" borderId="29" xfId="0" applyFont="1" applyFill="1" applyBorder="1" applyAlignment="1">
      <alignment vertical="center" wrapText="1"/>
    </xf>
    <xf numFmtId="0" fontId="41" fillId="31" borderId="28" xfId="0" applyFont="1" applyFill="1" applyBorder="1" applyAlignment="1">
      <alignment vertical="center" wrapText="1"/>
    </xf>
    <xf numFmtId="0" fontId="0" fillId="31" borderId="20" xfId="0" applyFill="1" applyBorder="1" applyAlignment="1">
      <alignment horizontal="center" vertical="center" wrapText="1"/>
    </xf>
    <xf numFmtId="0" fontId="0" fillId="31" borderId="0" xfId="0" applyFill="1" applyAlignment="1">
      <alignment horizontal="center" vertical="center" wrapText="1"/>
    </xf>
    <xf numFmtId="0" fontId="41" fillId="31" borderId="30" xfId="0" applyFont="1" applyFill="1" applyBorder="1" applyAlignment="1">
      <alignment vertical="center" wrapText="1"/>
    </xf>
    <xf numFmtId="0" fontId="0" fillId="31" borderId="31" xfId="0" applyFill="1" applyBorder="1" applyAlignment="1">
      <alignment vertical="center" wrapText="1"/>
    </xf>
    <xf numFmtId="0" fontId="0" fillId="31" borderId="31" xfId="0" applyFill="1" applyBorder="1" applyAlignment="1">
      <alignment horizontal="center" vertical="center" wrapText="1"/>
    </xf>
    <xf numFmtId="0" fontId="0" fillId="31" borderId="32" xfId="0" applyFill="1" applyBorder="1" applyAlignment="1">
      <alignment vertical="center" wrapText="1"/>
    </xf>
    <xf numFmtId="0" fontId="0" fillId="27" borderId="20" xfId="0" applyFill="1" applyBorder="1" applyAlignment="1">
      <alignment horizontal="center" vertical="center" wrapText="1"/>
    </xf>
    <xf numFmtId="169" fontId="0" fillId="27" borderId="20" xfId="0" applyNumberFormat="1" applyFill="1" applyBorder="1" applyAlignment="1">
      <alignment vertical="center" wrapText="1"/>
    </xf>
    <xf numFmtId="0" fontId="4" fillId="28" borderId="20" xfId="0" applyFont="1" applyFill="1" applyBorder="1" applyAlignment="1">
      <alignment vertical="center" wrapText="1"/>
    </xf>
    <xf numFmtId="170" fontId="41" fillId="28" borderId="20" xfId="47" applyNumberFormat="1" applyFont="1" applyFill="1" applyBorder="1" applyAlignment="1">
      <alignment vertical="center" wrapText="1"/>
    </xf>
    <xf numFmtId="166" fontId="4" fillId="27" borderId="20" xfId="0" applyNumberFormat="1" applyFont="1" applyFill="1" applyBorder="1"/>
    <xf numFmtId="0" fontId="4" fillId="27" borderId="20" xfId="0" applyFont="1" applyFill="1" applyBorder="1" applyAlignment="1">
      <alignment horizontal="right" vertical="center"/>
    </xf>
    <xf numFmtId="0" fontId="0" fillId="28" borderId="2" xfId="0" applyFill="1" applyBorder="1" applyAlignment="1">
      <alignment vertical="center" wrapText="1"/>
    </xf>
    <xf numFmtId="0" fontId="0" fillId="28" borderId="3" xfId="0" applyFill="1" applyBorder="1" applyAlignment="1">
      <alignment vertical="center" wrapText="1"/>
    </xf>
    <xf numFmtId="168" fontId="0" fillId="28" borderId="20" xfId="0" applyNumberFormat="1" applyFill="1" applyBorder="1" applyAlignment="1">
      <alignment vertical="center" wrapText="1"/>
    </xf>
    <xf numFmtId="170" fontId="41" fillId="28" borderId="20" xfId="47" applyNumberFormat="1" applyFont="1" applyFill="1" applyBorder="1" applyAlignment="1">
      <alignment horizontal="right" vertical="center" wrapText="1"/>
    </xf>
    <xf numFmtId="3" fontId="41" fillId="28" borderId="20" xfId="0" applyNumberFormat="1" applyFont="1" applyFill="1" applyBorder="1" applyAlignment="1">
      <alignment horizontal="right" vertical="center" wrapText="1"/>
    </xf>
    <xf numFmtId="170" fontId="41" fillId="26" borderId="0" xfId="47" applyNumberFormat="1" applyFont="1" applyFill="1" applyBorder="1" applyAlignment="1">
      <alignment vertical="center" wrapText="1"/>
    </xf>
    <xf numFmtId="0" fontId="37" fillId="28" borderId="1" xfId="0" applyFont="1" applyFill="1" applyBorder="1" applyAlignment="1">
      <alignment vertical="center" wrapText="1"/>
    </xf>
    <xf numFmtId="0" fontId="37" fillId="28" borderId="2" xfId="0" applyFont="1" applyFill="1" applyBorder="1" applyAlignment="1">
      <alignment vertical="center" wrapText="1"/>
    </xf>
    <xf numFmtId="170" fontId="37" fillId="28" borderId="23" xfId="47" applyNumberFormat="1" applyFont="1" applyFill="1" applyBorder="1" applyAlignment="1">
      <alignment vertical="center" wrapText="1"/>
    </xf>
    <xf numFmtId="0" fontId="0" fillId="28" borderId="29" xfId="0" applyFill="1" applyBorder="1" applyAlignment="1">
      <alignment vertical="center" wrapText="1"/>
    </xf>
    <xf numFmtId="0" fontId="4" fillId="27" borderId="28" xfId="0" applyFont="1" applyFill="1" applyBorder="1" applyAlignment="1">
      <alignment vertical="center" wrapText="1"/>
    </xf>
    <xf numFmtId="0" fontId="0" fillId="27" borderId="29" xfId="0" applyFill="1" applyBorder="1" applyAlignment="1">
      <alignment vertical="center" wrapText="1"/>
    </xf>
    <xf numFmtId="0" fontId="0" fillId="27" borderId="28" xfId="0" applyFill="1" applyBorder="1" applyAlignment="1">
      <alignment vertical="center" wrapText="1"/>
    </xf>
    <xf numFmtId="168" fontId="0" fillId="27" borderId="29" xfId="0" applyNumberFormat="1" applyFill="1" applyBorder="1" applyAlignment="1">
      <alignment vertical="center" wrapText="1"/>
    </xf>
    <xf numFmtId="0" fontId="0" fillId="28" borderId="28" xfId="0" applyFill="1" applyBorder="1" applyAlignment="1">
      <alignment vertical="center" wrapText="1"/>
    </xf>
    <xf numFmtId="168" fontId="0" fillId="28" borderId="29" xfId="0" applyNumberFormat="1" applyFill="1" applyBorder="1" applyAlignment="1">
      <alignment vertical="center" wrapText="1"/>
    </xf>
    <xf numFmtId="0" fontId="4" fillId="28" borderId="28" xfId="0" applyFont="1" applyFill="1" applyBorder="1" applyAlignment="1">
      <alignment vertical="center" wrapText="1"/>
    </xf>
    <xf numFmtId="0" fontId="4" fillId="27" borderId="28" xfId="0" applyFont="1" applyFill="1" applyBorder="1" applyAlignment="1">
      <alignment horizontal="justify" vertical="center"/>
    </xf>
    <xf numFmtId="0" fontId="4" fillId="27" borderId="29" xfId="0" applyFont="1" applyFill="1" applyBorder="1" applyAlignment="1">
      <alignment horizontal="justify" vertical="center"/>
    </xf>
    <xf numFmtId="166" fontId="4" fillId="27" borderId="28" xfId="0" applyNumberFormat="1" applyFont="1" applyFill="1" applyBorder="1"/>
    <xf numFmtId="0" fontId="0" fillId="27" borderId="29" xfId="0" applyFill="1" applyBorder="1" applyAlignment="1">
      <alignment horizontal="justify" vertical="center"/>
    </xf>
    <xf numFmtId="0" fontId="0" fillId="27" borderId="28" xfId="0" applyFill="1" applyBorder="1" applyAlignment="1">
      <alignment horizontal="justify" vertical="center"/>
    </xf>
    <xf numFmtId="0" fontId="4" fillId="27" borderId="29" xfId="0" applyFont="1" applyFill="1" applyBorder="1" applyAlignment="1">
      <alignment vertical="center" wrapText="1"/>
    </xf>
    <xf numFmtId="0" fontId="41" fillId="0" borderId="20" xfId="0" applyFont="1" applyBorder="1" applyAlignment="1">
      <alignment vertical="center"/>
    </xf>
    <xf numFmtId="14" fontId="0" fillId="24" borderId="20" xfId="0" applyNumberFormat="1" applyFill="1" applyBorder="1"/>
    <xf numFmtId="14" fontId="0" fillId="0" borderId="20" xfId="0" applyNumberFormat="1" applyBorder="1"/>
    <xf numFmtId="0" fontId="3" fillId="0" borderId="0" xfId="49"/>
    <xf numFmtId="0" fontId="50" fillId="0" borderId="33" xfId="49" applyFont="1" applyBorder="1" applyAlignment="1">
      <alignment horizontal="center"/>
    </xf>
    <xf numFmtId="0" fontId="50" fillId="0" borderId="33" xfId="49" applyFont="1" applyBorder="1"/>
    <xf numFmtId="0" fontId="50" fillId="0" borderId="33" xfId="49" applyFont="1" applyBorder="1" applyAlignment="1">
      <alignment wrapText="1"/>
    </xf>
    <xf numFmtId="0" fontId="53" fillId="33" borderId="33" xfId="49" applyFont="1" applyFill="1" applyBorder="1" applyAlignment="1">
      <alignment horizontal="center"/>
    </xf>
    <xf numFmtId="2" fontId="53" fillId="33" borderId="33" xfId="49" applyNumberFormat="1" applyFont="1" applyFill="1" applyBorder="1" applyAlignment="1">
      <alignment horizontal="center" vertical="center"/>
    </xf>
    <xf numFmtId="0" fontId="55" fillId="33" borderId="33" xfId="49" applyFont="1" applyFill="1" applyBorder="1"/>
    <xf numFmtId="170" fontId="0" fillId="0" borderId="0" xfId="50" applyNumberFormat="1" applyFont="1"/>
    <xf numFmtId="2" fontId="53" fillId="33" borderId="34" xfId="49" applyNumberFormat="1" applyFont="1" applyFill="1" applyBorder="1" applyAlignment="1">
      <alignment vertical="center"/>
    </xf>
    <xf numFmtId="2" fontId="53" fillId="33" borderId="35" xfId="49" applyNumberFormat="1" applyFont="1" applyFill="1" applyBorder="1" applyAlignment="1">
      <alignment vertical="center"/>
    </xf>
    <xf numFmtId="2" fontId="53" fillId="33" borderId="36" xfId="49" applyNumberFormat="1" applyFont="1" applyFill="1" applyBorder="1" applyAlignment="1">
      <alignment vertical="center"/>
    </xf>
    <xf numFmtId="174" fontId="50" fillId="0" borderId="34" xfId="49" applyNumberFormat="1" applyFont="1" applyBorder="1" applyAlignment="1">
      <alignment wrapText="1"/>
    </xf>
    <xf numFmtId="174" fontId="50" fillId="0" borderId="38" xfId="49" applyNumberFormat="1" applyFont="1" applyBorder="1" applyAlignment="1">
      <alignment wrapText="1"/>
    </xf>
    <xf numFmtId="174" fontId="50" fillId="0" borderId="40" xfId="49" applyNumberFormat="1" applyFont="1" applyBorder="1" applyAlignment="1">
      <alignment wrapText="1"/>
    </xf>
    <xf numFmtId="174" fontId="50" fillId="0" borderId="41" xfId="49" applyNumberFormat="1" applyFont="1" applyBorder="1" applyAlignment="1">
      <alignment wrapText="1"/>
    </xf>
    <xf numFmtId="0" fontId="56" fillId="0" borderId="0" xfId="49" applyFont="1"/>
    <xf numFmtId="180" fontId="50" fillId="27" borderId="42" xfId="49" applyNumberFormat="1" applyFont="1" applyFill="1" applyBorder="1" applyAlignment="1">
      <alignment wrapText="1"/>
    </xf>
    <xf numFmtId="180" fontId="50" fillId="27" borderId="39" xfId="49" applyNumberFormat="1" applyFont="1" applyFill="1" applyBorder="1" applyAlignment="1">
      <alignment wrapText="1"/>
    </xf>
    <xf numFmtId="0" fontId="66" fillId="28" borderId="28" xfId="0" applyFont="1" applyFill="1" applyBorder="1" applyAlignment="1">
      <alignment vertical="center" wrapText="1"/>
    </xf>
    <xf numFmtId="0" fontId="68" fillId="0" borderId="20" xfId="49" applyFont="1" applyBorder="1"/>
    <xf numFmtId="180" fontId="68" fillId="0" borderId="20" xfId="49" applyNumberFormat="1" applyFont="1" applyBorder="1"/>
    <xf numFmtId="180" fontId="0" fillId="27" borderId="20" xfId="0" applyNumberFormat="1" applyFill="1" applyBorder="1" applyAlignment="1">
      <alignment horizontal="right" vertical="center"/>
    </xf>
    <xf numFmtId="180" fontId="0" fillId="27" borderId="10" xfId="0" applyNumberFormat="1" applyFill="1" applyBorder="1" applyAlignment="1">
      <alignment vertical="center"/>
    </xf>
    <xf numFmtId="170" fontId="0" fillId="27" borderId="20" xfId="47" applyNumberFormat="1" applyFont="1" applyFill="1" applyBorder="1" applyAlignment="1">
      <alignment horizontal="right" vertical="center" wrapText="1"/>
    </xf>
    <xf numFmtId="0" fontId="68" fillId="0" borderId="20" xfId="116" applyFont="1" applyBorder="1"/>
    <xf numFmtId="0" fontId="1" fillId="0" borderId="20" xfId="116" applyFont="1" applyBorder="1" applyAlignment="1">
      <alignment horizontal="left"/>
    </xf>
    <xf numFmtId="172" fontId="2" fillId="0" borderId="20" xfId="116" applyNumberFormat="1" applyBorder="1"/>
    <xf numFmtId="0" fontId="68" fillId="0" borderId="20" xfId="116" applyFont="1" applyBorder="1" applyAlignment="1">
      <alignment horizontal="left"/>
    </xf>
    <xf numFmtId="3" fontId="68" fillId="0" borderId="20" xfId="116" applyNumberFormat="1" applyFont="1" applyBorder="1"/>
    <xf numFmtId="0" fontId="70" fillId="0" borderId="3" xfId="0" applyFont="1" applyBorder="1" applyAlignment="1">
      <alignment vertical="center"/>
    </xf>
    <xf numFmtId="0" fontId="70" fillId="0" borderId="3" xfId="0" applyFont="1" applyBorder="1" applyAlignment="1">
      <alignment vertical="center" wrapText="1"/>
    </xf>
    <xf numFmtId="0" fontId="70" fillId="0" borderId="23" xfId="0" applyFont="1" applyBorder="1" applyAlignment="1">
      <alignment vertical="center" wrapText="1"/>
    </xf>
    <xf numFmtId="0" fontId="41" fillId="0" borderId="0" xfId="0" applyFont="1" applyAlignment="1">
      <alignment vertical="center" wrapText="1"/>
    </xf>
    <xf numFmtId="9" fontId="41" fillId="0" borderId="0" xfId="0" applyNumberFormat="1" applyFont="1" applyAlignment="1">
      <alignment vertical="center"/>
    </xf>
    <xf numFmtId="167" fontId="41" fillId="0" borderId="0" xfId="48" applyNumberFormat="1" applyFont="1" applyAlignment="1">
      <alignment vertical="center"/>
    </xf>
    <xf numFmtId="0" fontId="0" fillId="34" borderId="20" xfId="0" applyFill="1" applyBorder="1" applyAlignment="1">
      <alignment vertical="center" wrapText="1"/>
    </xf>
    <xf numFmtId="0" fontId="47" fillId="0" borderId="28" xfId="0" applyFont="1" applyBorder="1" applyAlignment="1">
      <alignment vertical="center" wrapText="1"/>
    </xf>
    <xf numFmtId="172" fontId="0" fillId="0" borderId="20" xfId="0" applyNumberFormat="1" applyBorder="1" applyAlignment="1">
      <alignment vertical="center" wrapText="1"/>
    </xf>
    <xf numFmtId="174" fontId="0" fillId="0" borderId="20" xfId="0" applyNumberFormat="1" applyBorder="1" applyAlignment="1">
      <alignment horizontal="center" vertical="center" wrapText="1"/>
    </xf>
    <xf numFmtId="173" fontId="0" fillId="0" borderId="20" xfId="0" applyNumberFormat="1" applyBorder="1" applyAlignment="1">
      <alignment vertical="center" wrapText="1"/>
    </xf>
    <xf numFmtId="0" fontId="74" fillId="0" borderId="0" xfId="117" applyFont="1"/>
    <xf numFmtId="0" fontId="73" fillId="0" borderId="0" xfId="117"/>
    <xf numFmtId="0" fontId="75" fillId="35" borderId="45" xfId="117" applyFont="1" applyFill="1" applyBorder="1"/>
    <xf numFmtId="0" fontId="75" fillId="35" borderId="6" xfId="117" applyFont="1" applyFill="1" applyBorder="1"/>
    <xf numFmtId="0" fontId="75" fillId="36" borderId="45" xfId="117" applyFont="1" applyFill="1" applyBorder="1"/>
    <xf numFmtId="0" fontId="75" fillId="36" borderId="4" xfId="117" applyFont="1" applyFill="1" applyBorder="1"/>
    <xf numFmtId="0" fontId="75" fillId="37" borderId="6" xfId="117" applyFont="1" applyFill="1" applyBorder="1"/>
    <xf numFmtId="0" fontId="75" fillId="37" borderId="45" xfId="117" applyFont="1" applyFill="1" applyBorder="1"/>
    <xf numFmtId="0" fontId="75" fillId="38" borderId="46" xfId="117" applyFont="1" applyFill="1" applyBorder="1"/>
    <xf numFmtId="0" fontId="74" fillId="36" borderId="48" xfId="117" applyFont="1" applyFill="1" applyBorder="1"/>
    <xf numFmtId="0" fontId="74" fillId="36" borderId="49" xfId="117" applyFont="1" applyFill="1" applyBorder="1"/>
    <xf numFmtId="0" fontId="74" fillId="37" borderId="49" xfId="117" applyFont="1" applyFill="1" applyBorder="1"/>
    <xf numFmtId="0" fontId="75" fillId="38" borderId="48" xfId="117" applyFont="1" applyFill="1" applyBorder="1"/>
    <xf numFmtId="0" fontId="74" fillId="36" borderId="47" xfId="117" applyFont="1" applyFill="1" applyBorder="1"/>
    <xf numFmtId="0" fontId="74" fillId="36" borderId="50" xfId="117" applyFont="1" applyFill="1" applyBorder="1"/>
    <xf numFmtId="0" fontId="74" fillId="37" borderId="50" xfId="117" applyFont="1" applyFill="1" applyBorder="1"/>
    <xf numFmtId="0" fontId="74" fillId="35" borderId="48" xfId="117" applyFont="1" applyFill="1" applyBorder="1"/>
    <xf numFmtId="0" fontId="75" fillId="38" borderId="51" xfId="117" applyFont="1" applyFill="1" applyBorder="1"/>
    <xf numFmtId="0" fontId="74" fillId="35" borderId="51" xfId="117" applyFont="1" applyFill="1" applyBorder="1"/>
    <xf numFmtId="0" fontId="74" fillId="36" borderId="51" xfId="117" applyFont="1" applyFill="1" applyBorder="1"/>
    <xf numFmtId="0" fontId="74" fillId="36" borderId="52" xfId="117" applyFont="1" applyFill="1" applyBorder="1"/>
    <xf numFmtId="0" fontId="75" fillId="38" borderId="23" xfId="117" applyFont="1" applyFill="1" applyBorder="1"/>
    <xf numFmtId="0" fontId="75" fillId="38" borderId="2" xfId="117" applyFont="1" applyFill="1" applyBorder="1"/>
    <xf numFmtId="180" fontId="75" fillId="38" borderId="23" xfId="117" applyNumberFormat="1" applyFont="1" applyFill="1" applyBorder="1"/>
    <xf numFmtId="0" fontId="74" fillId="0" borderId="0" xfId="117" applyFont="1" applyAlignment="1">
      <alignment vertical="top" wrapText="1"/>
    </xf>
    <xf numFmtId="0" fontId="74" fillId="0" borderId="53" xfId="117" applyFont="1" applyBorder="1"/>
    <xf numFmtId="0" fontId="74" fillId="0" borderId="23" xfId="117" applyFont="1" applyBorder="1"/>
    <xf numFmtId="0" fontId="74" fillId="0" borderId="1" xfId="117" applyFont="1" applyBorder="1" applyAlignment="1">
      <alignment horizontal="center" vertical="center"/>
    </xf>
    <xf numFmtId="0" fontId="74" fillId="0" borderId="23" xfId="117" applyFont="1" applyBorder="1" applyAlignment="1">
      <alignment horizontal="center" vertical="center" wrapText="1"/>
    </xf>
    <xf numFmtId="0" fontId="74" fillId="0" borderId="46" xfId="117" applyFont="1" applyBorder="1"/>
    <xf numFmtId="14" fontId="74" fillId="0" borderId="0" xfId="117" applyNumberFormat="1" applyFont="1"/>
    <xf numFmtId="0" fontId="74" fillId="0" borderId="48" xfId="117" applyFont="1" applyBorder="1"/>
    <xf numFmtId="0" fontId="76" fillId="39" borderId="46" xfId="117" applyFont="1" applyFill="1" applyBorder="1"/>
    <xf numFmtId="0" fontId="74" fillId="39" borderId="47" xfId="117" applyFont="1" applyFill="1" applyBorder="1"/>
    <xf numFmtId="0" fontId="74" fillId="39" borderId="48" xfId="117" applyFont="1" applyFill="1" applyBorder="1"/>
    <xf numFmtId="0" fontId="74" fillId="39" borderId="49" xfId="117" applyFont="1" applyFill="1" applyBorder="1"/>
    <xf numFmtId="2" fontId="74" fillId="0" borderId="46" xfId="117" applyNumberFormat="1" applyFont="1" applyBorder="1"/>
    <xf numFmtId="2" fontId="74" fillId="0" borderId="48" xfId="117" applyNumberFormat="1" applyFont="1" applyBorder="1"/>
    <xf numFmtId="2" fontId="74" fillId="0" borderId="8" xfId="117" applyNumberFormat="1" applyFont="1" applyBorder="1"/>
    <xf numFmtId="2" fontId="74" fillId="0" borderId="0" xfId="117" applyNumberFormat="1" applyFont="1"/>
    <xf numFmtId="17" fontId="1" fillId="0" borderId="20" xfId="116" applyNumberFormat="1" applyFont="1" applyBorder="1" applyAlignment="1">
      <alignment horizontal="left"/>
    </xf>
    <xf numFmtId="0" fontId="1" fillId="39" borderId="20" xfId="116" applyFont="1" applyFill="1" applyBorder="1" applyAlignment="1">
      <alignment horizontal="left"/>
    </xf>
    <xf numFmtId="172" fontId="2" fillId="39" borderId="20" xfId="116" applyNumberFormat="1" applyFill="1" applyBorder="1"/>
    <xf numFmtId="17" fontId="1" fillId="39" borderId="20" xfId="116" applyNumberFormat="1" applyFont="1" applyFill="1" applyBorder="1" applyAlignment="1">
      <alignment horizontal="left"/>
    </xf>
    <xf numFmtId="0" fontId="69" fillId="0" borderId="11" xfId="0" applyFont="1" applyBorder="1" applyAlignment="1">
      <alignment horizontal="center"/>
    </xf>
    <xf numFmtId="3" fontId="71" fillId="0" borderId="11" xfId="0" applyNumberFormat="1" applyFont="1" applyBorder="1" applyAlignment="1">
      <alignment horizontal="center"/>
    </xf>
    <xf numFmtId="0" fontId="69" fillId="0" borderId="44" xfId="0" applyFont="1" applyBorder="1" applyAlignment="1">
      <alignment horizontal="left" vertical="center" wrapText="1"/>
    </xf>
    <xf numFmtId="0" fontId="0" fillId="0" borderId="55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4" fillId="0" borderId="57" xfId="0" applyFont="1" applyBorder="1" applyAlignment="1">
      <alignment vertical="center" wrapText="1"/>
    </xf>
    <xf numFmtId="2" fontId="0" fillId="0" borderId="20" xfId="0" applyNumberFormat="1" applyBorder="1"/>
    <xf numFmtId="2" fontId="0" fillId="0" borderId="58" xfId="0" applyNumberFormat="1" applyBorder="1"/>
    <xf numFmtId="2" fontId="0" fillId="0" borderId="59" xfId="0" applyNumberFormat="1" applyBorder="1"/>
    <xf numFmtId="2" fontId="0" fillId="0" borderId="60" xfId="0" applyNumberFormat="1" applyBorder="1"/>
    <xf numFmtId="0" fontId="0" fillId="0" borderId="46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4" xfId="0" applyBorder="1" applyAlignment="1">
      <alignment horizontal="center"/>
    </xf>
    <xf numFmtId="2" fontId="0" fillId="0" borderId="64" xfId="0" applyNumberFormat="1" applyBorder="1"/>
    <xf numFmtId="0" fontId="79" fillId="0" borderId="0" xfId="0" applyFont="1" applyAlignment="1">
      <alignment vertical="center" wrapText="1"/>
    </xf>
    <xf numFmtId="0" fontId="80" fillId="0" borderId="0" xfId="0" applyFont="1" applyAlignment="1">
      <alignment vertical="center" wrapText="1"/>
    </xf>
    <xf numFmtId="0" fontId="78" fillId="0" borderId="0" xfId="0" applyFont="1" applyAlignment="1">
      <alignment vertical="center" wrapText="1"/>
    </xf>
    <xf numFmtId="4" fontId="0" fillId="0" borderId="62" xfId="0" applyNumberFormat="1" applyBorder="1"/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1" fillId="0" borderId="6" xfId="0" applyFont="1" applyBorder="1" applyAlignment="1">
      <alignment vertical="center" wrapText="1"/>
    </xf>
    <xf numFmtId="4" fontId="0" fillId="0" borderId="65" xfId="0" applyNumberFormat="1" applyBorder="1" applyAlignment="1">
      <alignment horizontal="center" vertical="center"/>
    </xf>
    <xf numFmtId="4" fontId="0" fillId="0" borderId="59" xfId="0" applyNumberFormat="1" applyBorder="1" applyAlignment="1">
      <alignment horizontal="center" vertical="center"/>
    </xf>
    <xf numFmtId="4" fontId="0" fillId="0" borderId="28" xfId="0" applyNumberFormat="1" applyBorder="1" applyAlignment="1">
      <alignment horizontal="center" vertical="center"/>
    </xf>
    <xf numFmtId="4" fontId="0" fillId="0" borderId="29" xfId="0" applyNumberFormat="1" applyBorder="1" applyAlignment="1">
      <alignment horizontal="center" vertical="center"/>
    </xf>
    <xf numFmtId="4" fontId="0" fillId="0" borderId="61" xfId="0" applyNumberFormat="1" applyBorder="1" applyAlignment="1">
      <alignment horizontal="center" vertical="center"/>
    </xf>
    <xf numFmtId="0" fontId="41" fillId="0" borderId="66" xfId="0" applyFont="1" applyBorder="1" applyAlignment="1">
      <alignment vertical="center" wrapText="1"/>
    </xf>
    <xf numFmtId="0" fontId="1" fillId="0" borderId="0" xfId="118"/>
    <xf numFmtId="0" fontId="82" fillId="30" borderId="20" xfId="118" applyFont="1" applyFill="1" applyBorder="1" applyAlignment="1">
      <alignment horizontal="center" vertical="center"/>
    </xf>
    <xf numFmtId="0" fontId="82" fillId="0" borderId="21" xfId="118" applyFont="1" applyBorder="1" applyAlignment="1">
      <alignment horizontal="center" vertical="center"/>
    </xf>
    <xf numFmtId="17" fontId="82" fillId="40" borderId="20" xfId="118" applyNumberFormat="1" applyFont="1" applyFill="1" applyBorder="1"/>
    <xf numFmtId="17" fontId="82" fillId="24" borderId="20" xfId="118" applyNumberFormat="1" applyFont="1" applyFill="1" applyBorder="1" applyAlignment="1">
      <alignment horizontal="center" vertical="center"/>
    </xf>
    <xf numFmtId="0" fontId="1" fillId="0" borderId="20" xfId="118" applyBorder="1"/>
    <xf numFmtId="0" fontId="83" fillId="0" borderId="20" xfId="118" applyFont="1" applyBorder="1"/>
    <xf numFmtId="181" fontId="0" fillId="0" borderId="20" xfId="119" applyNumberFormat="1" applyFont="1" applyBorder="1"/>
    <xf numFmtId="181" fontId="0" fillId="0" borderId="22" xfId="119" applyNumberFormat="1" applyFont="1" applyBorder="1"/>
    <xf numFmtId="181" fontId="82" fillId="0" borderId="20" xfId="118" applyNumberFormat="1" applyFont="1" applyBorder="1"/>
    <xf numFmtId="2" fontId="0" fillId="27" borderId="0" xfId="0" applyNumberFormat="1" applyFill="1" applyAlignment="1">
      <alignment vertical="center"/>
    </xf>
    <xf numFmtId="0" fontId="69" fillId="28" borderId="11" xfId="0" applyFont="1" applyFill="1" applyBorder="1" applyAlignment="1">
      <alignment horizontal="center"/>
    </xf>
    <xf numFmtId="2" fontId="37" fillId="27" borderId="5" xfId="0" applyNumberFormat="1" applyFont="1" applyFill="1" applyBorder="1" applyAlignment="1">
      <alignment vertical="center"/>
    </xf>
    <xf numFmtId="0" fontId="0" fillId="0" borderId="65" xfId="0" applyBorder="1"/>
    <xf numFmtId="0" fontId="1" fillId="0" borderId="20" xfId="118" applyBorder="1" applyAlignment="1">
      <alignment wrapText="1"/>
    </xf>
    <xf numFmtId="0" fontId="83" fillId="0" borderId="20" xfId="118" applyFont="1" applyBorder="1" applyAlignment="1">
      <alignment vertical="center"/>
    </xf>
    <xf numFmtId="0" fontId="1" fillId="0" borderId="20" xfId="118" applyBorder="1" applyAlignment="1">
      <alignment vertical="center" wrapText="1"/>
    </xf>
    <xf numFmtId="2" fontId="0" fillId="0" borderId="20" xfId="119" applyNumberFormat="1" applyFont="1" applyBorder="1" applyAlignment="1">
      <alignment vertical="center"/>
    </xf>
    <xf numFmtId="2" fontId="74" fillId="35" borderId="48" xfId="117" applyNumberFormat="1" applyFont="1" applyFill="1" applyBorder="1"/>
    <xf numFmtId="2" fontId="75" fillId="38" borderId="2" xfId="117" applyNumberFormat="1" applyFont="1" applyFill="1" applyBorder="1"/>
    <xf numFmtId="2" fontId="74" fillId="36" borderId="48" xfId="117" applyNumberFormat="1" applyFont="1" applyFill="1" applyBorder="1"/>
    <xf numFmtId="2" fontId="74" fillId="36" borderId="47" xfId="117" applyNumberFormat="1" applyFont="1" applyFill="1" applyBorder="1"/>
    <xf numFmtId="2" fontId="74" fillId="37" borderId="48" xfId="117" applyNumberFormat="1" applyFont="1" applyFill="1" applyBorder="1"/>
    <xf numFmtId="2" fontId="75" fillId="38" borderId="3" xfId="117" applyNumberFormat="1" applyFont="1" applyFill="1" applyBorder="1"/>
    <xf numFmtId="181" fontId="1" fillId="0" borderId="0" xfId="118" applyNumberFormat="1"/>
    <xf numFmtId="14" fontId="82" fillId="40" borderId="20" xfId="118" applyNumberFormat="1" applyFont="1" applyFill="1" applyBorder="1"/>
    <xf numFmtId="4" fontId="74" fillId="27" borderId="0" xfId="117" applyNumberFormat="1" applyFont="1" applyFill="1"/>
    <xf numFmtId="0" fontId="70" fillId="0" borderId="2" xfId="0" applyFont="1" applyBorder="1" applyAlignment="1">
      <alignment vertical="center" wrapText="1"/>
    </xf>
    <xf numFmtId="0" fontId="69" fillId="0" borderId="10" xfId="0" applyFont="1" applyBorder="1" applyAlignment="1">
      <alignment horizontal="center"/>
    </xf>
    <xf numFmtId="0" fontId="69" fillId="0" borderId="11" xfId="0" applyFont="1" applyBorder="1" applyAlignment="1">
      <alignment horizontal="center" vertical="center"/>
    </xf>
    <xf numFmtId="3" fontId="0" fillId="0" borderId="0" xfId="0" applyNumberFormat="1"/>
    <xf numFmtId="0" fontId="68" fillId="0" borderId="0" xfId="116" applyFont="1" applyAlignment="1">
      <alignment horizontal="left"/>
    </xf>
    <xf numFmtId="3" fontId="68" fillId="0" borderId="0" xfId="116" applyNumberFormat="1" applyFont="1"/>
    <xf numFmtId="3" fontId="71" fillId="0" borderId="11" xfId="47" applyNumberFormat="1" applyFont="1" applyBorder="1" applyAlignment="1">
      <alignment horizontal="center"/>
    </xf>
    <xf numFmtId="0" fontId="84" fillId="41" borderId="31" xfId="118" applyFont="1" applyFill="1" applyBorder="1" applyAlignment="1">
      <alignment horizontal="center" vertical="center" wrapText="1"/>
    </xf>
    <xf numFmtId="0" fontId="84" fillId="41" borderId="20" xfId="118" applyFont="1" applyFill="1" applyBorder="1" applyAlignment="1">
      <alignment horizontal="center" vertical="center" wrapText="1"/>
    </xf>
    <xf numFmtId="0" fontId="84" fillId="41" borderId="67" xfId="118" applyFont="1" applyFill="1" applyBorder="1" applyAlignment="1">
      <alignment horizontal="center" vertical="center" wrapText="1"/>
    </xf>
    <xf numFmtId="182" fontId="85" fillId="0" borderId="20" xfId="1" applyNumberFormat="1" applyFont="1" applyBorder="1" applyAlignment="1" applyProtection="1">
      <alignment horizontal="left"/>
      <protection locked="0"/>
    </xf>
    <xf numFmtId="181" fontId="0" fillId="0" borderId="20" xfId="119" applyNumberFormat="1" applyFont="1" applyBorder="1" applyAlignment="1">
      <alignment horizontal="center" vertical="center"/>
    </xf>
    <xf numFmtId="181" fontId="86" fillId="41" borderId="20" xfId="119" applyNumberFormat="1" applyFont="1" applyFill="1" applyBorder="1" applyAlignment="1">
      <alignment horizontal="center" vertical="center"/>
    </xf>
    <xf numFmtId="183" fontId="86" fillId="41" borderId="20" xfId="119" applyNumberFormat="1" applyFont="1" applyFill="1" applyBorder="1" applyAlignment="1">
      <alignment horizontal="center" vertical="center"/>
    </xf>
    <xf numFmtId="181" fontId="0" fillId="0" borderId="0" xfId="119" applyNumberFormat="1" applyFont="1"/>
    <xf numFmtId="43" fontId="86" fillId="41" borderId="20" xfId="119" applyFont="1" applyFill="1" applyBorder="1" applyAlignment="1">
      <alignment horizontal="center" vertical="center"/>
    </xf>
    <xf numFmtId="43" fontId="1" fillId="0" borderId="20" xfId="118" applyNumberFormat="1" applyBorder="1"/>
    <xf numFmtId="43" fontId="1" fillId="42" borderId="20" xfId="118" applyNumberFormat="1" applyFill="1" applyBorder="1"/>
    <xf numFmtId="4" fontId="0" fillId="0" borderId="21" xfId="0" applyNumberFormat="1" applyBorder="1"/>
    <xf numFmtId="4" fontId="0" fillId="0" borderId="63" xfId="0" applyNumberFormat="1" applyBorder="1"/>
    <xf numFmtId="0" fontId="0" fillId="0" borderId="46" xfId="0" applyBorder="1" applyAlignment="1">
      <alignment horizontal="center" vertical="center"/>
    </xf>
    <xf numFmtId="0" fontId="0" fillId="0" borderId="53" xfId="0" applyBorder="1"/>
    <xf numFmtId="0" fontId="0" fillId="0" borderId="2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2" fontId="0" fillId="0" borderId="48" xfId="0" applyNumberFormat="1" applyBorder="1" applyAlignment="1">
      <alignment horizontal="center" vertical="center"/>
    </xf>
    <xf numFmtId="2" fontId="0" fillId="0" borderId="54" xfId="0" applyNumberFormat="1" applyBorder="1" applyAlignment="1">
      <alignment horizontal="center" vertical="center"/>
    </xf>
    <xf numFmtId="2" fontId="74" fillId="39" borderId="48" xfId="117" applyNumberFormat="1" applyFont="1" applyFill="1" applyBorder="1"/>
    <xf numFmtId="0" fontId="0" fillId="0" borderId="64" xfId="0" applyBorder="1" applyAlignment="1">
      <alignment vertical="center" wrapText="1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87" fillId="41" borderId="31" xfId="128" applyFont="1" applyFill="1" applyBorder="1" applyAlignment="1">
      <alignment horizontal="center" vertical="center" wrapText="1"/>
    </xf>
    <xf numFmtId="0" fontId="1" fillId="0" borderId="0" xfId="128"/>
    <xf numFmtId="184" fontId="88" fillId="36" borderId="20" xfId="128" applyNumberFormat="1" applyFont="1" applyFill="1" applyBorder="1"/>
    <xf numFmtId="185" fontId="89" fillId="0" borderId="20" xfId="128" applyNumberFormat="1" applyFont="1" applyBorder="1" applyAlignment="1">
      <alignment horizontal="right"/>
    </xf>
    <xf numFmtId="184" fontId="88" fillId="0" borderId="20" xfId="128" applyNumberFormat="1" applyFont="1" applyBorder="1"/>
    <xf numFmtId="0" fontId="86" fillId="32" borderId="0" xfId="128" applyFont="1" applyFill="1"/>
    <xf numFmtId="185" fontId="87" fillId="32" borderId="20" xfId="128" applyNumberFormat="1" applyFont="1" applyFill="1" applyBorder="1" applyAlignment="1">
      <alignment horizontal="right"/>
    </xf>
    <xf numFmtId="0" fontId="88" fillId="0" borderId="0" xfId="128" applyFont="1" applyAlignment="1">
      <alignment horizontal="center" vertical="center"/>
    </xf>
    <xf numFmtId="0" fontId="82" fillId="0" borderId="0" xfId="128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 wrapText="1"/>
    </xf>
    <xf numFmtId="165" fontId="0" fillId="0" borderId="0" xfId="47" applyFont="1" applyBorder="1" applyAlignment="1">
      <alignment horizontal="center" vertical="center" wrapText="1"/>
    </xf>
    <xf numFmtId="165" fontId="0" fillId="0" borderId="0" xfId="0" applyNumberFormat="1" applyAlignment="1">
      <alignment vertical="center" wrapText="1"/>
    </xf>
    <xf numFmtId="43" fontId="0" fillId="0" borderId="0" xfId="0" applyNumberFormat="1" applyAlignment="1">
      <alignment vertical="center" wrapText="1"/>
    </xf>
    <xf numFmtId="181" fontId="0" fillId="0" borderId="0" xfId="0" applyNumberFormat="1"/>
    <xf numFmtId="0" fontId="84" fillId="41" borderId="31" xfId="0" applyFont="1" applyFill="1" applyBorder="1" applyAlignment="1">
      <alignment horizontal="center" vertical="center" wrapText="1"/>
    </xf>
    <xf numFmtId="4" fontId="0" fillId="0" borderId="20" xfId="0" applyNumberFormat="1" applyBorder="1" applyAlignment="1">
      <alignment vertical="center"/>
    </xf>
    <xf numFmtId="0" fontId="0" fillId="0" borderId="20" xfId="0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0" fillId="0" borderId="20" xfId="0" applyBorder="1" applyAlignment="1">
      <alignment wrapText="1"/>
    </xf>
    <xf numFmtId="0" fontId="32" fillId="0" borderId="20" xfId="45" applyBorder="1" applyAlignment="1" applyProtection="1">
      <alignment wrapText="1"/>
    </xf>
    <xf numFmtId="0" fontId="0" fillId="0" borderId="69" xfId="0" applyBorder="1"/>
    <xf numFmtId="2" fontId="0" fillId="0" borderId="0" xfId="0" applyNumberFormat="1"/>
    <xf numFmtId="0" fontId="37" fillId="23" borderId="4" xfId="0" applyFont="1" applyFill="1" applyBorder="1" applyAlignment="1">
      <alignment vertical="center"/>
    </xf>
    <xf numFmtId="0" fontId="37" fillId="23" borderId="5" xfId="0" applyFont="1" applyFill="1" applyBorder="1" applyAlignment="1">
      <alignment vertical="center"/>
    </xf>
    <xf numFmtId="0" fontId="37" fillId="23" borderId="9" xfId="0" applyFont="1" applyFill="1" applyBorder="1" applyAlignment="1">
      <alignment vertical="center"/>
    </xf>
    <xf numFmtId="0" fontId="37" fillId="23" borderId="10" xfId="0" applyFont="1" applyFill="1" applyBorder="1" applyAlignment="1">
      <alignment vertical="center"/>
    </xf>
    <xf numFmtId="0" fontId="37" fillId="0" borderId="0" xfId="0" applyFont="1" applyAlignment="1">
      <alignment vertical="center"/>
    </xf>
    <xf numFmtId="0" fontId="31" fillId="27" borderId="0" xfId="45" applyFont="1" applyFill="1" applyBorder="1" applyAlignment="1" applyProtection="1">
      <alignment vertical="center" wrapText="1"/>
    </xf>
    <xf numFmtId="4" fontId="0" fillId="0" borderId="64" xfId="0" applyNumberFormat="1" applyBorder="1"/>
    <xf numFmtId="4" fontId="0" fillId="0" borderId="27" xfId="0" applyNumberFormat="1" applyBorder="1"/>
    <xf numFmtId="4" fontId="0" fillId="0" borderId="22" xfId="0" applyNumberFormat="1" applyBorder="1"/>
    <xf numFmtId="4" fontId="0" fillId="0" borderId="70" xfId="0" applyNumberFormat="1" applyBorder="1"/>
    <xf numFmtId="4" fontId="0" fillId="0" borderId="71" xfId="0" applyNumberFormat="1" applyBorder="1"/>
    <xf numFmtId="4" fontId="0" fillId="0" borderId="72" xfId="0" applyNumberFormat="1" applyBorder="1"/>
    <xf numFmtId="4" fontId="0" fillId="0" borderId="46" xfId="0" applyNumberFormat="1" applyBorder="1"/>
    <xf numFmtId="4" fontId="0" fillId="0" borderId="48" xfId="0" applyNumberFormat="1" applyBorder="1"/>
    <xf numFmtId="4" fontId="0" fillId="0" borderId="54" xfId="0" applyNumberFormat="1" applyBorder="1"/>
    <xf numFmtId="4" fontId="0" fillId="0" borderId="0" xfId="0" applyNumberFormat="1"/>
    <xf numFmtId="0" fontId="49" fillId="32" borderId="25" xfId="0" applyFont="1" applyFill="1" applyBorder="1" applyAlignment="1">
      <alignment horizontal="center" vertical="center" wrapText="1"/>
    </xf>
    <xf numFmtId="0" fontId="49" fillId="32" borderId="26" xfId="0" applyFont="1" applyFill="1" applyBorder="1" applyAlignment="1">
      <alignment horizontal="center" vertical="center" wrapText="1"/>
    </xf>
    <xf numFmtId="0" fontId="49" fillId="32" borderId="27" xfId="0" applyFont="1" applyFill="1" applyBorder="1" applyAlignment="1">
      <alignment horizontal="center" vertical="center" wrapText="1"/>
    </xf>
    <xf numFmtId="0" fontId="71" fillId="0" borderId="1" xfId="0" applyFont="1" applyBorder="1" applyAlignment="1">
      <alignment horizontal="center"/>
    </xf>
    <xf numFmtId="0" fontId="71" fillId="0" borderId="3" xfId="0" applyFont="1" applyBorder="1" applyAlignment="1">
      <alignment horizontal="center"/>
    </xf>
    <xf numFmtId="0" fontId="0" fillId="23" borderId="20" xfId="0" applyFill="1" applyBorder="1" applyAlignment="1">
      <alignment horizontal="center"/>
    </xf>
    <xf numFmtId="0" fontId="0" fillId="0" borderId="20" xfId="0" applyBorder="1" applyAlignment="1">
      <alignment horizontal="left"/>
    </xf>
    <xf numFmtId="0" fontId="33" fillId="0" borderId="20" xfId="0" applyFont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1" xfId="0" applyBorder="1" applyAlignment="1">
      <alignment horizontal="left"/>
    </xf>
    <xf numFmtId="0" fontId="68" fillId="0" borderId="20" xfId="116" applyFont="1" applyBorder="1" applyAlignment="1">
      <alignment horizontal="center" vertical="center" wrapText="1"/>
    </xf>
    <xf numFmtId="0" fontId="45" fillId="31" borderId="25" xfId="0" applyFont="1" applyFill="1" applyBorder="1" applyAlignment="1">
      <alignment horizontal="center" vertical="center" wrapText="1"/>
    </xf>
    <xf numFmtId="0" fontId="45" fillId="31" borderId="26" xfId="0" applyFont="1" applyFill="1" applyBorder="1" applyAlignment="1">
      <alignment horizontal="center" vertical="center" wrapText="1"/>
    </xf>
    <xf numFmtId="0" fontId="45" fillId="31" borderId="2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32" fillId="0" borderId="24" xfId="45" applyBorder="1" applyAlignment="1" applyProtection="1">
      <alignment horizontal="center" vertical="center"/>
    </xf>
    <xf numFmtId="0" fontId="0" fillId="26" borderId="20" xfId="0" applyFill="1" applyBorder="1" applyAlignment="1">
      <alignment horizontal="center" vertical="center"/>
    </xf>
    <xf numFmtId="2" fontId="53" fillId="33" borderId="43" xfId="49" applyNumberFormat="1" applyFont="1" applyFill="1" applyBorder="1" applyAlignment="1">
      <alignment horizontal="left" vertical="center"/>
    </xf>
    <xf numFmtId="2" fontId="53" fillId="33" borderId="37" xfId="49" applyNumberFormat="1" applyFont="1" applyFill="1" applyBorder="1" applyAlignment="1">
      <alignment horizontal="left" vertical="center"/>
    </xf>
    <xf numFmtId="0" fontId="56" fillId="0" borderId="0" xfId="49" applyFont="1" applyAlignment="1">
      <alignment horizontal="center" vertical="center" wrapText="1"/>
    </xf>
    <xf numFmtId="0" fontId="75" fillId="35" borderId="4" xfId="117" applyFont="1" applyFill="1" applyBorder="1" applyAlignment="1">
      <alignment horizontal="center"/>
    </xf>
    <xf numFmtId="0" fontId="75" fillId="35" borderId="5" xfId="117" applyFont="1" applyFill="1" applyBorder="1" applyAlignment="1">
      <alignment horizontal="center"/>
    </xf>
    <xf numFmtId="0" fontId="75" fillId="35" borderId="6" xfId="117" applyFont="1" applyFill="1" applyBorder="1" applyAlignment="1">
      <alignment horizontal="center"/>
    </xf>
    <xf numFmtId="0" fontId="75" fillId="36" borderId="4" xfId="117" applyFont="1" applyFill="1" applyBorder="1" applyAlignment="1">
      <alignment horizontal="center"/>
    </xf>
    <xf numFmtId="0" fontId="75" fillId="36" borderId="5" xfId="117" applyFont="1" applyFill="1" applyBorder="1" applyAlignment="1">
      <alignment horizontal="center"/>
    </xf>
    <xf numFmtId="0" fontId="75" fillId="36" borderId="6" xfId="117" applyFont="1" applyFill="1" applyBorder="1" applyAlignment="1">
      <alignment horizontal="center"/>
    </xf>
    <xf numFmtId="0" fontId="75" fillId="37" borderId="4" xfId="117" applyFont="1" applyFill="1" applyBorder="1" applyAlignment="1">
      <alignment horizontal="center"/>
    </xf>
    <xf numFmtId="0" fontId="75" fillId="37" borderId="5" xfId="117" applyFont="1" applyFill="1" applyBorder="1" applyAlignment="1">
      <alignment horizontal="center"/>
    </xf>
    <xf numFmtId="0" fontId="75" fillId="37" borderId="6" xfId="117" applyFont="1" applyFill="1" applyBorder="1" applyAlignment="1">
      <alignment horizontal="center"/>
    </xf>
    <xf numFmtId="0" fontId="72" fillId="0" borderId="0" xfId="45" applyFont="1" applyAlignment="1" applyProtection="1">
      <alignment horizontal="center" vertical="center"/>
    </xf>
    <xf numFmtId="0" fontId="81" fillId="30" borderId="20" xfId="118" applyFont="1" applyFill="1" applyBorder="1" applyAlignment="1">
      <alignment horizontal="center" vertical="center"/>
    </xf>
    <xf numFmtId="181" fontId="0" fillId="0" borderId="20" xfId="0" applyNumberFormat="1" applyBorder="1"/>
  </cellXfs>
  <cellStyles count="130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x indented GHG Textfiels" xfId="51" xr:uid="{00000000-0005-0000-0000-000006000000}"/>
    <cellStyle name="40% - Accent1" xfId="9" xr:uid="{00000000-0005-0000-0000-000007000000}"/>
    <cellStyle name="40% - Accent2" xfId="10" xr:uid="{00000000-0005-0000-0000-000008000000}"/>
    <cellStyle name="40% - Accent3" xfId="11" xr:uid="{00000000-0005-0000-0000-000009000000}"/>
    <cellStyle name="40% - Accent4" xfId="12" xr:uid="{00000000-0005-0000-0000-00000A000000}"/>
    <cellStyle name="40% - Accent5" xfId="13" xr:uid="{00000000-0005-0000-0000-00000B000000}"/>
    <cellStyle name="40% - Accent6" xfId="14" xr:uid="{00000000-0005-0000-0000-00000C000000}"/>
    <cellStyle name="60% - Accent1" xfId="15" xr:uid="{00000000-0005-0000-0000-00000D000000}"/>
    <cellStyle name="60% - Accent2" xfId="16" xr:uid="{00000000-0005-0000-0000-00000E000000}"/>
    <cellStyle name="60% - Accent3" xfId="17" xr:uid="{00000000-0005-0000-0000-00000F000000}"/>
    <cellStyle name="60% - Accent4" xfId="18" xr:uid="{00000000-0005-0000-0000-000010000000}"/>
    <cellStyle name="60% - Accent5" xfId="19" xr:uid="{00000000-0005-0000-0000-000011000000}"/>
    <cellStyle name="60% - Accent6" xfId="20" xr:uid="{00000000-0005-0000-0000-000012000000}"/>
    <cellStyle name="Accent1" xfId="21" xr:uid="{00000000-0005-0000-0000-000013000000}"/>
    <cellStyle name="Accent2" xfId="22" xr:uid="{00000000-0005-0000-0000-000014000000}"/>
    <cellStyle name="Accent3" xfId="23" xr:uid="{00000000-0005-0000-0000-000015000000}"/>
    <cellStyle name="Accent4" xfId="24" xr:uid="{00000000-0005-0000-0000-000016000000}"/>
    <cellStyle name="Accent5" xfId="25" xr:uid="{00000000-0005-0000-0000-000017000000}"/>
    <cellStyle name="Accent6" xfId="26" xr:uid="{00000000-0005-0000-0000-000018000000}"/>
    <cellStyle name="Bad" xfId="27" xr:uid="{00000000-0005-0000-0000-000019000000}"/>
    <cellStyle name="Binlik Ayracı 2" xfId="52" xr:uid="{00000000-0005-0000-0000-00001A000000}"/>
    <cellStyle name="Binlik Ayracı 2 2" xfId="53" xr:uid="{00000000-0005-0000-0000-00001B000000}"/>
    <cellStyle name="Binlik Ayracı 2 3" xfId="123" xr:uid="{EB262170-EA54-4ACF-BABD-43EF65765A0B}"/>
    <cellStyle name="Binlik Ayracı 3" xfId="54" xr:uid="{00000000-0005-0000-0000-00001C000000}"/>
    <cellStyle name="Binlik Ayracı 4" xfId="55" xr:uid="{00000000-0005-0000-0000-00001D000000}"/>
    <cellStyle name="Binlik Ayracı 5" xfId="56" xr:uid="{00000000-0005-0000-0000-00001E000000}"/>
    <cellStyle name="Binlik Ayracı 6" xfId="57" xr:uid="{00000000-0005-0000-0000-00001F000000}"/>
    <cellStyle name="Binlik Ayracı 6 2" xfId="58" xr:uid="{00000000-0005-0000-0000-000020000000}"/>
    <cellStyle name="Calculation" xfId="28" xr:uid="{00000000-0005-0000-0000-000021000000}"/>
    <cellStyle name="Check Cell" xfId="29" xr:uid="{00000000-0005-0000-0000-000022000000}"/>
    <cellStyle name="Comma" xfId="47" builtinId="3"/>
    <cellStyle name="Comma 2" xfId="59" xr:uid="{00000000-0005-0000-0000-000024000000}"/>
    <cellStyle name="Comma 3" xfId="119" xr:uid="{AF8A3848-60AA-47D5-BBE2-FD6AED215577}"/>
    <cellStyle name="Constants" xfId="60" xr:uid="{00000000-0005-0000-0000-000026000000}"/>
    <cellStyle name="Empty_TBorder" xfId="61" xr:uid="{00000000-0005-0000-0000-000029000000}"/>
    <cellStyle name="Euro" xfId="62" xr:uid="{00000000-0005-0000-0000-00002A000000}"/>
    <cellStyle name="Explanatory Text" xfId="30" xr:uid="{00000000-0005-0000-0000-00002B000000}"/>
    <cellStyle name="F2" xfId="63" xr:uid="{00000000-0005-0000-0000-00002C000000}"/>
    <cellStyle name="F3" xfId="64" xr:uid="{00000000-0005-0000-0000-00002D000000}"/>
    <cellStyle name="F4" xfId="65" xr:uid="{00000000-0005-0000-0000-00002E000000}"/>
    <cellStyle name="F5" xfId="66" xr:uid="{00000000-0005-0000-0000-00002F000000}"/>
    <cellStyle name="F6" xfId="67" xr:uid="{00000000-0005-0000-0000-000030000000}"/>
    <cellStyle name="F7" xfId="68" xr:uid="{00000000-0005-0000-0000-000031000000}"/>
    <cellStyle name="F8" xfId="69" xr:uid="{00000000-0005-0000-0000-000032000000}"/>
    <cellStyle name="Followed Hyperlink" xfId="70" xr:uid="{00000000-0005-0000-0000-000033000000}"/>
    <cellStyle name="Good" xfId="31" xr:uid="{00000000-0005-0000-0000-000034000000}"/>
    <cellStyle name="Heading 1" xfId="32" xr:uid="{00000000-0005-0000-0000-000035000000}"/>
    <cellStyle name="Heading 2" xfId="33" xr:uid="{00000000-0005-0000-0000-000036000000}"/>
    <cellStyle name="Heading 3" xfId="34" xr:uid="{00000000-0005-0000-0000-000037000000}"/>
    <cellStyle name="Heading 4" xfId="35" xr:uid="{00000000-0005-0000-0000-000038000000}"/>
    <cellStyle name="Headline" xfId="71" xr:uid="{00000000-0005-0000-0000-000039000000}"/>
    <cellStyle name="Hyperlink" xfId="45" xr:uid="{00000000-0005-0000-0000-00003A000000}"/>
    <cellStyle name="Input" xfId="36" xr:uid="{00000000-0005-0000-0000-00003B000000}"/>
    <cellStyle name="Köprü 2" xfId="72" xr:uid="{00000000-0005-0000-0000-00003D000000}"/>
    <cellStyle name="Linked Cell" xfId="37" xr:uid="{00000000-0005-0000-0000-00003E000000}"/>
    <cellStyle name="Normal" xfId="0" builtinId="0"/>
    <cellStyle name="Normal - Style1" xfId="73" xr:uid="{00000000-0005-0000-0000-000040000000}"/>
    <cellStyle name="Normal 10" xfId="74" xr:uid="{00000000-0005-0000-0000-000041000000}"/>
    <cellStyle name="Normal 11" xfId="75" xr:uid="{00000000-0005-0000-0000-000042000000}"/>
    <cellStyle name="Normal 12" xfId="76" xr:uid="{00000000-0005-0000-0000-000043000000}"/>
    <cellStyle name="Normal 13" xfId="77" xr:uid="{00000000-0005-0000-0000-000044000000}"/>
    <cellStyle name="Normal 14" xfId="78" xr:uid="{00000000-0005-0000-0000-000045000000}"/>
    <cellStyle name="Normal 15" xfId="79" xr:uid="{00000000-0005-0000-0000-000046000000}"/>
    <cellStyle name="Normal 16" xfId="80" xr:uid="{00000000-0005-0000-0000-000047000000}"/>
    <cellStyle name="Normal 17" xfId="81" xr:uid="{00000000-0005-0000-0000-000048000000}"/>
    <cellStyle name="Normal 18" xfId="82" xr:uid="{00000000-0005-0000-0000-000049000000}"/>
    <cellStyle name="Normal 19" xfId="83" xr:uid="{00000000-0005-0000-0000-00004A000000}"/>
    <cellStyle name="Normal 2" xfId="1" xr:uid="{00000000-0005-0000-0000-00004B000000}"/>
    <cellStyle name="Normal 2 2" xfId="2" xr:uid="{00000000-0005-0000-0000-00004C000000}"/>
    <cellStyle name="Normal 2 2 2" xfId="84" xr:uid="{00000000-0005-0000-0000-00004D000000}"/>
    <cellStyle name="Normal 2 2 2 2" xfId="85" xr:uid="{00000000-0005-0000-0000-00004E000000}"/>
    <cellStyle name="Normal 2 3" xfId="86" xr:uid="{00000000-0005-0000-0000-00004F000000}"/>
    <cellStyle name="Normal 2 4" xfId="87" xr:uid="{00000000-0005-0000-0000-000050000000}"/>
    <cellStyle name="Normal 2 4 2" xfId="88" xr:uid="{00000000-0005-0000-0000-000051000000}"/>
    <cellStyle name="Normal 2 5" xfId="89" xr:uid="{00000000-0005-0000-0000-000052000000}"/>
    <cellStyle name="Normal 2_Calculator" xfId="38" xr:uid="{00000000-0005-0000-0000-000053000000}"/>
    <cellStyle name="Normal 20" xfId="90" xr:uid="{00000000-0005-0000-0000-000054000000}"/>
    <cellStyle name="Normal 21" xfId="91" xr:uid="{00000000-0005-0000-0000-000055000000}"/>
    <cellStyle name="Normal 22" xfId="92" xr:uid="{00000000-0005-0000-0000-000056000000}"/>
    <cellStyle name="Normal 23" xfId="93" xr:uid="{00000000-0005-0000-0000-000057000000}"/>
    <cellStyle name="Normal 24" xfId="94" xr:uid="{00000000-0005-0000-0000-000058000000}"/>
    <cellStyle name="Normal 25" xfId="95" xr:uid="{00000000-0005-0000-0000-000059000000}"/>
    <cellStyle name="Normal 26" xfId="116" xr:uid="{00000000-0005-0000-0000-00005A000000}"/>
    <cellStyle name="Normal 26 2" xfId="128" xr:uid="{D0266802-3F1F-4C69-B569-6CD04B8699E6}"/>
    <cellStyle name="Normal 27" xfId="117" xr:uid="{CBF550E4-B818-4CFF-84C4-4231C5C3D7CA}"/>
    <cellStyle name="Normal 28" xfId="118" xr:uid="{186166C5-8948-439D-AC28-846EE5C5EF57}"/>
    <cellStyle name="Normal 29" xfId="129" xr:uid="{9590E1FA-FDCE-464C-9C25-C03B222A6EC1}"/>
    <cellStyle name="Normal 3" xfId="39" xr:uid="{00000000-0005-0000-0000-00005B000000}"/>
    <cellStyle name="Normal 3 2" xfId="96" xr:uid="{00000000-0005-0000-0000-00005C000000}"/>
    <cellStyle name="Normal 3 3" xfId="97" xr:uid="{00000000-0005-0000-0000-00005D000000}"/>
    <cellStyle name="Normal 4" xfId="49" xr:uid="{00000000-0005-0000-0000-00005E000000}"/>
    <cellStyle name="Normal 4 2" xfId="98" xr:uid="{00000000-0005-0000-0000-00005F000000}"/>
    <cellStyle name="Normal 4 3" xfId="121" xr:uid="{B95FB4BC-C885-4749-9DFF-41E60DF8449C}"/>
    <cellStyle name="Normal 5" xfId="99" xr:uid="{00000000-0005-0000-0000-000060000000}"/>
    <cellStyle name="Normal 5 2" xfId="100" xr:uid="{00000000-0005-0000-0000-000061000000}"/>
    <cellStyle name="Normal 5 2 2" xfId="101" xr:uid="{00000000-0005-0000-0000-000062000000}"/>
    <cellStyle name="Normal 5 2 2 2" xfId="125" xr:uid="{DD21170B-32D6-439E-A837-98F36F5D677B}"/>
    <cellStyle name="Normal 5 2 3" xfId="124" xr:uid="{DA8DF983-1CB7-4D6A-B07E-7BF1B1C766D6}"/>
    <cellStyle name="Normal 6" xfId="102" xr:uid="{00000000-0005-0000-0000-000063000000}"/>
    <cellStyle name="Normal 6 2" xfId="103" xr:uid="{00000000-0005-0000-0000-000064000000}"/>
    <cellStyle name="Normal 7" xfId="104" xr:uid="{00000000-0005-0000-0000-000065000000}"/>
    <cellStyle name="Normal 7 2" xfId="105" xr:uid="{00000000-0005-0000-0000-000066000000}"/>
    <cellStyle name="Normal 7 2 2" xfId="126" xr:uid="{D8D09952-89DC-4C07-8602-721A6C115E38}"/>
    <cellStyle name="Normal 8" xfId="106" xr:uid="{00000000-0005-0000-0000-000067000000}"/>
    <cellStyle name="Normal 8 2" xfId="107" xr:uid="{00000000-0005-0000-0000-000068000000}"/>
    <cellStyle name="Normal 8 2 2" xfId="108" xr:uid="{00000000-0005-0000-0000-000069000000}"/>
    <cellStyle name="Normal 9" xfId="109" xr:uid="{00000000-0005-0000-0000-00006A000000}"/>
    <cellStyle name="Normal GHG Textfiels Bold" xfId="110" xr:uid="{00000000-0005-0000-0000-00006B000000}"/>
    <cellStyle name="Note" xfId="40" xr:uid="{00000000-0005-0000-0000-00006C000000}"/>
    <cellStyle name="Output" xfId="41" xr:uid="{00000000-0005-0000-0000-00006D000000}"/>
    <cellStyle name="Percent" xfId="48" builtinId="5"/>
    <cellStyle name="Title" xfId="42" xr:uid="{00000000-0005-0000-0000-00006E000000}"/>
    <cellStyle name="Virgül [0]_08-01" xfId="111" xr:uid="{00000000-0005-0000-0000-000070000000}"/>
    <cellStyle name="Virgül 2" xfId="44" xr:uid="{00000000-0005-0000-0000-000071000000}"/>
    <cellStyle name="Virgül 2 2" xfId="120" xr:uid="{85D755F3-249C-40BC-A254-C40DAF045C03}"/>
    <cellStyle name="Virgül 3" xfId="50" xr:uid="{00000000-0005-0000-0000-000072000000}"/>
    <cellStyle name="Virgül 3 2" xfId="122" xr:uid="{ABF619B2-2FD2-4EDA-8C3A-7D7AB2707924}"/>
    <cellStyle name="Virgül 4" xfId="112" xr:uid="{00000000-0005-0000-0000-000073000000}"/>
    <cellStyle name="Virgül 4 2" xfId="127" xr:uid="{B50559F1-846B-4DEF-B6F2-EF0FF7AD9F59}"/>
    <cellStyle name="Warning Text" xfId="43" xr:uid="{00000000-0005-0000-0000-000074000000}"/>
    <cellStyle name="Yüzde 2" xfId="46" xr:uid="{00000000-0005-0000-0000-000076000000}"/>
    <cellStyle name="Yüzde 3" xfId="113" xr:uid="{00000000-0005-0000-0000-000077000000}"/>
    <cellStyle name="Yüzde 3 2" xfId="114" xr:uid="{00000000-0005-0000-0000-000078000000}"/>
    <cellStyle name="Yüzde 4" xfId="115" xr:uid="{00000000-0005-0000-0000-00007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28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0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21.xml"/><Relationship Id="rId45" Type="http://schemas.openxmlformats.org/officeDocument/2006/relationships/externalLink" Target="externalLinks/externalLink26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4" Type="http://schemas.openxmlformats.org/officeDocument/2006/relationships/externalLink" Target="externalLinks/externalLink25.xml"/><Relationship Id="rId52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24.xml"/><Relationship Id="rId48" Type="http://schemas.openxmlformats.org/officeDocument/2006/relationships/externalLink" Target="externalLinks/externalLink29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27.xml"/><Relationship Id="rId20" Type="http://schemas.openxmlformats.org/officeDocument/2006/relationships/externalLink" Target="externalLinks/externalLink1.xml"/><Relationship Id="rId41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4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m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tmp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tmp"/><Relationship Id="rId1" Type="http://schemas.openxmlformats.org/officeDocument/2006/relationships/image" Target="../media/image7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27081</xdr:colOff>
      <xdr:row>2</xdr:row>
      <xdr:rowOff>86985</xdr:rowOff>
    </xdr:from>
    <xdr:to>
      <xdr:col>4</xdr:col>
      <xdr:colOff>2817346</xdr:colOff>
      <xdr:row>2</xdr:row>
      <xdr:rowOff>806636</xdr:rowOff>
    </xdr:to>
    <xdr:pic>
      <xdr:nvPicPr>
        <xdr:cNvPr id="2" name="Resim 1" descr="Ekran Kırpm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4206" y="507673"/>
          <a:ext cx="2790265" cy="7196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22411</xdr:rowOff>
    </xdr:from>
    <xdr:to>
      <xdr:col>5</xdr:col>
      <xdr:colOff>629883</xdr:colOff>
      <xdr:row>2</xdr:row>
      <xdr:rowOff>1797273</xdr:rowOff>
    </xdr:to>
    <xdr:pic>
      <xdr:nvPicPr>
        <xdr:cNvPr id="2" name="Resim 4">
          <a:extLst>
            <a:ext uri="{FF2B5EF4-FFF2-40B4-BE49-F238E27FC236}">
              <a16:creationId xmlns:a16="http://schemas.microsoft.com/office/drawing/2014/main" id="{F40E65F3-A1CD-2336-E1C5-C10F481A7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11"/>
          <a:ext cx="6120765" cy="2125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313764</xdr:colOff>
      <xdr:row>18</xdr:row>
      <xdr:rowOff>0</xdr:rowOff>
    </xdr:from>
    <xdr:to>
      <xdr:col>4</xdr:col>
      <xdr:colOff>2844946</xdr:colOff>
      <xdr:row>19</xdr:row>
      <xdr:rowOff>85750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671A91-7391-7559-3555-8288423BE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8176" y="8531412"/>
          <a:ext cx="2531182" cy="4293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14</xdr:row>
      <xdr:rowOff>133350</xdr:rowOff>
    </xdr:from>
    <xdr:to>
      <xdr:col>5</xdr:col>
      <xdr:colOff>134</xdr:colOff>
      <xdr:row>14</xdr:row>
      <xdr:rowOff>734094</xdr:rowOff>
    </xdr:to>
    <xdr:pic>
      <xdr:nvPicPr>
        <xdr:cNvPr id="2" name="Resim 3">
          <a:extLst>
            <a:ext uri="{FF2B5EF4-FFF2-40B4-BE49-F238E27FC236}">
              <a16:creationId xmlns:a16="http://schemas.microsoft.com/office/drawing/2014/main" id="{B502DAF7-C44E-42D7-8376-FE29FFCEA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6150" y="8083550"/>
          <a:ext cx="1127258" cy="597569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10</xdr:row>
      <xdr:rowOff>211793</xdr:rowOff>
    </xdr:from>
    <xdr:to>
      <xdr:col>5</xdr:col>
      <xdr:colOff>7058</xdr:colOff>
      <xdr:row>10</xdr:row>
      <xdr:rowOff>504825</xdr:rowOff>
    </xdr:to>
    <xdr:pic>
      <xdr:nvPicPr>
        <xdr:cNvPr id="3" name="Resim 4">
          <a:extLst>
            <a:ext uri="{FF2B5EF4-FFF2-40B4-BE49-F238E27FC236}">
              <a16:creationId xmlns:a16="http://schemas.microsoft.com/office/drawing/2014/main" id="{D62D0954-CE1D-413D-9E43-BF6354A3D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83300" y="3532843"/>
          <a:ext cx="1020816" cy="2962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447676</xdr:colOff>
      <xdr:row>2</xdr:row>
      <xdr:rowOff>180853</xdr:rowOff>
    </xdr:from>
    <xdr:to>
      <xdr:col>12</xdr:col>
      <xdr:colOff>124346</xdr:colOff>
      <xdr:row>32</xdr:row>
      <xdr:rowOff>114958</xdr:rowOff>
    </xdr:to>
    <xdr:pic>
      <xdr:nvPicPr>
        <xdr:cNvPr id="3" name="Resim 2" descr="Ekran Kırpma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1" y="809503"/>
          <a:ext cx="4477270" cy="56681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66675</xdr:rowOff>
    </xdr:from>
    <xdr:to>
      <xdr:col>10</xdr:col>
      <xdr:colOff>344188</xdr:colOff>
      <xdr:row>40</xdr:row>
      <xdr:rowOff>114939</xdr:rowOff>
    </xdr:to>
    <xdr:pic>
      <xdr:nvPicPr>
        <xdr:cNvPr id="4" name="Resim 3" descr="Ekran Kırpma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76425"/>
          <a:ext cx="9231013" cy="45821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830222</xdr:colOff>
      <xdr:row>7</xdr:row>
      <xdr:rowOff>162</xdr:rowOff>
    </xdr:to>
    <xdr:pic>
      <xdr:nvPicPr>
        <xdr:cNvPr id="3" name="Resim 2" descr="Ekran Kırpm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88647" cy="11622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)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2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3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4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5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I)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I)2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I)3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I)4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)Recalculation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counting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A.1.1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NIR-1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IR-2.1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IR-2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IR-3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2/Option%202%20for%20sheet%20to%20calculate%20grid%20emision%20facto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2\Option%202%20for%20sheet%20to%20calculate%20grid%20emision%20factor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demirkol/Downloads/CDM_1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demirkol\Downloads\CDM_1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DM/Clean%20Development%20Mechanism%20(CDM)/CDM02-Methodology/Meth%20Development%20and%20Improvement/Revision%20of%20methodologies%20and%20tools/Gaseous%20flow%20tool/Excel%20calculator/Excel%20spreadsheet%20for%20tool_v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DM\Clean%20Development%20Mechanism%20(CDM)\CDM02-Methodology\Meth%20Development%20and%20Improvement\Revision%20of%20methodologies%20and%20tools\Gaseous%20flow%20tool\Excel%20calculator\Excel%20spreadsheet%20for%20tool_v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A.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A.2.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A.2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1.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1.2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1.3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4(KP-I)B.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)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B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B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B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B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I)1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I)2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I)3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I)4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)Recalculations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ounting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A.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R-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R-2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R-2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R-3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_TITLE"/>
      <sheetName val="METHOD_FLOW_CHART"/>
      <sheetName val="INPUT_OUTPUT"/>
      <sheetName val="SIMPLE_OM_GRID_OPTION_A_DATA"/>
      <sheetName val="SIMPLE_OM_GRID_OPTION_A"/>
      <sheetName val="SIMPLE_OM_GRID_OPTION_B_DATA"/>
      <sheetName val="SIMPLE_OM_GRID_OPTION_B"/>
      <sheetName val="LAMBDA"/>
      <sheetName val="SIMPLE_OM_ADJUSTED_DATA"/>
      <sheetName val="SIMPLE_OM_ADJUSTED"/>
      <sheetName val="D_DATA_ANALYS_OM_OP1_ DATA"/>
      <sheetName val="D_DATA_ANALYS_OM_OP1"/>
      <sheetName val="D_DATA_ANALYS_OM_OP2_ DATA"/>
      <sheetName val="D_DATA_ANALYS_OM_OP2"/>
      <sheetName val="AVERAGE_OM_OPTION_A_DATA"/>
      <sheetName val="AVERAGE_OM_OPTION_A"/>
      <sheetName val="AVERAGE_OM_OPTION_B_DATA"/>
      <sheetName val="AVERAGE_OM_OPTION_B"/>
      <sheetName val="BUILD_MARGIN_DATA"/>
      <sheetName val="BUILD_MARGIN"/>
      <sheetName val="CONVERTION_FACT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B3" t="str">
            <v>[kCal]</v>
          </cell>
          <cell r="G3" t="str">
            <v>[tCO2/unit]</v>
          </cell>
          <cell r="H3" t="str">
            <v>[kWh]</v>
          </cell>
        </row>
        <row r="4">
          <cell r="B4" t="str">
            <v>[BTU]</v>
          </cell>
          <cell r="G4" t="str">
            <v>[tCO2/GJ]</v>
          </cell>
          <cell r="H4" t="str">
            <v>[MWh]</v>
          </cell>
        </row>
        <row r="5">
          <cell r="B5" t="str">
            <v>[GJ]</v>
          </cell>
          <cell r="H5" t="str">
            <v>[GWh]</v>
          </cell>
        </row>
        <row r="6">
          <cell r="B6" t="str">
            <v>[MMBTU]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_TITLE"/>
      <sheetName val="METHOD_FLOW_CHART"/>
      <sheetName val="INPUT_OUTPUT"/>
      <sheetName val="SIMPLE_OM_GRID_OPTION_A_DATA"/>
      <sheetName val="SIMPLE_OM_GRID_OPTION_A"/>
      <sheetName val="SIMPLE_OM_GRID_OPTION_B_DATA"/>
      <sheetName val="SIMPLE_OM_GRID_OPTION_B"/>
      <sheetName val="LAMBDA"/>
      <sheetName val="SIMPLE_OM_ADJUSTED_DATA"/>
      <sheetName val="SIMPLE_OM_ADJUSTED"/>
      <sheetName val="D_DATA_ANALYS_OM_OP1_ DATA"/>
      <sheetName val="D_DATA_ANALYS_OM_OP1"/>
      <sheetName val="D_DATA_ANALYS_OM_OP2_ DATA"/>
      <sheetName val="D_DATA_ANALYS_OM_OP2"/>
      <sheetName val="AVERAGE_OM_OPTION_A_DATA"/>
      <sheetName val="AVERAGE_OM_OPTION_A"/>
      <sheetName val="AVERAGE_OM_OPTION_B_DATA"/>
      <sheetName val="AVERAGE_OM_OPTION_B"/>
      <sheetName val="BUILD_MARGIN_DATA"/>
      <sheetName val="BUILD_MARGIN"/>
      <sheetName val="CONVERTION_FACT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B3" t="str">
            <v>[kCal]</v>
          </cell>
          <cell r="G3" t="str">
            <v>[tCO2/unit]</v>
          </cell>
          <cell r="H3" t="str">
            <v>[kWh]</v>
          </cell>
        </row>
        <row r="4">
          <cell r="B4" t="str">
            <v>[BTU]</v>
          </cell>
          <cell r="G4" t="str">
            <v>[tCO2/GJ]</v>
          </cell>
          <cell r="H4" t="str">
            <v>[MWh]</v>
          </cell>
        </row>
        <row r="5">
          <cell r="B5" t="str">
            <v>[GJ]</v>
          </cell>
          <cell r="H5" t="str">
            <v>[GWh]</v>
          </cell>
        </row>
        <row r="6">
          <cell r="B6" t="str">
            <v>[MMBTU]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_TITLE"/>
      <sheetName val="INPUT_OUTPUT"/>
      <sheetName val="SIMPLE_OM_GRID_OPTION_A_DATA"/>
      <sheetName val="SIMPLE_OM_GRID_OPTION_A"/>
      <sheetName val="SIMPLE_OM_GRID_OPTION_B_DATA"/>
      <sheetName val="SIMPLE_OM_GRID_OPTION_B"/>
      <sheetName val="LAMBDA"/>
      <sheetName val="SIMPLE_OM_ADJUSTED_DATA"/>
      <sheetName val="SIMPLE_OM_ADJUSTED"/>
      <sheetName val="D_DATA_ANALYS_OM_OP1_ DATA"/>
      <sheetName val="D_DATA_ANALYS_OM_OP1"/>
      <sheetName val="D_DATA_ANALYS_OM_OP2_ DATA"/>
      <sheetName val="D_DATA_ANALYS_OM_OP2"/>
      <sheetName val="AVERAGE_OM_OPTION_A_DATA"/>
      <sheetName val="AVERAGE_OM_OPTION_A"/>
      <sheetName val="AVERAGE_OM_OPTION_B_DATA"/>
      <sheetName val="AVERAGE_OM_OPTION_B"/>
      <sheetName val="BUILDING_MARGIN_DATA"/>
      <sheetName val="BUILDING_MARGIN"/>
      <sheetName val="CONVERTION_FAC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B3" t="str">
            <v>[kCal]</v>
          </cell>
          <cell r="G3" t="str">
            <v>[tCO2/unit]</v>
          </cell>
          <cell r="H3" t="str">
            <v>[kWh]</v>
          </cell>
        </row>
        <row r="4">
          <cell r="B4" t="str">
            <v>[BTU]</v>
          </cell>
          <cell r="G4" t="str">
            <v>[tCO2/GJ]</v>
          </cell>
          <cell r="H4" t="str">
            <v>[MWh]</v>
          </cell>
        </row>
        <row r="5">
          <cell r="B5" t="str">
            <v>[GJ]</v>
          </cell>
          <cell r="H5" t="str">
            <v>[GWh]</v>
          </cell>
        </row>
        <row r="6">
          <cell r="B6" t="str">
            <v>[MMBTU]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_TITLE"/>
      <sheetName val="INPUT_OUTPUT"/>
      <sheetName val="SIMPLE_OM_GRID_OPTION_A_DATA"/>
      <sheetName val="SIMPLE_OM_GRID_OPTION_A"/>
      <sheetName val="SIMPLE_OM_GRID_OPTION_B_DATA"/>
      <sheetName val="SIMPLE_OM_GRID_OPTION_B"/>
      <sheetName val="LAMBDA"/>
      <sheetName val="SIMPLE_OM_ADJUSTED_DATA"/>
      <sheetName val="SIMPLE_OM_ADJUSTED"/>
      <sheetName val="D_DATA_ANALYS_OM_OP1_ DATA"/>
      <sheetName val="D_DATA_ANALYS_OM_OP1"/>
      <sheetName val="D_DATA_ANALYS_OM_OP2_ DATA"/>
      <sheetName val="D_DATA_ANALYS_OM_OP2"/>
      <sheetName val="AVERAGE_OM_OPTION_A_DATA"/>
      <sheetName val="AVERAGE_OM_OPTION_A"/>
      <sheetName val="AVERAGE_OM_OPTION_B_DATA"/>
      <sheetName val="AVERAGE_OM_OPTION_B"/>
      <sheetName val="BUILDING_MARGIN_DATA"/>
      <sheetName val="BUILDING_MARGIN"/>
      <sheetName val="CONVERTION_FAC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B3" t="str">
            <v>[kCal]</v>
          </cell>
          <cell r="G3" t="str">
            <v>[tCO2/unit]</v>
          </cell>
          <cell r="H3" t="str">
            <v>[kWh]</v>
          </cell>
        </row>
        <row r="4">
          <cell r="B4" t="str">
            <v>[BTU]</v>
          </cell>
          <cell r="G4" t="str">
            <v>[tCO2/GJ]</v>
          </cell>
          <cell r="H4" t="str">
            <v>[MWh]</v>
          </cell>
        </row>
        <row r="5">
          <cell r="B5" t="str">
            <v>[GJ]</v>
          </cell>
          <cell r="H5" t="str">
            <v>[GWh]</v>
          </cell>
        </row>
        <row r="6">
          <cell r="B6" t="str">
            <v>[MMBTU]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initions"/>
      <sheetName val="Calculation options"/>
      <sheetName val="Measurement option"/>
      <sheetName val="A and B"/>
      <sheetName val="C"/>
      <sheetName val="D"/>
      <sheetName val="C (2)"/>
      <sheetName val="E and F"/>
      <sheetName val="Option A"/>
      <sheetName val="List of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6">
          <cell r="B116" t="str">
            <v>C2F6</v>
          </cell>
        </row>
        <row r="117">
          <cell r="B117" t="str">
            <v>C3F8</v>
          </cell>
        </row>
        <row r="118">
          <cell r="B118" t="str">
            <v>C4F10</v>
          </cell>
        </row>
        <row r="119">
          <cell r="B119" t="str">
            <v>C5F12</v>
          </cell>
        </row>
        <row r="120">
          <cell r="B120" t="str">
            <v>C6F14</v>
          </cell>
        </row>
        <row r="121">
          <cell r="B121" t="str">
            <v>c-C4F8</v>
          </cell>
        </row>
        <row r="122">
          <cell r="B122" t="str">
            <v>CF4</v>
          </cell>
        </row>
        <row r="123">
          <cell r="B123" t="str">
            <v>CH4</v>
          </cell>
        </row>
        <row r="124">
          <cell r="B124" t="str">
            <v>CO2</v>
          </cell>
        </row>
        <row r="125">
          <cell r="B125" t="str">
            <v>N2O</v>
          </cell>
        </row>
        <row r="126">
          <cell r="B126" t="str">
            <v>SF6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initions"/>
      <sheetName val="Calculation options"/>
      <sheetName val="Measurement option"/>
      <sheetName val="A and B"/>
      <sheetName val="C"/>
      <sheetName val="D"/>
      <sheetName val="C (2)"/>
      <sheetName val="E and F"/>
      <sheetName val="Option A"/>
      <sheetName val="List of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6">
          <cell r="B116" t="str">
            <v>C2F6</v>
          </cell>
        </row>
        <row r="117">
          <cell r="B117" t="str">
            <v>C3F8</v>
          </cell>
        </row>
        <row r="118">
          <cell r="B118" t="str">
            <v>C4F10</v>
          </cell>
        </row>
        <row r="119">
          <cell r="B119" t="str">
            <v>C5F12</v>
          </cell>
        </row>
        <row r="120">
          <cell r="B120" t="str">
            <v>C6F14</v>
          </cell>
        </row>
        <row r="121">
          <cell r="B121" t="str">
            <v>c-C4F8</v>
          </cell>
        </row>
        <row r="122">
          <cell r="B122" t="str">
            <v>CF4</v>
          </cell>
        </row>
        <row r="123">
          <cell r="B123" t="str">
            <v>CH4</v>
          </cell>
        </row>
        <row r="124">
          <cell r="B124" t="str">
            <v>CO2</v>
          </cell>
        </row>
        <row r="125">
          <cell r="B125" t="str">
            <v>N2O</v>
          </cell>
        </row>
        <row r="126">
          <cell r="B126" t="str">
            <v>SF6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A.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B.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B.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B.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(KP-I)B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eepika Mahala" id="{98A18EBD-165B-4169-B101-A76AE620511F}" userId="Deepika Mahala" providerId="None"/>
  <person displayName="Merve Nephanoğlu" id="{79976CBD-A2F5-4A92-9086-2FF052D245A3}" userId="S::merve.nephanoglu@tedu.edu.tr::36193190-065b-4356-af73-e04592f2b96f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4" dT="2024-08-24T16:33:06.77" personId="{98A18EBD-165B-4169-B101-A76AE620511F}" id="{796ED9D2-5D50-44AF-9AD0-025620A871F4}">
    <text>Not a listed parameter</text>
  </threadedComment>
  <threadedComment ref="C14" dT="2024-09-05T12:24:09.55" personId="{79976CBD-A2F5-4A92-9086-2FF052D245A3}" id="{03AF2CEC-E951-4146-A83D-DB108E334C9E}" parentId="{796ED9D2-5D50-44AF-9AD0-025620A871F4}">
    <text>Added to MR</text>
  </threadedComment>
  <threadedComment ref="B17" dT="2024-08-22T13:59:12.39" personId="{98A18EBD-165B-4169-B101-A76AE620511F}" id="{FB339609-540C-4202-977D-70FDF4856C48}">
    <text>The daily record(photo of primary record or excel sheet) required</text>
  </threadedComment>
  <threadedComment ref="B17" dT="2024-11-04T07:44:58.17" personId="{79976CBD-A2F5-4A92-9086-2FF052D245A3}" id="{AB4D418A-CB4F-40A9-B7FF-28F21D37E50C}" parentId="{FB339609-540C-4202-977D-70FDF4856C48}">
    <text>provided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16" dT="2024-08-24T16:29:32.24" personId="{98A18EBD-165B-4169-B101-A76AE620511F}" id="{BF176823-FB71-491E-AC62-79AB420B9C35}">
    <text>The parameter needs to be a measured and monitored value on daily basis. Moreover, default value of methane is 60%</text>
  </threadedComment>
  <threadedComment ref="D16" dT="2024-10-31T12:54:44.50" personId="{79976CBD-A2F5-4A92-9086-2FF052D245A3}" id="{4F69593A-AE93-4104-A43F-60F769194350}" parentId="{BF176823-FB71-491E-AC62-79AB420B9C35}">
    <text>Revised. The parameter is monitored.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K8" dT="2024-08-24T16:27:29.40" personId="{98A18EBD-165B-4169-B101-A76AE620511F}" id="{FA77EF13-A785-4A23-B38B-CA0692731135}">
    <text>It is not clear why it is calculated on the basis of assumption (7000hours) when the parameter is recorded continuously and has actual data recorded on daily basis</text>
  </threadedComment>
  <threadedComment ref="K8" dT="2024-10-18T13:18:42.59" personId="{79976CBD-A2F5-4A92-9086-2FF052D245A3}" id="{012AFDF7-DA91-4412-B409-782818DCD6D7}" parentId="{FA77EF13-A785-4A23-B38B-CA0692731135}">
    <text>revised</text>
  </threadedComment>
  <threadedComment ref="D14" dT="2024-08-24T16:31:35.25" personId="{98A18EBD-165B-4169-B101-A76AE620511F}" id="{DB6AC8E2-1502-4C6F-968C-1E05C7993392}">
    <text>The parameter needs to be a measured and monitored value on daily basis as per the registered monitoring plan. Please clarify if permanent deviation from monitoring plan is being sought</text>
  </threadedComment>
  <threadedComment ref="D14" dT="2024-10-18T12:32:32.06" personId="{79976CBD-A2F5-4A92-9086-2FF052D245A3}" id="{4C071EA1-5A5E-4A66-A5DE-7174EB9E9202}" parentId="{DB6AC8E2-1502-4C6F-968C-1E05C7993392}">
    <text>It is monitored daily, the record is provided.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3" dT="2024-08-22T14:39:44.94" personId="{98A18EBD-165B-4169-B101-A76AE620511F}" id="{2355352B-3CA3-4740-922D-D666D1FB6821}">
    <text>Electricity generation does not discount WW contribution</text>
  </threadedComment>
  <threadedComment ref="A3" dT="2024-09-05T08:02:18.59" personId="{79976CBD-A2F5-4A92-9086-2FF052D245A3}" id="{787677B8-DA70-49AA-9259-323D2ECC77C5}" parentId="{2355352B-3CA3-4740-922D-D666D1FB6821}">
    <text>revised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B3" dT="2024-08-24T16:32:13.63" personId="{98A18EBD-165B-4169-B101-A76AE620511F}" id="{353397DB-0CD1-4D34-BFCE-378B5F36642E}">
    <text>Please consider changing the language to English</text>
  </threadedComment>
  <threadedComment ref="B3" dT="2024-09-05T07:57:54.11" personId="{79976CBD-A2F5-4A92-9086-2FF052D245A3}" id="{7DCA6FB5-5C7B-4FCF-A5BD-B76989892049}" parentId="{353397DB-0CD1-4D34-BFCE-378B5F36642E}">
    <text>revised</text>
  </threadedComment>
</ThreadedComment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mgm.gov.tr/veridegerlendirme/il-ve-ilceler-istatistik.aspx?m=IZMIR" TargetMode="External"/><Relationship Id="rId1" Type="http://schemas.openxmlformats.org/officeDocument/2006/relationships/hyperlink" Target="https://www.ipcc-nggip.iges.or.jp/public/2006gl/pdf/4_Volume4/V4_10_Ch10_Livestock.pdf" TargetMode="External"/><Relationship Id="rId4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ipcc-nggip.iges.or.jp/public/gp/bgp/4_2_CH4_and_N2O_Livestock_Manure.pdf" TargetMode="External"/><Relationship Id="rId1" Type="http://schemas.openxmlformats.org/officeDocument/2006/relationships/hyperlink" Target="http://www.steamtablesonline.com/steam97web.aspx" TargetMode="External"/><Relationship Id="rId4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Relationship Id="rId4" Type="http://schemas.microsoft.com/office/2017/10/relationships/threadedComment" Target="../threadedComments/threadedComment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webim.teias.gov.tr/file/2e8f7a79-8861-4a1e-8e29-0319f6c0b0af?download" TargetMode="External"/><Relationship Id="rId1" Type="http://schemas.openxmlformats.org/officeDocument/2006/relationships/hyperlink" Target="https://unfccc.int/documents/644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C8" sqref="C8"/>
    </sheetView>
  </sheetViews>
  <sheetFormatPr defaultColWidth="9" defaultRowHeight="13.5"/>
  <sheetData/>
  <phoneticPr fontId="7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0"/>
  <sheetViews>
    <sheetView workbookViewId="0">
      <selection activeCell="H36" sqref="H36"/>
    </sheetView>
  </sheetViews>
  <sheetFormatPr defaultColWidth="9" defaultRowHeight="14.5"/>
  <cols>
    <col min="1" max="1" width="46.15234375" style="171" customWidth="1"/>
    <col min="2" max="3" width="12.15234375" style="171" customWidth="1"/>
    <col min="4" max="4" width="9" style="171"/>
    <col min="5" max="5" width="12.23046875" style="171" bestFit="1" customWidth="1"/>
    <col min="6" max="16384" width="9" style="171"/>
  </cols>
  <sheetData>
    <row r="1" spans="1:12" ht="34.5" customHeight="1" thickBot="1">
      <c r="A1" s="399" t="s">
        <v>224</v>
      </c>
      <c r="B1" s="400"/>
      <c r="C1" s="400"/>
      <c r="D1" s="400"/>
      <c r="E1" s="400"/>
      <c r="F1" s="186"/>
      <c r="G1" s="401" t="s">
        <v>225</v>
      </c>
      <c r="H1" s="401"/>
      <c r="I1" s="401"/>
      <c r="J1" s="401"/>
      <c r="K1" s="401"/>
      <c r="L1" s="401"/>
    </row>
    <row r="2" spans="1:12">
      <c r="A2" s="174" t="s">
        <v>223</v>
      </c>
      <c r="B2" s="187">
        <v>0.7258</v>
      </c>
      <c r="C2" s="185"/>
      <c r="D2" s="185"/>
      <c r="E2" s="184"/>
      <c r="G2" s="401"/>
      <c r="H2" s="401"/>
      <c r="I2" s="401"/>
      <c r="J2" s="401"/>
      <c r="K2" s="401"/>
      <c r="L2" s="401"/>
    </row>
    <row r="3" spans="1:12">
      <c r="A3" s="174" t="s">
        <v>222</v>
      </c>
      <c r="B3" s="188">
        <v>0.4153</v>
      </c>
      <c r="C3" s="183"/>
      <c r="D3" s="183"/>
      <c r="E3" s="182"/>
      <c r="G3" s="401"/>
      <c r="H3" s="401"/>
      <c r="I3" s="401"/>
      <c r="J3" s="401"/>
      <c r="K3" s="401"/>
      <c r="L3" s="401"/>
    </row>
    <row r="4" spans="1:12">
      <c r="A4" s="181" t="s">
        <v>221</v>
      </c>
      <c r="B4" s="180"/>
      <c r="C4" s="179"/>
      <c r="E4" s="178"/>
    </row>
    <row r="5" spans="1:12" ht="15">
      <c r="A5" s="177"/>
      <c r="B5" s="176" t="s">
        <v>220</v>
      </c>
      <c r="C5" s="175" t="s">
        <v>219</v>
      </c>
    </row>
    <row r="6" spans="1:12">
      <c r="A6" s="174" t="s">
        <v>218</v>
      </c>
      <c r="B6" s="172">
        <v>0.75</v>
      </c>
      <c r="C6" s="172">
        <v>0.25</v>
      </c>
    </row>
    <row r="7" spans="1:12" ht="15">
      <c r="A7" s="174" t="s">
        <v>217</v>
      </c>
      <c r="B7" s="172">
        <v>0.5</v>
      </c>
      <c r="C7" s="172">
        <v>0.5</v>
      </c>
    </row>
    <row r="8" spans="1:12" ht="15">
      <c r="A8" s="173" t="s">
        <v>216</v>
      </c>
      <c r="B8" s="172">
        <v>0.25</v>
      </c>
      <c r="C8" s="172">
        <v>0.75</v>
      </c>
    </row>
    <row r="10" spans="1:12">
      <c r="A10" s="190" t="s">
        <v>244</v>
      </c>
      <c r="B10" s="191">
        <f>+(B2*B7)+(B3*C7)</f>
        <v>0.57055</v>
      </c>
    </row>
  </sheetData>
  <mergeCells count="2">
    <mergeCell ref="A1:E1"/>
    <mergeCell ref="G1:L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11021-80B6-4278-B81F-88B97733CB16}">
  <dimension ref="A1:K56"/>
  <sheetViews>
    <sheetView topLeftCell="A13" workbookViewId="0">
      <selection activeCell="G24" sqref="G24"/>
    </sheetView>
  </sheetViews>
  <sheetFormatPr defaultColWidth="9.23046875" defaultRowHeight="15"/>
  <cols>
    <col min="1" max="1" width="10.15234375" style="212" customWidth="1"/>
    <col min="2" max="2" width="9.23046875" style="212"/>
    <col min="3" max="3" width="18.15234375" style="212" customWidth="1"/>
    <col min="4" max="4" width="12.4609375" style="212" customWidth="1"/>
    <col min="5" max="5" width="9.23046875" style="212"/>
    <col min="6" max="6" width="17.84375" style="212" customWidth="1"/>
    <col min="7" max="7" width="12.4609375" style="212" customWidth="1"/>
    <col min="8" max="8" width="9.23046875" style="212"/>
    <col min="9" max="9" width="17.84375" style="212" customWidth="1"/>
    <col min="10" max="10" width="13.23046875" style="212" customWidth="1"/>
    <col min="11" max="16384" width="9.23046875" style="212"/>
  </cols>
  <sheetData>
    <row r="1" spans="1:10" ht="16.5" thickBot="1">
      <c r="A1" s="211"/>
      <c r="B1" s="402">
        <v>2022</v>
      </c>
      <c r="C1" s="403"/>
      <c r="D1" s="404"/>
      <c r="E1" s="405">
        <v>2023</v>
      </c>
      <c r="F1" s="406"/>
      <c r="G1" s="407"/>
      <c r="H1" s="408">
        <v>2024</v>
      </c>
      <c r="I1" s="409"/>
      <c r="J1" s="410"/>
    </row>
    <row r="2" spans="1:10" ht="16.5" thickBot="1">
      <c r="B2" s="213" t="s">
        <v>256</v>
      </c>
      <c r="C2" s="213" t="s">
        <v>257</v>
      </c>
      <c r="D2" s="214" t="s">
        <v>258</v>
      </c>
      <c r="E2" s="215" t="s">
        <v>256</v>
      </c>
      <c r="F2" s="216" t="s">
        <v>257</v>
      </c>
      <c r="G2" s="215" t="s">
        <v>258</v>
      </c>
      <c r="H2" s="217" t="s">
        <v>256</v>
      </c>
      <c r="I2" s="218" t="s">
        <v>257</v>
      </c>
      <c r="J2" s="217" t="s">
        <v>258</v>
      </c>
    </row>
    <row r="3" spans="1:10" ht="16">
      <c r="A3" s="219" t="s">
        <v>259</v>
      </c>
      <c r="B3" s="243"/>
      <c r="C3" s="243"/>
      <c r="D3" s="243"/>
      <c r="E3" s="220">
        <v>2071.9733999999999</v>
      </c>
      <c r="F3" s="221">
        <v>0.17249999999999999</v>
      </c>
      <c r="G3" s="303">
        <f>(E3-F3)*Production!C13</f>
        <v>1836.8783128520222</v>
      </c>
      <c r="H3" s="222">
        <v>1978.4508000000001</v>
      </c>
      <c r="I3" s="222">
        <v>0</v>
      </c>
      <c r="J3" s="305">
        <f>(H3-I3)*Production!C20</f>
        <v>1754.5430597296154</v>
      </c>
    </row>
    <row r="4" spans="1:10" ht="16">
      <c r="A4" s="223" t="s">
        <v>260</v>
      </c>
      <c r="B4" s="244"/>
      <c r="C4" s="244"/>
      <c r="D4" s="244"/>
      <c r="E4" s="224">
        <v>1793.1237000000001</v>
      </c>
      <c r="F4" s="225">
        <v>1.38E-2</v>
      </c>
      <c r="G4" s="304">
        <f>(E4-F4)*Production!D13</f>
        <v>1560.1821456657888</v>
      </c>
      <c r="H4" s="226">
        <v>2095.5230999999999</v>
      </c>
      <c r="I4" s="226">
        <v>6.8999999999999999E-3</v>
      </c>
      <c r="J4" s="305">
        <f>(H4-I4)*Production!D20</f>
        <v>1904.9001997524419</v>
      </c>
    </row>
    <row r="5" spans="1:10" ht="16">
      <c r="A5" s="223" t="s">
        <v>261</v>
      </c>
      <c r="B5" s="245"/>
      <c r="C5" s="245"/>
      <c r="D5" s="245"/>
      <c r="E5" s="220">
        <v>1832.9781</v>
      </c>
      <c r="F5" s="221">
        <v>0</v>
      </c>
      <c r="G5" s="303">
        <f>(E5-F5)*Production!E13</f>
        <v>1560.6618257714244</v>
      </c>
      <c r="H5" s="222">
        <v>1608.6867</v>
      </c>
      <c r="I5" s="222">
        <v>0</v>
      </c>
      <c r="J5" s="305">
        <f>(H5-I5)*Production!E20</f>
        <v>1379.4624937668812</v>
      </c>
    </row>
    <row r="6" spans="1:10" ht="16">
      <c r="A6" s="223" t="s">
        <v>262</v>
      </c>
      <c r="B6" s="245"/>
      <c r="C6" s="245"/>
      <c r="D6" s="245"/>
      <c r="E6" s="220">
        <v>1950.4782</v>
      </c>
      <c r="F6" s="221">
        <v>4.1399999999999999E-2</v>
      </c>
      <c r="G6" s="303">
        <f>(E6-F6)*Production!F13</f>
        <v>1701.4873745245045</v>
      </c>
      <c r="H6" s="222">
        <v>2053.6815000000001</v>
      </c>
      <c r="I6" s="222">
        <v>2.07E-2</v>
      </c>
      <c r="J6" s="305">
        <f>(H6-I6)*Production!F20</f>
        <v>1817.8895426282784</v>
      </c>
    </row>
    <row r="7" spans="1:10" ht="16">
      <c r="A7" s="223" t="s">
        <v>263</v>
      </c>
      <c r="B7" s="245"/>
      <c r="C7" s="245"/>
      <c r="D7" s="245"/>
      <c r="E7" s="220">
        <v>2314.4807999999998</v>
      </c>
      <c r="F7" s="221">
        <v>4.1399999999999999E-2</v>
      </c>
      <c r="G7" s="303">
        <f>(E7-F7)*Production!G13</f>
        <v>2072.593926002703</v>
      </c>
      <c r="H7" s="222">
        <v>2055.2478000000001</v>
      </c>
      <c r="I7" s="222">
        <v>3.4500000000000003E-2</v>
      </c>
      <c r="J7" s="305">
        <f>(H7-I7)*Production!G20</f>
        <v>1796.6173541306002</v>
      </c>
    </row>
    <row r="8" spans="1:10" ht="16">
      <c r="A8" s="223" t="s">
        <v>264</v>
      </c>
      <c r="B8" s="245"/>
      <c r="C8" s="245"/>
      <c r="D8" s="337"/>
      <c r="E8" s="220">
        <v>1984.0673999999999</v>
      </c>
      <c r="F8" s="221">
        <v>4.1399999999999999E-2</v>
      </c>
      <c r="G8" s="303">
        <f>(E8-F8)*Production!H13</f>
        <v>1758.0430489476721</v>
      </c>
      <c r="H8" s="246"/>
      <c r="I8" s="246"/>
      <c r="J8" s="337"/>
    </row>
    <row r="9" spans="1:10" ht="16">
      <c r="A9" s="223" t="s">
        <v>265</v>
      </c>
      <c r="B9" s="245"/>
      <c r="C9" s="245"/>
      <c r="D9" s="337"/>
      <c r="E9" s="220">
        <v>2079.5288999999998</v>
      </c>
      <c r="F9" s="221">
        <v>4.8300000000000003E-2</v>
      </c>
      <c r="G9" s="303">
        <f>(E9-F9)*Production!I13</f>
        <v>1823.6318159511093</v>
      </c>
      <c r="H9" s="246"/>
      <c r="I9" s="246"/>
      <c r="J9" s="245"/>
    </row>
    <row r="10" spans="1:10" ht="16">
      <c r="A10" s="223" t="s">
        <v>266</v>
      </c>
      <c r="B10" s="227">
        <f>1519.932*10/31</f>
        <v>490.30064516129033</v>
      </c>
      <c r="C10" s="227">
        <f>0.0345*10/31</f>
        <v>1.1129032258064516E-2</v>
      </c>
      <c r="D10" s="301">
        <f>(B10-C10)*Production!J6</f>
        <v>415.3142866022738</v>
      </c>
      <c r="E10" s="220">
        <v>1822.4349</v>
      </c>
      <c r="F10" s="221">
        <v>2.76E-2</v>
      </c>
      <c r="G10" s="303">
        <f>(E10-F10)*Production!J13</f>
        <v>1561.3717045641308</v>
      </c>
      <c r="H10" s="246"/>
      <c r="I10" s="246"/>
      <c r="J10" s="245"/>
    </row>
    <row r="11" spans="1:10" ht="16">
      <c r="A11" s="223" t="s">
        <v>267</v>
      </c>
      <c r="B11" s="227">
        <v>1378.3785</v>
      </c>
      <c r="C11" s="227">
        <v>4.8300000000000003E-2</v>
      </c>
      <c r="D11" s="301">
        <f>(B11-C11)*Production!K6</f>
        <v>1198.6821515954168</v>
      </c>
      <c r="E11" s="220">
        <v>1717.9344000000001</v>
      </c>
      <c r="F11" s="221">
        <v>0.15870000000000001</v>
      </c>
      <c r="G11" s="303">
        <f>(E11-F11)*Production!K13</f>
        <v>1536.2981425107766</v>
      </c>
      <c r="H11" s="246"/>
      <c r="I11" s="246"/>
      <c r="J11" s="245"/>
    </row>
    <row r="12" spans="1:10" ht="16">
      <c r="A12" s="223" t="s">
        <v>268</v>
      </c>
      <c r="B12" s="227">
        <v>1519.8009</v>
      </c>
      <c r="C12" s="227">
        <v>5.1887999999999996</v>
      </c>
      <c r="D12" s="301">
        <f>(B12-C12)*Production!L6</f>
        <v>1280.148770818616</v>
      </c>
      <c r="E12" s="220">
        <v>1782.5322000000001</v>
      </c>
      <c r="F12" s="221">
        <v>5.5199999999999999E-2</v>
      </c>
      <c r="G12" s="303">
        <f>(E12-F12)*Production!L13</f>
        <v>1610.5506389100765</v>
      </c>
      <c r="H12" s="246"/>
      <c r="I12" s="246"/>
      <c r="J12" s="245"/>
    </row>
    <row r="13" spans="1:10" ht="16">
      <c r="A13" s="223" t="s">
        <v>269</v>
      </c>
      <c r="B13" s="227">
        <v>1884.0174</v>
      </c>
      <c r="C13" s="227">
        <v>8.9700000000000002E-2</v>
      </c>
      <c r="D13" s="301">
        <f>(B13-C13)*Production!M6</f>
        <v>1642.0786497970828</v>
      </c>
      <c r="E13" s="220">
        <v>1951.1958</v>
      </c>
      <c r="F13" s="221">
        <v>9.6600000000000005E-2</v>
      </c>
      <c r="G13" s="303">
        <f>(E13-F13)*Production!M13</f>
        <v>1768.3981755593948</v>
      </c>
      <c r="H13" s="246"/>
      <c r="I13" s="246"/>
      <c r="J13" s="245"/>
    </row>
    <row r="14" spans="1:10" ht="16.5" thickBot="1">
      <c r="A14" s="228" t="s">
        <v>270</v>
      </c>
      <c r="B14" s="229">
        <v>2119.6662000000001</v>
      </c>
      <c r="C14" s="229">
        <v>0</v>
      </c>
      <c r="D14" s="301">
        <f>(B14-C14)*Production!N6</f>
        <v>1834.4567775150808</v>
      </c>
      <c r="E14" s="230">
        <v>1684.5867000000001</v>
      </c>
      <c r="F14" s="231">
        <v>4.1399999999999999E-2</v>
      </c>
      <c r="G14" s="303">
        <f>(E14-F14)*Production!N13</f>
        <v>1498.8047949569491</v>
      </c>
      <c r="H14" s="246"/>
      <c r="I14" s="246"/>
      <c r="J14" s="245"/>
    </row>
    <row r="15" spans="1:10" ht="16.5" thickBot="1">
      <c r="A15" s="232" t="s">
        <v>271</v>
      </c>
      <c r="B15" s="233">
        <f>SUM(B8:B14)</f>
        <v>7392.1636451612903</v>
      </c>
      <c r="C15" s="232">
        <f>SUM(C4:C14)</f>
        <v>5.3379290322580637</v>
      </c>
      <c r="D15" s="302">
        <f>SUM(D3:D14)</f>
        <v>6370.6806363284704</v>
      </c>
      <c r="E15" s="233">
        <f>SUM(E4:E14)</f>
        <v>20913.341100000001</v>
      </c>
      <c r="F15" s="232">
        <f>SUM(F4:F14)</f>
        <v>0.56579999999999997</v>
      </c>
      <c r="G15" s="302">
        <f>SUM(G3:G14)</f>
        <v>20288.901906216553</v>
      </c>
      <c r="H15" s="233">
        <f>SUM(H4:H14)</f>
        <v>7813.1390999999994</v>
      </c>
      <c r="I15" s="234">
        <f>SUM(I4:I14)</f>
        <v>6.2100000000000002E-2</v>
      </c>
      <c r="J15" s="306">
        <f>SUM(J3:J14)</f>
        <v>8653.4126500078164</v>
      </c>
    </row>
    <row r="16" spans="1:10" ht="16">
      <c r="A16" s="211"/>
      <c r="B16" s="211"/>
      <c r="C16" s="211"/>
      <c r="D16" s="309">
        <f>D15*Production!O4/Production!P4</f>
        <v>5495.6587216627649</v>
      </c>
      <c r="E16" s="211"/>
      <c r="F16" s="211"/>
      <c r="G16" s="309">
        <f>G15*Production!O11/Production!P11</f>
        <v>17907.333647656535</v>
      </c>
      <c r="H16" s="211"/>
      <c r="I16" s="211"/>
      <c r="J16" s="309">
        <f>J15*Production!O18/Production!P18</f>
        <v>7647.8887885452386</v>
      </c>
    </row>
    <row r="17" spans="1:11" ht="57" customHeight="1">
      <c r="A17" s="211"/>
      <c r="B17" s="211"/>
      <c r="C17" s="235" t="s">
        <v>361</v>
      </c>
      <c r="D17" s="211"/>
      <c r="E17" s="211"/>
      <c r="F17" s="211"/>
      <c r="G17" s="211"/>
      <c r="H17" s="211"/>
      <c r="I17" s="211"/>
      <c r="J17" s="211"/>
    </row>
    <row r="18" spans="1:11" ht="16">
      <c r="A18" s="211"/>
      <c r="B18" s="211"/>
      <c r="C18" s="250">
        <f>SUM(D16+G16+J16)</f>
        <v>31050.881157864536</v>
      </c>
      <c r="D18" s="211"/>
      <c r="E18" s="211"/>
      <c r="F18" s="211"/>
      <c r="G18" s="211"/>
      <c r="H18" s="211"/>
      <c r="I18" s="211"/>
      <c r="J18" s="211"/>
      <c r="K18" s="211"/>
    </row>
    <row r="19" spans="1:11" ht="16.5" thickBot="1">
      <c r="A19" s="211"/>
      <c r="B19" s="211"/>
      <c r="C19" s="211"/>
      <c r="D19" s="211"/>
      <c r="E19" s="211"/>
      <c r="F19" s="211"/>
      <c r="G19" s="211"/>
      <c r="H19" s="211"/>
      <c r="I19" s="211"/>
      <c r="J19" s="211"/>
    </row>
    <row r="20" spans="1:11" ht="47" thickBot="1">
      <c r="A20" s="211"/>
      <c r="B20" s="236" t="s">
        <v>272</v>
      </c>
      <c r="C20" s="237" t="s">
        <v>273</v>
      </c>
      <c r="D20" s="211"/>
      <c r="E20" s="211"/>
      <c r="F20" s="238" t="s">
        <v>272</v>
      </c>
      <c r="G20" s="239" t="s">
        <v>274</v>
      </c>
      <c r="H20" s="211"/>
      <c r="I20" s="211"/>
      <c r="J20" s="211"/>
    </row>
    <row r="21" spans="1:11" ht="16">
      <c r="A21" s="211"/>
      <c r="B21" s="240">
        <v>2022</v>
      </c>
      <c r="C21" s="247">
        <f>G21*'CM '!B10*(1+'Project Emission-Total'!D21)</f>
        <v>3543.1693345184999</v>
      </c>
      <c r="D21" s="211"/>
      <c r="E21" s="211"/>
      <c r="F21" s="240">
        <v>2022</v>
      </c>
      <c r="G21" s="247">
        <f>D16</f>
        <v>5495.6587216627649</v>
      </c>
      <c r="H21" s="211"/>
      <c r="I21" s="241">
        <v>43333</v>
      </c>
      <c r="J21" s="241">
        <v>43464</v>
      </c>
    </row>
    <row r="22" spans="1:11" ht="16">
      <c r="A22" s="211"/>
      <c r="B22" s="242">
        <v>2023</v>
      </c>
      <c r="C22" s="248">
        <f>G22*'CM '!B10*(1+'Project Emission-Total'!D21)</f>
        <v>11545.24301031759</v>
      </c>
      <c r="D22" s="211"/>
      <c r="E22" s="211"/>
      <c r="F22" s="242">
        <v>2023</v>
      </c>
      <c r="G22" s="249">
        <f>G16</f>
        <v>17907.333647656535</v>
      </c>
      <c r="H22" s="211"/>
      <c r="I22" s="241">
        <v>43465</v>
      </c>
      <c r="J22" s="241">
        <v>43829</v>
      </c>
    </row>
    <row r="23" spans="1:11" ht="16">
      <c r="A23" s="211"/>
      <c r="B23" s="242">
        <v>2024</v>
      </c>
      <c r="C23" s="248">
        <f>G23*'CM '!B10*(1+'Project Emission-Total'!D21)</f>
        <v>4930.7583315840684</v>
      </c>
      <c r="D23" s="211"/>
      <c r="E23" s="211"/>
      <c r="F23" s="242">
        <v>2024</v>
      </c>
      <c r="G23" s="248">
        <f>J16</f>
        <v>7647.8887885452386</v>
      </c>
      <c r="H23" s="211"/>
      <c r="I23" s="241">
        <v>43830</v>
      </c>
      <c r="J23" s="241">
        <v>43981</v>
      </c>
    </row>
    <row r="24" spans="1:11" ht="16">
      <c r="A24" s="211"/>
      <c r="B24" s="211"/>
      <c r="C24" s="211"/>
      <c r="D24" s="211"/>
      <c r="E24" s="211"/>
      <c r="F24" s="211" t="s">
        <v>275</v>
      </c>
      <c r="G24" s="250">
        <f>(G21*365/(J21-I21)+G22+G23*366/(J23-I23))/3</f>
        <v>17252.310688443915</v>
      </c>
      <c r="H24" s="211"/>
      <c r="I24" s="211"/>
      <c r="J24" s="211"/>
    </row>
    <row r="25" spans="1:11" ht="16">
      <c r="A25" s="211"/>
      <c r="B25" s="211"/>
      <c r="C25" s="211"/>
      <c r="D25" s="211"/>
      <c r="E25" s="211"/>
      <c r="F25" s="211"/>
      <c r="G25" s="211"/>
      <c r="H25" s="211"/>
      <c r="I25" s="211"/>
      <c r="J25" s="211"/>
    </row>
    <row r="26" spans="1:11" ht="16">
      <c r="A26" s="211"/>
      <c r="B26" s="211"/>
      <c r="C26" s="211"/>
      <c r="D26" s="211"/>
      <c r="E26" s="211"/>
      <c r="F26" s="211"/>
      <c r="G26" s="211"/>
      <c r="H26" s="211"/>
      <c r="I26" s="211"/>
      <c r="J26" s="211"/>
    </row>
    <row r="27" spans="1:11" ht="16">
      <c r="A27" s="211"/>
      <c r="B27" s="211"/>
      <c r="C27" s="211"/>
      <c r="D27" s="211"/>
      <c r="E27" s="211"/>
      <c r="F27" s="211"/>
      <c r="G27" s="211"/>
      <c r="H27" s="211"/>
      <c r="I27" s="211"/>
      <c r="J27" s="211"/>
    </row>
    <row r="28" spans="1:11" ht="16">
      <c r="A28" s="211"/>
      <c r="B28" s="211"/>
      <c r="C28" s="211"/>
      <c r="D28" s="211"/>
      <c r="E28" s="211"/>
      <c r="F28" s="211"/>
      <c r="G28" s="211"/>
      <c r="H28" s="211"/>
      <c r="I28" s="211"/>
      <c r="J28" s="211"/>
    </row>
    <row r="29" spans="1:11" ht="16">
      <c r="A29" s="211"/>
      <c r="B29" s="211"/>
      <c r="C29" s="211"/>
      <c r="D29" s="211"/>
      <c r="E29" s="211"/>
      <c r="F29" s="211"/>
      <c r="G29" s="211"/>
      <c r="H29" s="211"/>
      <c r="I29" s="211"/>
      <c r="J29" s="211"/>
    </row>
    <row r="30" spans="1:11" ht="16">
      <c r="A30" s="211"/>
      <c r="B30" s="211"/>
      <c r="C30" s="211"/>
      <c r="D30" s="211"/>
      <c r="E30" s="211"/>
      <c r="F30" s="211"/>
      <c r="G30" s="211"/>
      <c r="H30" s="211"/>
      <c r="I30" s="211"/>
      <c r="J30" s="211"/>
    </row>
    <row r="31" spans="1:11" ht="16">
      <c r="A31" s="211"/>
      <c r="B31" s="211"/>
      <c r="C31" s="211"/>
      <c r="D31" s="211"/>
      <c r="E31" s="211"/>
      <c r="F31" s="211"/>
      <c r="G31" s="211"/>
      <c r="H31" s="211"/>
      <c r="I31" s="211"/>
      <c r="J31" s="211"/>
    </row>
    <row r="32" spans="1:11" ht="16">
      <c r="A32" s="211"/>
      <c r="B32" s="211"/>
      <c r="C32" s="211"/>
      <c r="D32" s="211"/>
      <c r="E32" s="211"/>
      <c r="F32" s="211"/>
      <c r="G32" s="211"/>
      <c r="H32" s="211"/>
      <c r="I32" s="211"/>
      <c r="J32" s="211"/>
    </row>
    <row r="33" spans="1:10" ht="16">
      <c r="A33" s="211"/>
      <c r="B33" s="211"/>
      <c r="C33" s="211"/>
      <c r="D33" s="211"/>
      <c r="E33" s="211"/>
      <c r="F33" s="211"/>
      <c r="G33" s="211"/>
      <c r="H33" s="211"/>
      <c r="I33" s="211"/>
      <c r="J33" s="211"/>
    </row>
    <row r="34" spans="1:10" ht="16">
      <c r="A34" s="211"/>
      <c r="B34" s="211"/>
      <c r="C34" s="211"/>
      <c r="D34" s="211"/>
      <c r="E34" s="211"/>
      <c r="F34" s="211"/>
      <c r="G34" s="211"/>
      <c r="H34" s="211"/>
      <c r="I34" s="211"/>
      <c r="J34" s="211"/>
    </row>
    <row r="35" spans="1:10" ht="16">
      <c r="A35" s="211"/>
      <c r="B35" s="211"/>
      <c r="C35" s="211"/>
      <c r="D35" s="211"/>
      <c r="E35" s="211"/>
      <c r="F35" s="211"/>
      <c r="G35" s="211"/>
      <c r="H35" s="211"/>
      <c r="I35" s="211"/>
      <c r="J35" s="211"/>
    </row>
    <row r="36" spans="1:10" ht="16">
      <c r="A36" s="211"/>
      <c r="B36" s="211"/>
      <c r="C36" s="211"/>
      <c r="D36" s="211"/>
      <c r="E36" s="211"/>
      <c r="F36" s="211"/>
      <c r="G36" s="211"/>
      <c r="H36" s="211"/>
      <c r="I36" s="211"/>
      <c r="J36" s="211"/>
    </row>
    <row r="37" spans="1:10" ht="16">
      <c r="A37" s="211"/>
      <c r="B37" s="211"/>
      <c r="C37" s="211"/>
      <c r="D37" s="211"/>
      <c r="E37" s="211"/>
      <c r="F37" s="211"/>
      <c r="G37" s="211"/>
      <c r="H37" s="211"/>
      <c r="I37" s="211"/>
      <c r="J37" s="211"/>
    </row>
    <row r="38" spans="1:10" ht="16">
      <c r="A38" s="211"/>
      <c r="B38" s="211"/>
      <c r="C38" s="211"/>
      <c r="D38" s="211"/>
      <c r="E38" s="211"/>
      <c r="F38" s="211"/>
      <c r="G38" s="211"/>
      <c r="H38" s="211"/>
      <c r="I38" s="211"/>
      <c r="J38" s="211"/>
    </row>
    <row r="39" spans="1:10" ht="16">
      <c r="A39" s="211"/>
      <c r="B39" s="211"/>
      <c r="C39" s="211"/>
      <c r="D39" s="211"/>
      <c r="E39" s="211"/>
      <c r="F39" s="211"/>
      <c r="G39" s="211"/>
      <c r="H39" s="211"/>
      <c r="I39" s="211"/>
      <c r="J39" s="211"/>
    </row>
    <row r="40" spans="1:10" ht="16">
      <c r="A40" s="211"/>
      <c r="B40" s="211"/>
      <c r="C40" s="211"/>
      <c r="D40" s="211"/>
      <c r="E40" s="211"/>
      <c r="F40" s="211"/>
      <c r="G40" s="211"/>
      <c r="H40" s="211"/>
      <c r="I40" s="211"/>
      <c r="J40" s="211"/>
    </row>
    <row r="41" spans="1:10" ht="16">
      <c r="A41" s="211"/>
      <c r="B41" s="211"/>
      <c r="C41" s="211"/>
      <c r="D41" s="211"/>
      <c r="E41" s="211"/>
      <c r="F41" s="211"/>
      <c r="G41" s="211"/>
      <c r="H41" s="211"/>
      <c r="I41" s="211"/>
      <c r="J41" s="211"/>
    </row>
    <row r="42" spans="1:10" ht="16">
      <c r="A42" s="211"/>
      <c r="B42" s="211"/>
      <c r="C42" s="211"/>
      <c r="D42" s="211"/>
      <c r="E42" s="211"/>
      <c r="F42" s="211"/>
      <c r="G42" s="211"/>
      <c r="H42" s="211"/>
      <c r="I42" s="211"/>
      <c r="J42" s="211"/>
    </row>
    <row r="43" spans="1:10" ht="16">
      <c r="A43" s="211"/>
      <c r="B43" s="211"/>
      <c r="C43" s="211"/>
      <c r="D43" s="211"/>
      <c r="E43" s="211"/>
      <c r="F43" s="211"/>
      <c r="G43" s="211"/>
      <c r="H43" s="211"/>
      <c r="I43" s="211"/>
      <c r="J43" s="211"/>
    </row>
    <row r="44" spans="1:10" ht="16">
      <c r="A44" s="211"/>
      <c r="B44" s="211"/>
      <c r="C44" s="211"/>
      <c r="D44" s="211"/>
      <c r="E44" s="211"/>
      <c r="F44" s="211"/>
      <c r="G44" s="211"/>
      <c r="H44" s="211"/>
      <c r="I44" s="211"/>
      <c r="J44" s="211"/>
    </row>
    <row r="45" spans="1:10" ht="16">
      <c r="A45" s="211"/>
      <c r="B45" s="211"/>
      <c r="C45" s="211"/>
      <c r="D45" s="211"/>
      <c r="E45" s="211"/>
      <c r="F45" s="211"/>
      <c r="G45" s="211"/>
      <c r="H45" s="211"/>
      <c r="I45" s="211"/>
      <c r="J45" s="211"/>
    </row>
    <row r="46" spans="1:10" ht="16">
      <c r="A46" s="211"/>
      <c r="B46" s="211"/>
      <c r="C46" s="211"/>
      <c r="D46" s="211"/>
      <c r="E46" s="211"/>
      <c r="F46" s="211"/>
      <c r="G46" s="211"/>
      <c r="H46" s="211"/>
      <c r="I46" s="211"/>
      <c r="J46" s="211"/>
    </row>
    <row r="47" spans="1:10" ht="16">
      <c r="A47" s="211"/>
      <c r="B47" s="211"/>
      <c r="C47" s="211"/>
      <c r="D47" s="211"/>
      <c r="E47" s="211"/>
      <c r="F47" s="211"/>
      <c r="G47" s="211"/>
      <c r="H47" s="211"/>
      <c r="I47" s="211"/>
      <c r="J47" s="211"/>
    </row>
    <row r="48" spans="1:10" ht="16">
      <c r="A48" s="211"/>
      <c r="B48" s="211"/>
      <c r="C48" s="211"/>
      <c r="D48" s="211"/>
      <c r="E48" s="211"/>
      <c r="F48" s="211"/>
      <c r="G48" s="211"/>
      <c r="H48" s="211"/>
      <c r="I48" s="211"/>
      <c r="J48" s="211"/>
    </row>
    <row r="49" spans="1:10" ht="16">
      <c r="A49" s="211"/>
      <c r="B49" s="211"/>
      <c r="C49" s="211"/>
      <c r="D49" s="211"/>
      <c r="E49" s="211"/>
      <c r="F49" s="211"/>
      <c r="G49" s="211"/>
      <c r="H49" s="211"/>
      <c r="I49" s="211"/>
      <c r="J49" s="211"/>
    </row>
    <row r="50" spans="1:10" ht="16">
      <c r="A50" s="211"/>
      <c r="B50" s="211"/>
      <c r="C50" s="211"/>
      <c r="D50" s="211"/>
      <c r="E50" s="211"/>
      <c r="F50" s="211"/>
      <c r="G50" s="211"/>
      <c r="H50" s="211"/>
      <c r="I50" s="211"/>
      <c r="J50" s="211"/>
    </row>
    <row r="51" spans="1:10" ht="16">
      <c r="A51" s="211"/>
      <c r="B51" s="211"/>
      <c r="C51" s="211"/>
      <c r="D51" s="211"/>
      <c r="E51" s="211"/>
      <c r="F51" s="211"/>
      <c r="G51" s="211"/>
      <c r="H51" s="211"/>
      <c r="I51" s="211"/>
      <c r="J51" s="211"/>
    </row>
    <row r="52" spans="1:10" ht="16">
      <c r="A52" s="211"/>
      <c r="B52" s="211"/>
      <c r="C52" s="211"/>
      <c r="D52" s="211"/>
      <c r="E52" s="211"/>
      <c r="F52" s="211"/>
      <c r="G52" s="211"/>
      <c r="H52" s="211"/>
      <c r="I52" s="211"/>
      <c r="J52" s="211"/>
    </row>
    <row r="53" spans="1:10" ht="16">
      <c r="A53" s="211"/>
      <c r="B53" s="211"/>
      <c r="C53" s="211"/>
      <c r="D53" s="211"/>
      <c r="E53" s="211"/>
      <c r="F53" s="211"/>
      <c r="G53" s="211"/>
      <c r="H53" s="211"/>
      <c r="I53" s="211"/>
      <c r="J53" s="211"/>
    </row>
    <row r="54" spans="1:10" ht="16">
      <c r="A54" s="211"/>
      <c r="B54" s="211"/>
      <c r="C54" s="211"/>
      <c r="D54" s="211"/>
      <c r="E54" s="211"/>
      <c r="F54" s="211"/>
      <c r="G54" s="211"/>
      <c r="H54" s="211"/>
      <c r="I54" s="211"/>
      <c r="J54" s="211"/>
    </row>
    <row r="55" spans="1:10" ht="16">
      <c r="A55" s="211"/>
      <c r="B55" s="211"/>
      <c r="C55" s="211"/>
      <c r="D55" s="211"/>
      <c r="E55" s="211"/>
      <c r="F55" s="211"/>
      <c r="G55" s="211"/>
      <c r="H55" s="211"/>
      <c r="I55" s="211"/>
      <c r="J55" s="211"/>
    </row>
    <row r="56" spans="1:10" ht="16">
      <c r="A56" s="211"/>
      <c r="B56" s="211"/>
      <c r="C56" s="211"/>
      <c r="D56" s="211"/>
      <c r="E56" s="211"/>
      <c r="F56" s="211"/>
      <c r="G56" s="211"/>
      <c r="H56" s="211"/>
      <c r="I56" s="211"/>
      <c r="J56" s="211"/>
    </row>
  </sheetData>
  <mergeCells count="3">
    <mergeCell ref="B1:D1"/>
    <mergeCell ref="E1:G1"/>
    <mergeCell ref="H1:J1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43"/>
  <sheetViews>
    <sheetView topLeftCell="A31" workbookViewId="0">
      <selection activeCell="M14" sqref="M14"/>
    </sheetView>
  </sheetViews>
  <sheetFormatPr defaultRowHeight="13.5"/>
  <cols>
    <col min="1" max="1" width="23.4609375" customWidth="1"/>
    <col min="2" max="2" width="14.61328125" customWidth="1"/>
    <col min="3" max="3" width="15.4609375" customWidth="1"/>
    <col min="13" max="13" width="11.4609375" customWidth="1"/>
  </cols>
  <sheetData>
    <row r="2" spans="1:6" ht="14">
      <c r="A2" s="25"/>
      <c r="B2" s="25"/>
      <c r="C2" s="25"/>
      <c r="D2" s="25"/>
      <c r="E2" s="25"/>
      <c r="F2" s="25"/>
    </row>
    <row r="9" spans="1:6">
      <c r="A9" s="19" t="s">
        <v>245</v>
      </c>
    </row>
    <row r="10" spans="1:6">
      <c r="A10" s="19"/>
    </row>
    <row r="11" spans="1:6" ht="40.5">
      <c r="A11" s="411" t="s">
        <v>246</v>
      </c>
      <c r="B11" s="203" t="s">
        <v>251</v>
      </c>
      <c r="C11" s="203" t="s">
        <v>247</v>
      </c>
    </row>
    <row r="12" spans="1:6">
      <c r="A12" s="411"/>
      <c r="B12" s="204">
        <v>0.76</v>
      </c>
      <c r="C12" s="205">
        <f>+B12*0.94</f>
        <v>0.71439999999999992</v>
      </c>
    </row>
    <row r="43" spans="1:1">
      <c r="A43" s="19" t="s">
        <v>146</v>
      </c>
    </row>
  </sheetData>
  <mergeCells count="1">
    <mergeCell ref="A11:A12"/>
  </mergeCells>
  <hyperlinks>
    <hyperlink ref="A43" r:id="rId1" xr:uid="{00000000-0004-0000-0300-000000000000}"/>
    <hyperlink ref="A9" r:id="rId2" xr:uid="{00000000-0004-0000-0300-000001000000}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B584E-133E-4252-8A9B-D2B45D452D30}">
  <dimension ref="A1:P25"/>
  <sheetViews>
    <sheetView showGridLines="0" zoomScaleNormal="100" workbookViewId="0">
      <selection activeCell="P4" sqref="P4"/>
    </sheetView>
  </sheetViews>
  <sheetFormatPr defaultColWidth="9.23046875" defaultRowHeight="14.5"/>
  <cols>
    <col min="1" max="1" width="14.61328125" style="283" customWidth="1"/>
    <col min="2" max="14" width="9.23046875" style="283"/>
    <col min="15" max="15" width="9.15234375" style="283" bestFit="1" customWidth="1"/>
    <col min="16" max="16" width="11.84375" style="283" customWidth="1"/>
    <col min="17" max="16384" width="9.23046875" style="283"/>
  </cols>
  <sheetData>
    <row r="1" spans="1:16" ht="18.5">
      <c r="A1" s="412" t="s">
        <v>298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</row>
    <row r="3" spans="1:16">
      <c r="A3" s="284">
        <v>2022</v>
      </c>
      <c r="B3" s="285" t="s">
        <v>0</v>
      </c>
      <c r="C3" s="308" t="s">
        <v>277</v>
      </c>
      <c r="D3" s="286" t="s">
        <v>278</v>
      </c>
      <c r="E3" s="286" t="s">
        <v>261</v>
      </c>
      <c r="F3" s="286" t="s">
        <v>262</v>
      </c>
      <c r="G3" s="286" t="s">
        <v>263</v>
      </c>
      <c r="H3" s="286" t="s">
        <v>279</v>
      </c>
      <c r="I3" s="286" t="s">
        <v>265</v>
      </c>
      <c r="J3" s="286" t="s">
        <v>280</v>
      </c>
      <c r="K3" s="286" t="s">
        <v>267</v>
      </c>
      <c r="L3" s="286" t="s">
        <v>281</v>
      </c>
      <c r="M3" s="286" t="s">
        <v>282</v>
      </c>
      <c r="N3" s="286" t="s">
        <v>270</v>
      </c>
      <c r="O3" s="287" t="s">
        <v>233</v>
      </c>
    </row>
    <row r="4" spans="1:16">
      <c r="A4" s="288" t="s">
        <v>299</v>
      </c>
      <c r="B4" s="289" t="s">
        <v>310</v>
      </c>
      <c r="C4" s="290"/>
      <c r="D4" s="290"/>
      <c r="E4" s="290"/>
      <c r="F4" s="290"/>
      <c r="G4" s="290"/>
      <c r="H4" s="290"/>
      <c r="I4" s="290"/>
      <c r="J4" s="290">
        <f>'2022 Biogas'!B12</f>
        <v>193618.3223125361</v>
      </c>
      <c r="K4" s="290">
        <v>620298.89671890764</v>
      </c>
      <c r="L4" s="290">
        <v>507580.57089211419</v>
      </c>
      <c r="M4" s="290">
        <v>668980.78429544845</v>
      </c>
      <c r="N4" s="291">
        <v>663746.53931946692</v>
      </c>
      <c r="O4" s="292">
        <f>SUM(C4:N4)</f>
        <v>2654225.1135384734</v>
      </c>
      <c r="P4" s="307">
        <f>O4+O5</f>
        <v>3076832.3492548023</v>
      </c>
    </row>
    <row r="5" spans="1:16">
      <c r="A5" s="288" t="s">
        <v>313</v>
      </c>
      <c r="B5" s="298" t="s">
        <v>310</v>
      </c>
      <c r="C5" s="290"/>
      <c r="D5" s="290"/>
      <c r="E5" s="290"/>
      <c r="F5" s="290"/>
      <c r="G5" s="290"/>
      <c r="H5" s="290"/>
      <c r="I5" s="290"/>
      <c r="J5" s="290">
        <f>'2022 Biogas'!C12</f>
        <v>34953.235716329</v>
      </c>
      <c r="K5" s="290">
        <v>92965</v>
      </c>
      <c r="L5" s="290">
        <v>92965</v>
      </c>
      <c r="M5" s="290">
        <v>98529</v>
      </c>
      <c r="N5" s="291">
        <v>103195</v>
      </c>
      <c r="O5" s="292">
        <f t="shared" ref="O5:O8" si="0">SUM(C5:N5)</f>
        <v>422607.23571632901</v>
      </c>
    </row>
    <row r="6" spans="1:16" ht="29">
      <c r="A6" s="297" t="s">
        <v>306</v>
      </c>
      <c r="B6" s="289"/>
      <c r="C6" s="290"/>
      <c r="D6" s="290"/>
      <c r="E6" s="290"/>
      <c r="F6" s="290"/>
      <c r="G6" s="290"/>
      <c r="H6" s="300"/>
      <c r="I6" s="300"/>
      <c r="J6" s="300">
        <f t="shared" ref="J6:N6" si="1">J4/(J4+J5)</f>
        <v>0.84707968035150316</v>
      </c>
      <c r="K6" s="300">
        <f t="shared" si="1"/>
        <v>0.86966254646050467</v>
      </c>
      <c r="L6" s="300">
        <f t="shared" si="1"/>
        <v>0.8451990914496299</v>
      </c>
      <c r="M6" s="300">
        <f t="shared" si="1"/>
        <v>0.87162508932645499</v>
      </c>
      <c r="N6" s="300">
        <f t="shared" si="1"/>
        <v>0.86544606764738752</v>
      </c>
      <c r="O6" s="292"/>
    </row>
    <row r="7" spans="1:16">
      <c r="A7" s="288" t="s">
        <v>304</v>
      </c>
      <c r="B7" s="289" t="s">
        <v>311</v>
      </c>
      <c r="C7" s="290"/>
      <c r="D7" s="290"/>
      <c r="E7" s="290"/>
      <c r="F7" s="290"/>
      <c r="G7" s="290"/>
      <c r="H7" s="290"/>
      <c r="I7" s="290"/>
      <c r="J7" s="290">
        <f>SUM('2022-Steam'!B2:B10)</f>
        <v>345.31699999999995</v>
      </c>
      <c r="K7" s="290">
        <v>1044.923</v>
      </c>
      <c r="L7" s="290">
        <v>1147.8200000000002</v>
      </c>
      <c r="M7" s="290">
        <v>1443.6289999999999</v>
      </c>
      <c r="N7" s="291">
        <v>1548.8509999999999</v>
      </c>
      <c r="O7" s="292">
        <f t="shared" si="0"/>
        <v>5530.54</v>
      </c>
    </row>
    <row r="8" spans="1:16">
      <c r="A8" s="288" t="s">
        <v>305</v>
      </c>
      <c r="B8" s="289" t="s">
        <v>312</v>
      </c>
      <c r="C8" s="290"/>
      <c r="D8" s="290"/>
      <c r="E8" s="290"/>
      <c r="F8" s="290"/>
      <c r="G8" s="290"/>
      <c r="H8" s="290"/>
      <c r="I8" s="290"/>
      <c r="J8" s="290">
        <f>257*10/31</f>
        <v>82.903225806451616</v>
      </c>
      <c r="K8" s="290">
        <v>315</v>
      </c>
      <c r="L8" s="290">
        <v>415</v>
      </c>
      <c r="M8" s="290">
        <v>486</v>
      </c>
      <c r="N8" s="291">
        <v>603</v>
      </c>
      <c r="O8" s="292">
        <f t="shared" si="0"/>
        <v>1901.9032258064517</v>
      </c>
    </row>
    <row r="10" spans="1:16">
      <c r="A10" s="284">
        <v>2023</v>
      </c>
      <c r="B10" s="285" t="s">
        <v>0</v>
      </c>
      <c r="C10" s="308" t="s">
        <v>277</v>
      </c>
      <c r="D10" s="286" t="s">
        <v>278</v>
      </c>
      <c r="E10" s="286" t="s">
        <v>261</v>
      </c>
      <c r="F10" s="286" t="s">
        <v>262</v>
      </c>
      <c r="G10" s="286" t="s">
        <v>263</v>
      </c>
      <c r="H10" s="286" t="s">
        <v>279</v>
      </c>
      <c r="I10" s="286" t="s">
        <v>265</v>
      </c>
      <c r="J10" s="286" t="s">
        <v>280</v>
      </c>
      <c r="K10" s="286" t="s">
        <v>267</v>
      </c>
      <c r="L10" s="286" t="s">
        <v>281</v>
      </c>
      <c r="M10" s="286" t="s">
        <v>282</v>
      </c>
      <c r="N10" s="286" t="s">
        <v>270</v>
      </c>
      <c r="O10" s="287" t="s">
        <v>233</v>
      </c>
    </row>
    <row r="11" spans="1:16">
      <c r="A11" s="288" t="s">
        <v>299</v>
      </c>
      <c r="B11" s="289" t="s">
        <v>310</v>
      </c>
      <c r="C11" s="290">
        <v>854359.50697096228</v>
      </c>
      <c r="D11" s="290">
        <v>725830.28301642847</v>
      </c>
      <c r="E11" s="290">
        <v>729094.42049848184</v>
      </c>
      <c r="F11" s="290">
        <v>789794.05621195829</v>
      </c>
      <c r="G11" s="290">
        <v>963514.9719737526</v>
      </c>
      <c r="H11" s="290">
        <v>802871.70308938134</v>
      </c>
      <c r="I11" s="290">
        <v>826130.16571457067</v>
      </c>
      <c r="J11" s="290">
        <v>705117.40635793027</v>
      </c>
      <c r="K11" s="290">
        <v>694280.99708261865</v>
      </c>
      <c r="L11" s="290">
        <v>724224.48573579721</v>
      </c>
      <c r="M11" s="290">
        <v>796568.41060200834</v>
      </c>
      <c r="N11" s="290">
        <v>675864.39038761379</v>
      </c>
      <c r="O11" s="292">
        <f>SUM(C11:N11)</f>
        <v>9287650.7976415027</v>
      </c>
      <c r="P11" s="307">
        <f>O11+O12</f>
        <v>10522852.797641503</v>
      </c>
    </row>
    <row r="12" spans="1:16">
      <c r="A12" s="288" t="s">
        <v>313</v>
      </c>
      <c r="B12" s="298" t="s">
        <v>310</v>
      </c>
      <c r="C12" s="290">
        <v>109266</v>
      </c>
      <c r="D12" s="290">
        <v>108363</v>
      </c>
      <c r="E12" s="290">
        <v>127218</v>
      </c>
      <c r="F12" s="290">
        <v>115557</v>
      </c>
      <c r="G12" s="290">
        <v>112430</v>
      </c>
      <c r="H12" s="290">
        <v>103203</v>
      </c>
      <c r="I12" s="290">
        <v>115903</v>
      </c>
      <c r="J12" s="290">
        <v>117884</v>
      </c>
      <c r="K12" s="290">
        <v>82013</v>
      </c>
      <c r="L12" s="290">
        <v>77311</v>
      </c>
      <c r="M12" s="290">
        <v>82297</v>
      </c>
      <c r="N12" s="290">
        <v>83757</v>
      </c>
      <c r="O12" s="292">
        <f t="shared" ref="O12:O15" si="2">SUM(C12:N12)</f>
        <v>1235202</v>
      </c>
    </row>
    <row r="13" spans="1:16" ht="29">
      <c r="A13" s="299" t="s">
        <v>306</v>
      </c>
      <c r="B13" s="289"/>
      <c r="C13" s="300">
        <f>(C11/(C11+C12))</f>
        <v>0.88660947721956407</v>
      </c>
      <c r="D13" s="300">
        <f t="shared" ref="D13:N13" si="3">(D11/(D11+D12))</f>
        <v>0.87009845055553403</v>
      </c>
      <c r="E13" s="300">
        <f t="shared" si="3"/>
        <v>0.85143506393852952</v>
      </c>
      <c r="F13" s="300">
        <f t="shared" si="3"/>
        <v>0.87236221882426779</v>
      </c>
      <c r="G13" s="300">
        <f t="shared" si="3"/>
        <v>0.89550580844877747</v>
      </c>
      <c r="H13" s="300">
        <f t="shared" si="3"/>
        <v>0.88609879555392534</v>
      </c>
      <c r="I13" s="300">
        <f t="shared" si="3"/>
        <v>0.87696505365383515</v>
      </c>
      <c r="J13" s="300">
        <f t="shared" si="3"/>
        <v>0.85676330673397261</v>
      </c>
      <c r="K13" s="300">
        <f t="shared" si="3"/>
        <v>0.89435316992246228</v>
      </c>
      <c r="L13" s="300">
        <f t="shared" si="3"/>
        <v>0.90354637894911205</v>
      </c>
      <c r="M13" s="300">
        <f t="shared" si="3"/>
        <v>0.90635995112877643</v>
      </c>
      <c r="N13" s="300">
        <f t="shared" si="3"/>
        <v>0.88973849201737054</v>
      </c>
      <c r="O13" s="292"/>
    </row>
    <row r="14" spans="1:16">
      <c r="A14" s="288" t="s">
        <v>304</v>
      </c>
      <c r="B14" s="289" t="s">
        <v>311</v>
      </c>
      <c r="C14" s="290">
        <v>1496</v>
      </c>
      <c r="D14" s="290">
        <v>1363.0839999999998</v>
      </c>
      <c r="E14" s="290">
        <v>1429.769</v>
      </c>
      <c r="F14" s="290">
        <v>1454.086</v>
      </c>
      <c r="G14" s="290">
        <v>1567.3970000000004</v>
      </c>
      <c r="H14" s="290">
        <v>1306.3470000000045</v>
      </c>
      <c r="I14" s="290">
        <v>1499.7329999999995</v>
      </c>
      <c r="J14" s="290">
        <v>1352.9500000000003</v>
      </c>
      <c r="K14" s="290">
        <v>1253.4999999999998</v>
      </c>
      <c r="L14" s="290">
        <v>1340.5659999999998</v>
      </c>
      <c r="M14" s="290">
        <v>1370.884</v>
      </c>
      <c r="N14" s="290">
        <v>1244.71</v>
      </c>
      <c r="O14" s="292">
        <f t="shared" si="2"/>
        <v>16679.026000000009</v>
      </c>
    </row>
    <row r="15" spans="1:16">
      <c r="A15" s="288" t="s">
        <v>305</v>
      </c>
      <c r="B15" s="289" t="s">
        <v>312</v>
      </c>
      <c r="C15" s="290">
        <v>575</v>
      </c>
      <c r="D15" s="290">
        <v>485</v>
      </c>
      <c r="E15" s="290">
        <v>533</v>
      </c>
      <c r="F15" s="290">
        <v>538</v>
      </c>
      <c r="G15" s="290">
        <v>623</v>
      </c>
      <c r="H15" s="290">
        <v>470</v>
      </c>
      <c r="I15" s="290">
        <v>579</v>
      </c>
      <c r="J15" s="290">
        <v>421</v>
      </c>
      <c r="K15" s="290">
        <v>432</v>
      </c>
      <c r="L15" s="290">
        <v>477</v>
      </c>
      <c r="M15" s="290">
        <v>494</v>
      </c>
      <c r="N15" s="290">
        <v>410</v>
      </c>
      <c r="O15" s="292">
        <f t="shared" si="2"/>
        <v>6037</v>
      </c>
    </row>
    <row r="17" spans="1:16">
      <c r="A17" s="284">
        <v>2024</v>
      </c>
      <c r="B17" s="285" t="s">
        <v>0</v>
      </c>
      <c r="C17" s="308" t="s">
        <v>277</v>
      </c>
      <c r="D17" s="286" t="s">
        <v>278</v>
      </c>
      <c r="E17" s="286" t="s">
        <v>261</v>
      </c>
      <c r="F17" s="286" t="s">
        <v>262</v>
      </c>
      <c r="G17" s="286" t="s">
        <v>263</v>
      </c>
      <c r="H17" s="286" t="s">
        <v>279</v>
      </c>
      <c r="I17" s="286" t="s">
        <v>265</v>
      </c>
      <c r="J17" s="286" t="s">
        <v>280</v>
      </c>
      <c r="K17" s="286" t="s">
        <v>267</v>
      </c>
      <c r="L17" s="286" t="s">
        <v>281</v>
      </c>
      <c r="M17" s="286" t="s">
        <v>282</v>
      </c>
      <c r="N17" s="286" t="s">
        <v>270</v>
      </c>
      <c r="O17" s="287" t="s">
        <v>233</v>
      </c>
    </row>
    <row r="18" spans="1:16">
      <c r="A18" s="288" t="s">
        <v>299</v>
      </c>
      <c r="B18" s="289" t="s">
        <v>310</v>
      </c>
      <c r="C18" s="290">
        <v>787855.84920543863</v>
      </c>
      <c r="D18" s="290">
        <v>859121.82114741253</v>
      </c>
      <c r="E18" s="290">
        <v>622431.76064361283</v>
      </c>
      <c r="F18" s="290">
        <v>807085.60490307736</v>
      </c>
      <c r="G18" s="290">
        <v>792552.72390584985</v>
      </c>
      <c r="H18" s="290"/>
      <c r="I18" s="290"/>
      <c r="J18" s="290"/>
      <c r="K18" s="290"/>
      <c r="L18" s="290"/>
      <c r="M18" s="290"/>
      <c r="N18" s="290"/>
      <c r="O18" s="292">
        <f>SUM(C18:N18)</f>
        <v>3869047.7598053906</v>
      </c>
      <c r="P18" s="307">
        <f>O18+O19</f>
        <v>4377739.7598053906</v>
      </c>
    </row>
    <row r="19" spans="1:16">
      <c r="A19" s="288" t="s">
        <v>313</v>
      </c>
      <c r="B19" s="298" t="s">
        <v>310</v>
      </c>
      <c r="C19" s="290">
        <v>100543</v>
      </c>
      <c r="D19" s="290">
        <v>85969</v>
      </c>
      <c r="E19" s="290">
        <v>103429</v>
      </c>
      <c r="F19" s="290">
        <v>104675</v>
      </c>
      <c r="G19" s="290">
        <v>114076</v>
      </c>
      <c r="H19" s="290"/>
      <c r="I19" s="290"/>
      <c r="J19" s="290"/>
      <c r="K19" s="290"/>
      <c r="L19" s="290"/>
      <c r="M19" s="290"/>
      <c r="N19" s="290"/>
      <c r="O19" s="292">
        <f t="shared" ref="O19:O22" si="4">SUM(C19:N19)</f>
        <v>508692</v>
      </c>
    </row>
    <row r="20" spans="1:16" ht="29">
      <c r="A20" s="299" t="s">
        <v>306</v>
      </c>
      <c r="B20" s="289"/>
      <c r="C20" s="300">
        <f>(C18/(C18+C19))</f>
        <v>0.88682673318417382</v>
      </c>
      <c r="D20" s="300">
        <f t="shared" ref="D20:G20" si="5">(D18/(D18+D19))</f>
        <v>0.90903625548322742</v>
      </c>
      <c r="E20" s="300">
        <f t="shared" si="5"/>
        <v>0.85750848426041015</v>
      </c>
      <c r="F20" s="300">
        <f t="shared" si="5"/>
        <v>0.8851946449132585</v>
      </c>
      <c r="G20" s="300">
        <f t="shared" si="5"/>
        <v>0.8741756167744732</v>
      </c>
      <c r="H20" s="300"/>
      <c r="I20" s="290"/>
      <c r="J20" s="290"/>
      <c r="K20" s="290"/>
      <c r="L20" s="290"/>
      <c r="M20" s="290"/>
      <c r="N20" s="290"/>
      <c r="O20" s="292"/>
    </row>
    <row r="21" spans="1:16">
      <c r="A21" s="288" t="s">
        <v>304</v>
      </c>
      <c r="B21" s="289" t="s">
        <v>311</v>
      </c>
      <c r="C21" s="290">
        <v>1466.6729999999998</v>
      </c>
      <c r="D21" s="290">
        <v>1483.0940000000003</v>
      </c>
      <c r="E21" s="290">
        <v>967.60900000000015</v>
      </c>
      <c r="F21" s="290">
        <v>1317.1319999999998</v>
      </c>
      <c r="G21" s="290">
        <v>1491.8349999999996</v>
      </c>
      <c r="H21" s="290"/>
      <c r="I21" s="290"/>
      <c r="J21" s="290"/>
      <c r="K21" s="290"/>
      <c r="L21" s="290"/>
      <c r="M21" s="290"/>
      <c r="N21" s="290"/>
      <c r="O21" s="292">
        <f t="shared" si="4"/>
        <v>6726.3429999999989</v>
      </c>
    </row>
    <row r="22" spans="1:16">
      <c r="A22" s="288" t="s">
        <v>305</v>
      </c>
      <c r="B22" s="289" t="s">
        <v>312</v>
      </c>
      <c r="C22" s="290">
        <v>473</v>
      </c>
      <c r="D22" s="290">
        <v>382</v>
      </c>
      <c r="E22" s="290">
        <v>341</v>
      </c>
      <c r="F22" s="290">
        <v>332</v>
      </c>
      <c r="G22" s="290">
        <v>235</v>
      </c>
      <c r="H22" s="290"/>
      <c r="I22" s="290"/>
      <c r="J22" s="290"/>
      <c r="K22" s="290"/>
      <c r="L22" s="290"/>
      <c r="M22" s="290"/>
      <c r="N22" s="290"/>
      <c r="O22" s="292">
        <f t="shared" si="4"/>
        <v>1763</v>
      </c>
    </row>
    <row r="25" spans="1:16">
      <c r="O25" s="307"/>
    </row>
  </sheetData>
  <mergeCells count="1">
    <mergeCell ref="A1:O1"/>
  </mergeCells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A9AC8-8B3D-4B03-84A5-F524108088A6}">
  <dimension ref="A1:G138"/>
  <sheetViews>
    <sheetView showGridLines="0" zoomScaleNormal="100" workbookViewId="0">
      <selection activeCell="D1" sqref="D1"/>
    </sheetView>
  </sheetViews>
  <sheetFormatPr defaultColWidth="9.23046875" defaultRowHeight="14.5"/>
  <cols>
    <col min="1" max="1" width="17.3828125" style="283" customWidth="1"/>
    <col min="2" max="4" width="11.84375" style="324" customWidth="1"/>
    <col min="5" max="10" width="7.84375" style="283" customWidth="1"/>
    <col min="11" max="16384" width="9.23046875" style="283"/>
  </cols>
  <sheetData>
    <row r="1" spans="1:7" ht="34.5">
      <c r="A1" s="317" t="s">
        <v>322</v>
      </c>
      <c r="B1" s="317" t="s">
        <v>323</v>
      </c>
      <c r="C1" s="357" t="s">
        <v>324</v>
      </c>
      <c r="D1" s="357" t="s">
        <v>362</v>
      </c>
      <c r="E1" s="318" t="s">
        <v>325</v>
      </c>
      <c r="F1" s="319" t="s">
        <v>327</v>
      </c>
    </row>
    <row r="2" spans="1:7">
      <c r="A2" s="320">
        <v>43333</v>
      </c>
      <c r="B2" s="321">
        <v>15735.532231253612</v>
      </c>
      <c r="C2" s="321">
        <v>2931.9430361692071</v>
      </c>
      <c r="D2" s="321">
        <v>18667.475267422818</v>
      </c>
      <c r="E2" s="288">
        <v>61.02</v>
      </c>
      <c r="F2" s="326">
        <f>B2*(E2/100)*'Project Emission-2'!$D$15/1000</f>
        <v>35.836653604032009</v>
      </c>
      <c r="G2" s="307"/>
    </row>
    <row r="3" spans="1:7">
      <c r="A3" s="320">
        <f t="shared" ref="A3:A46" si="0">A2+1</f>
        <v>43334</v>
      </c>
      <c r="B3" s="321">
        <v>23024.532231253612</v>
      </c>
      <c r="C3" s="321">
        <v>3530.0035090447873</v>
      </c>
      <c r="D3" s="321">
        <v>26554.535740298401</v>
      </c>
      <c r="E3" s="288">
        <v>60.57</v>
      </c>
      <c r="F3" s="326">
        <f>B3*(E3/100)*'Project Emission-2'!$D$15/1000</f>
        <v>52.050175491785524</v>
      </c>
      <c r="G3" s="307"/>
    </row>
    <row r="4" spans="1:7">
      <c r="A4" s="320">
        <f t="shared" si="0"/>
        <v>43335</v>
      </c>
      <c r="B4" s="321">
        <v>23260.532231253612</v>
      </c>
      <c r="C4" s="321">
        <v>3384.988845889337</v>
      </c>
      <c r="D4" s="321">
        <v>26645.521077142948</v>
      </c>
      <c r="E4" s="288">
        <v>61.08</v>
      </c>
      <c r="F4" s="326">
        <f>B4*(E4/100)*'Project Emission-2'!$D$15/1000</f>
        <v>53.026441661730786</v>
      </c>
      <c r="G4" s="307"/>
    </row>
    <row r="5" spans="1:7">
      <c r="A5" s="320">
        <f t="shared" si="0"/>
        <v>43336</v>
      </c>
      <c r="B5" s="321">
        <v>21335.532231253612</v>
      </c>
      <c r="C5" s="321">
        <v>3393.9897560162271</v>
      </c>
      <c r="D5" s="321">
        <v>24729.52198726984</v>
      </c>
      <c r="E5" s="288">
        <v>60.32</v>
      </c>
      <c r="F5" s="326">
        <f>B5*(E5/100)*'Project Emission-2'!$D$15/1000</f>
        <v>48.032879492482657</v>
      </c>
      <c r="G5" s="307"/>
    </row>
    <row r="6" spans="1:7">
      <c r="A6" s="320">
        <f t="shared" si="0"/>
        <v>43337</v>
      </c>
      <c r="B6" s="321">
        <v>19990.532231253612</v>
      </c>
      <c r="C6" s="413">
        <v>3109.196651660377</v>
      </c>
      <c r="D6" s="356">
        <v>23099.728882913987</v>
      </c>
      <c r="E6" s="288">
        <v>63.37</v>
      </c>
      <c r="F6" s="326">
        <f>B6*(E6/100)*'Project Emission-2'!$D$15/1000</f>
        <v>47.280479548693414</v>
      </c>
      <c r="G6" s="307"/>
    </row>
    <row r="7" spans="1:7">
      <c r="A7" s="320">
        <f t="shared" si="0"/>
        <v>43338</v>
      </c>
      <c r="B7" s="321">
        <v>19845.532231253612</v>
      </c>
      <c r="C7" s="321">
        <v>3603.0108911851171</v>
      </c>
      <c r="D7" s="321">
        <v>23448.543122438728</v>
      </c>
      <c r="E7" s="288">
        <v>62.13</v>
      </c>
      <c r="F7" s="326">
        <f>B7*(E7/100)*'Project Emission-2'!$D$15/1000</f>
        <v>46.019077960513428</v>
      </c>
      <c r="G7" s="307"/>
    </row>
    <row r="8" spans="1:7">
      <c r="A8" s="320">
        <f t="shared" si="0"/>
        <v>43339</v>
      </c>
      <c r="B8" s="321">
        <v>14046.532231253612</v>
      </c>
      <c r="C8" s="321">
        <v>2791.928878639807</v>
      </c>
      <c r="D8" s="321">
        <v>16838.461109893418</v>
      </c>
      <c r="E8" s="288">
        <v>62.2</v>
      </c>
      <c r="F8" s="326">
        <f>B8*(E8/100)*'Project Emission-2'!$D$15/1000</f>
        <v>32.608687095506575</v>
      </c>
      <c r="G8" s="307"/>
    </row>
    <row r="9" spans="1:7">
      <c r="A9" s="320">
        <f t="shared" si="0"/>
        <v>43340</v>
      </c>
      <c r="B9" s="321">
        <v>18606.532231253612</v>
      </c>
      <c r="C9" s="321">
        <v>3981.0491165144972</v>
      </c>
      <c r="D9" s="321">
        <v>22587.581347768108</v>
      </c>
      <c r="E9" s="288">
        <v>56.73</v>
      </c>
      <c r="F9" s="326">
        <f>B9*(E9/100)*'Project Emission-2'!$D$15/1000</f>
        <v>39.39599120449359</v>
      </c>
      <c r="G9" s="307"/>
    </row>
    <row r="10" spans="1:7">
      <c r="A10" s="320">
        <f t="shared" si="0"/>
        <v>43341</v>
      </c>
      <c r="B10" s="321">
        <v>18640.532231253612</v>
      </c>
      <c r="C10" s="321">
        <v>4306.0819822077474</v>
      </c>
      <c r="D10" s="321">
        <v>22946.614213461358</v>
      </c>
      <c r="E10" s="288">
        <v>61.54</v>
      </c>
      <c r="F10" s="326">
        <f>B10*(E10/100)*'Project Emission-2'!$D$15/1000</f>
        <v>42.814375028065591</v>
      </c>
      <c r="G10" s="307"/>
    </row>
    <row r="11" spans="1:7">
      <c r="A11" s="320">
        <f t="shared" si="0"/>
        <v>43342</v>
      </c>
      <c r="B11" s="321">
        <v>19132.532231253612</v>
      </c>
      <c r="C11" s="321">
        <v>3921.0430490018971</v>
      </c>
      <c r="D11" s="321">
        <v>23053.575280255507</v>
      </c>
      <c r="E11" s="288">
        <v>60.92</v>
      </c>
      <c r="F11" s="326">
        <f>B11*(E11/100)*'Project Emission-2'!$D$15/1000</f>
        <v>43.501692778162052</v>
      </c>
      <c r="G11" s="307"/>
    </row>
    <row r="12" spans="1:7">
      <c r="A12" s="317" t="s">
        <v>321</v>
      </c>
      <c r="B12" s="322">
        <f>SUM(B2:B11)</f>
        <v>193618.3223125361</v>
      </c>
      <c r="C12" s="322">
        <f>SUM(C2:C11)</f>
        <v>34953.235716329</v>
      </c>
      <c r="D12" s="322">
        <v>228571.55802886508</v>
      </c>
      <c r="E12" s="323">
        <f>AVERAGE(E2:E11)</f>
        <v>60.988</v>
      </c>
      <c r="F12" s="327">
        <f>SUM(F2:F11)</f>
        <v>440.56645386546569</v>
      </c>
      <c r="G12" s="307"/>
    </row>
    <row r="13" spans="1:7">
      <c r="A13" s="320">
        <f>A11+1</f>
        <v>43343</v>
      </c>
      <c r="B13" s="321">
        <v>19463.563223963596</v>
      </c>
      <c r="C13" s="321">
        <v>4021.0932542978212</v>
      </c>
      <c r="D13" s="321">
        <v>23484.656478261419</v>
      </c>
      <c r="E13" s="288">
        <v>58.99</v>
      </c>
      <c r="F13" s="326">
        <f>B13*(E13/100)*'Project Emission-2'!$D$15/1000</f>
        <v>42.852341277335327</v>
      </c>
      <c r="G13" s="307"/>
    </row>
    <row r="14" spans="1:7">
      <c r="A14" s="320">
        <f t="shared" si="0"/>
        <v>43344</v>
      </c>
      <c r="B14" s="321">
        <v>20870.563223963596</v>
      </c>
      <c r="C14" s="321">
        <v>3673.0580627247409</v>
      </c>
      <c r="D14" s="321">
        <v>24543.621286688336</v>
      </c>
      <c r="E14" s="288">
        <v>61.68</v>
      </c>
      <c r="F14" s="326">
        <f>B14*(E14/100)*'Project Emission-2'!$D$15/1000</f>
        <v>48.045458587886422</v>
      </c>
      <c r="G14" s="307"/>
    </row>
    <row r="15" spans="1:7">
      <c r="A15" s="320">
        <f t="shared" si="0"/>
        <v>43345</v>
      </c>
      <c r="B15" s="321">
        <v>20908.563223963596</v>
      </c>
      <c r="C15" s="321">
        <v>3554.0460288247509</v>
      </c>
      <c r="D15" s="321">
        <v>24462.609252788348</v>
      </c>
      <c r="E15" s="288">
        <v>61.39</v>
      </c>
      <c r="F15" s="326">
        <f>B15*(E15/100)*'Project Emission-2'!$D$15/1000</f>
        <v>47.906631214339285</v>
      </c>
      <c r="G15" s="307"/>
    </row>
    <row r="16" spans="1:7">
      <c r="A16" s="320">
        <f t="shared" si="0"/>
        <v>43346</v>
      </c>
      <c r="B16" s="321">
        <v>19945.563223963596</v>
      </c>
      <c r="C16" s="321">
        <v>2937.9837356953908</v>
      </c>
      <c r="D16" s="321">
        <v>22883.546959658986</v>
      </c>
      <c r="E16" s="288">
        <v>59.84</v>
      </c>
      <c r="F16" s="326">
        <f>B16*(E16/100)*'Project Emission-2'!$D$15/1000</f>
        <v>44.546306199898204</v>
      </c>
      <c r="G16" s="307"/>
    </row>
    <row r="17" spans="1:7">
      <c r="A17" s="320">
        <f t="shared" si="0"/>
        <v>43347</v>
      </c>
      <c r="B17" s="321">
        <v>21899.563223963596</v>
      </c>
      <c r="C17" s="321">
        <v>2663.956027387851</v>
      </c>
      <c r="D17" s="321">
        <v>24563.519251351448</v>
      </c>
      <c r="E17" s="288">
        <v>61.56</v>
      </c>
      <c r="F17" s="326">
        <f>B17*(E17/100)*'Project Emission-2'!$D$15/1000</f>
        <v>50.31620443046009</v>
      </c>
      <c r="G17" s="307"/>
    </row>
    <row r="18" spans="1:7">
      <c r="A18" s="320">
        <f t="shared" si="0"/>
        <v>43348</v>
      </c>
      <c r="B18" s="321">
        <v>22555.563223963596</v>
      </c>
      <c r="C18" s="321">
        <v>3442.0347028012311</v>
      </c>
      <c r="D18" s="321">
        <v>25997.597926764829</v>
      </c>
      <c r="E18" s="288">
        <v>63.64</v>
      </c>
      <c r="F18" s="326">
        <f>B18*(E18/100)*'Project Emission-2'!$D$15/1000</f>
        <v>53.574441923435394</v>
      </c>
      <c r="G18" s="307"/>
    </row>
    <row r="19" spans="1:7">
      <c r="A19" s="320">
        <f t="shared" si="0"/>
        <v>43349</v>
      </c>
      <c r="B19" s="321">
        <v>23525.563223963596</v>
      </c>
      <c r="C19" s="321">
        <v>3495.040062437361</v>
      </c>
      <c r="D19" s="321">
        <v>27020.603286400958</v>
      </c>
      <c r="E19" s="288">
        <v>53.77</v>
      </c>
      <c r="F19" s="326">
        <f>B19*(E19/100)*'Project Emission-2'!$D$15/1000</f>
        <v>47.21216049104364</v>
      </c>
      <c r="G19" s="307"/>
    </row>
    <row r="20" spans="1:7">
      <c r="A20" s="320">
        <f t="shared" si="0"/>
        <v>43350</v>
      </c>
      <c r="B20" s="321">
        <v>28387.563223963596</v>
      </c>
      <c r="C20" s="321">
        <v>3387.0291409146807</v>
      </c>
      <c r="D20" s="321">
        <v>31774.592364878277</v>
      </c>
      <c r="E20" s="288">
        <v>55.19</v>
      </c>
      <c r="F20" s="326">
        <f>B20*(E20/100)*'Project Emission-2'!$D$15/1000</f>
        <v>58.473934536930017</v>
      </c>
      <c r="G20" s="307"/>
    </row>
    <row r="21" spans="1:7">
      <c r="A21" s="320">
        <f t="shared" si="0"/>
        <v>43351</v>
      </c>
      <c r="B21" s="321">
        <v>26511.563223963596</v>
      </c>
      <c r="C21" s="321">
        <v>3042.9943538424409</v>
      </c>
      <c r="D21" s="321">
        <v>29554.557577806037</v>
      </c>
      <c r="E21" s="288">
        <v>58.91</v>
      </c>
      <c r="F21" s="326">
        <f>B21*(E21/100)*'Project Emission-2'!$D$15/1000</f>
        <v>58.290551938214712</v>
      </c>
      <c r="G21" s="307"/>
    </row>
    <row r="22" spans="1:7">
      <c r="A22" s="320">
        <f t="shared" si="0"/>
        <v>43352</v>
      </c>
      <c r="B22" s="321">
        <v>24897.563223963596</v>
      </c>
      <c r="C22" s="321">
        <v>3353.0257026575409</v>
      </c>
      <c r="D22" s="321">
        <v>28250.588926621138</v>
      </c>
      <c r="E22" s="288">
        <v>56.01</v>
      </c>
      <c r="F22" s="326">
        <f>B22*(E22/100)*'Project Emission-2'!$D$15/1000</f>
        <v>52.047062733155343</v>
      </c>
      <c r="G22" s="307"/>
    </row>
    <row r="23" spans="1:7">
      <c r="A23" s="320">
        <f t="shared" si="0"/>
        <v>43353</v>
      </c>
      <c r="B23" s="321">
        <v>14687.563223963594</v>
      </c>
      <c r="C23" s="321">
        <v>1963.8852397408511</v>
      </c>
      <c r="D23" s="321">
        <v>16651.448463704444</v>
      </c>
      <c r="E23" s="288">
        <v>57.34</v>
      </c>
      <c r="F23" s="326">
        <f>B23*(E23/100)*'Project Emission-2'!$D$15/1000</f>
        <v>31.43266806664078</v>
      </c>
      <c r="G23" s="307"/>
    </row>
    <row r="24" spans="1:7">
      <c r="A24" s="320">
        <f t="shared" si="0"/>
        <v>43354</v>
      </c>
      <c r="B24" s="321">
        <v>15328.563223963594</v>
      </c>
      <c r="C24" s="321">
        <v>2116.9007118979807</v>
      </c>
      <c r="D24" s="321">
        <v>17445.463935861575</v>
      </c>
      <c r="E24" s="288">
        <v>56.33</v>
      </c>
      <c r="F24" s="326">
        <f>B24*(E24/100)*'Project Emission-2'!$D$15/1000</f>
        <v>32.226638645210343</v>
      </c>
      <c r="G24" s="307"/>
    </row>
    <row r="25" spans="1:7">
      <c r="A25" s="320">
        <f t="shared" si="0"/>
        <v>43355</v>
      </c>
      <c r="B25" s="321">
        <v>16511.563223963596</v>
      </c>
      <c r="C25" s="321">
        <v>3347.025095906281</v>
      </c>
      <c r="D25" s="321">
        <v>19858.588319869876</v>
      </c>
      <c r="E25" s="288">
        <v>55.68</v>
      </c>
      <c r="F25" s="326">
        <f>B25*(E25/100)*'Project Emission-2'!$D$15/1000</f>
        <v>34.313200431144097</v>
      </c>
      <c r="G25" s="307"/>
    </row>
    <row r="26" spans="1:7">
      <c r="A26" s="320">
        <f t="shared" si="0"/>
        <v>43356</v>
      </c>
      <c r="B26" s="321">
        <v>18321.563223963596</v>
      </c>
      <c r="C26" s="321">
        <v>3379.0283319130008</v>
      </c>
      <c r="D26" s="321">
        <v>21700.591555876596</v>
      </c>
      <c r="E26" s="288">
        <v>53.42</v>
      </c>
      <c r="F26" s="326">
        <f>B26*(E26/100)*'Project Emission-2'!$D$15/1000</f>
        <v>36.529204776716206</v>
      </c>
      <c r="G26" s="307"/>
    </row>
    <row r="27" spans="1:7">
      <c r="A27" s="320">
        <f t="shared" si="0"/>
        <v>43357</v>
      </c>
      <c r="B27" s="321">
        <v>15693.563223963594</v>
      </c>
      <c r="C27" s="321">
        <v>3383.0287364138408</v>
      </c>
      <c r="D27" s="321">
        <v>19076.591960377435</v>
      </c>
      <c r="E27" s="288">
        <v>54.79</v>
      </c>
      <c r="F27" s="326">
        <f>B27*(E27/100)*'Project Emission-2'!$D$15/1000</f>
        <v>32.091991644145935</v>
      </c>
      <c r="G27" s="307"/>
    </row>
    <row r="28" spans="1:7">
      <c r="A28" s="320">
        <f t="shared" si="0"/>
        <v>43358</v>
      </c>
      <c r="B28" s="321">
        <v>20912.563223963596</v>
      </c>
      <c r="C28" s="321">
        <v>2529.9424766097109</v>
      </c>
      <c r="D28" s="321">
        <v>23442.505700573307</v>
      </c>
      <c r="E28" s="288">
        <v>58.79</v>
      </c>
      <c r="F28" s="326">
        <f>B28*(E28/100)*'Project Emission-2'!$D$15/1000</f>
        <v>45.886458025016701</v>
      </c>
      <c r="G28" s="307"/>
    </row>
    <row r="29" spans="1:7">
      <c r="A29" s="320">
        <f t="shared" si="0"/>
        <v>43359</v>
      </c>
      <c r="B29" s="321">
        <v>22617.563223963596</v>
      </c>
      <c r="C29" s="321">
        <v>3091.9993089777308</v>
      </c>
      <c r="D29" s="321">
        <v>25709.562532941327</v>
      </c>
      <c r="E29" s="288">
        <v>60.82</v>
      </c>
      <c r="F29" s="326">
        <f>B29*(E29/100)*'Project Emission-2'!$D$15/1000</f>
        <v>51.341202627550679</v>
      </c>
      <c r="G29" s="307"/>
    </row>
    <row r="30" spans="1:7">
      <c r="A30" s="320">
        <f t="shared" si="0"/>
        <v>43360</v>
      </c>
      <c r="B30" s="321">
        <v>22205.563223963596</v>
      </c>
      <c r="C30" s="356">
        <v>3138.2396770663909</v>
      </c>
      <c r="D30" s="356">
        <v>25343.802901029987</v>
      </c>
      <c r="E30" s="288">
        <v>59.39</v>
      </c>
      <c r="F30" s="326">
        <f>B30*(E30/100)*'Project Emission-2'!$D$15/1000</f>
        <v>49.220829346274208</v>
      </c>
      <c r="G30" s="307"/>
    </row>
    <row r="31" spans="1:7">
      <c r="A31" s="320">
        <f t="shared" si="0"/>
        <v>43361</v>
      </c>
      <c r="B31" s="321">
        <v>22792.563223963596</v>
      </c>
      <c r="C31" s="321">
        <v>2929.9829266937109</v>
      </c>
      <c r="D31" s="321">
        <v>25722.546150657308</v>
      </c>
      <c r="E31" s="288">
        <v>59.69</v>
      </c>
      <c r="F31" s="326">
        <f>B31*(E31/100)*'Project Emission-2'!$D$15/1000</f>
        <v>50.777177405489375</v>
      </c>
      <c r="G31" s="307"/>
    </row>
    <row r="32" spans="1:7">
      <c r="A32" s="320">
        <f t="shared" si="0"/>
        <v>43362</v>
      </c>
      <c r="B32" s="321">
        <v>16359.563223963594</v>
      </c>
      <c r="C32" s="321">
        <v>3241.0143766340211</v>
      </c>
      <c r="D32" s="321">
        <v>19600.577600597615</v>
      </c>
      <c r="E32" s="288">
        <v>56.49</v>
      </c>
      <c r="F32" s="326">
        <f>B32*(E32/100)*'Project Emission-2'!$D$15/1000</f>
        <v>34.491897582380965</v>
      </c>
      <c r="G32" s="307"/>
    </row>
    <row r="33" spans="1:7">
      <c r="A33" s="320">
        <f t="shared" si="0"/>
        <v>43363</v>
      </c>
      <c r="B33" s="321">
        <v>24169.563223963596</v>
      </c>
      <c r="C33" s="321">
        <v>3174.0076012449508</v>
      </c>
      <c r="D33" s="321">
        <v>27343.570825208546</v>
      </c>
      <c r="E33" s="288">
        <v>57.06</v>
      </c>
      <c r="F33" s="326">
        <f>B33*(E33/100)*'Project Emission-2'!$D$15/1000</f>
        <v>51.472395216866282</v>
      </c>
      <c r="G33" s="307"/>
    </row>
    <row r="34" spans="1:7">
      <c r="A34" s="320">
        <f t="shared" si="0"/>
        <v>43364</v>
      </c>
      <c r="B34" s="321">
        <v>16770.563223963596</v>
      </c>
      <c r="C34" s="321">
        <v>3276.0179160163711</v>
      </c>
      <c r="D34" s="321">
        <v>20046.581139979968</v>
      </c>
      <c r="E34" s="288">
        <v>58.09</v>
      </c>
      <c r="F34" s="326">
        <f>B34*(E34/100)*'Project Emission-2'!$D$15/1000</f>
        <v>36.35991283037427</v>
      </c>
      <c r="G34" s="307"/>
    </row>
    <row r="35" spans="1:7">
      <c r="A35" s="320">
        <f t="shared" si="0"/>
        <v>43365</v>
      </c>
      <c r="B35" s="321">
        <v>22126.563223963596</v>
      </c>
      <c r="C35" s="321">
        <v>3426.0330847978707</v>
      </c>
      <c r="D35" s="321">
        <v>25552.596308761465</v>
      </c>
      <c r="E35" s="288">
        <v>58.78</v>
      </c>
      <c r="F35" s="326">
        <f>B35*(E35/100)*'Project Emission-2'!$D$15/1000</f>
        <v>48.541965069922519</v>
      </c>
      <c r="G35" s="307"/>
    </row>
    <row r="36" spans="1:7">
      <c r="A36" s="320">
        <f t="shared" si="0"/>
        <v>43366</v>
      </c>
      <c r="B36" s="321">
        <v>22735.563223963596</v>
      </c>
      <c r="C36" s="321">
        <v>3248.0150845104909</v>
      </c>
      <c r="D36" s="321">
        <v>25983.578308474087</v>
      </c>
      <c r="E36" s="288">
        <v>56.45</v>
      </c>
      <c r="F36" s="326">
        <f>B36*(E36/100)*'Project Emission-2'!$D$15/1000</f>
        <v>47.900877823309436</v>
      </c>
      <c r="G36" s="307"/>
    </row>
    <row r="37" spans="1:7">
      <c r="A37" s="320">
        <f t="shared" si="0"/>
        <v>43367</v>
      </c>
      <c r="B37" s="321">
        <v>14950.563223963594</v>
      </c>
      <c r="C37" s="321">
        <v>3252.0154890113308</v>
      </c>
      <c r="D37" s="321">
        <v>18202.578712974926</v>
      </c>
      <c r="E37" s="288">
        <v>52.49</v>
      </c>
      <c r="F37" s="326">
        <f>B37*(E37/100)*'Project Emission-2'!$D$15/1000</f>
        <v>29.289228711084345</v>
      </c>
      <c r="G37" s="307"/>
    </row>
    <row r="38" spans="1:7">
      <c r="A38" s="320">
        <f t="shared" si="0"/>
        <v>43368</v>
      </c>
      <c r="B38" s="321">
        <v>21987.563223963596</v>
      </c>
      <c r="C38" s="321">
        <v>2969.9869717021111</v>
      </c>
      <c r="D38" s="321">
        <v>24957.550195665706</v>
      </c>
      <c r="E38" s="288">
        <v>53.32</v>
      </c>
      <c r="F38" s="326">
        <f>B38*(E38/100)*'Project Emission-2'!$D$15/1000</f>
        <v>43.756346285464382</v>
      </c>
      <c r="G38" s="307"/>
    </row>
    <row r="39" spans="1:7">
      <c r="A39" s="320">
        <f t="shared" si="0"/>
        <v>43369</v>
      </c>
      <c r="B39" s="321">
        <v>24229.563223963596</v>
      </c>
      <c r="C39" s="321">
        <v>3035.9936459659712</v>
      </c>
      <c r="D39" s="321">
        <v>27265.556869929569</v>
      </c>
      <c r="E39" s="288">
        <v>52.37</v>
      </c>
      <c r="F39" s="326">
        <f>B39*(E39/100)*'Project Emission-2'!$D$15/1000</f>
        <v>47.358939410652759</v>
      </c>
      <c r="G39" s="307"/>
    </row>
    <row r="40" spans="1:7">
      <c r="A40" s="320">
        <f t="shared" si="0"/>
        <v>43370</v>
      </c>
      <c r="B40" s="321">
        <v>24216.563223963596</v>
      </c>
      <c r="C40" s="321">
        <v>2898.9797918122008</v>
      </c>
      <c r="D40" s="321">
        <v>27115.543015775798</v>
      </c>
      <c r="E40" s="288">
        <v>54.7</v>
      </c>
      <c r="F40" s="326">
        <f>B40*(E40/100)*'Project Emission-2'!$D$15/1000</f>
        <v>49.439451490190827</v>
      </c>
      <c r="G40" s="307"/>
    </row>
    <row r="41" spans="1:7">
      <c r="A41" s="320">
        <f t="shared" si="0"/>
        <v>43371</v>
      </c>
      <c r="B41" s="321">
        <v>16241.563223963594</v>
      </c>
      <c r="C41" s="321">
        <v>2464.935903471061</v>
      </c>
      <c r="D41" s="321">
        <v>18706.499127434654</v>
      </c>
      <c r="E41" s="288">
        <v>49.64</v>
      </c>
      <c r="F41" s="326">
        <f>B41*(E41/100)*'Project Emission-2'!$D$15/1000</f>
        <v>30.09077744072717</v>
      </c>
      <c r="G41" s="307"/>
    </row>
    <row r="42" spans="1:7">
      <c r="A42" s="320">
        <f t="shared" si="0"/>
        <v>43372</v>
      </c>
      <c r="B42" s="321">
        <v>18474.563223963596</v>
      </c>
      <c r="C42" s="321">
        <v>2527.9422743592909</v>
      </c>
      <c r="D42" s="321">
        <v>21002.505498322887</v>
      </c>
      <c r="E42" s="288">
        <v>49.42</v>
      </c>
      <c r="F42" s="326">
        <f>B42*(E42/100)*'Project Emission-2'!$D$15/1000</f>
        <v>34.076166321549415</v>
      </c>
      <c r="G42" s="307"/>
    </row>
    <row r="43" spans="1:7">
      <c r="A43" s="317" t="s">
        <v>321</v>
      </c>
      <c r="B43" s="322">
        <f>SUM(B13:B42)</f>
        <v>620298.89671890798</v>
      </c>
      <c r="C43" s="322">
        <f>SUM(C13:C42)</f>
        <v>92965.235716328971</v>
      </c>
      <c r="D43" s="322">
        <v>713264.13243523694</v>
      </c>
      <c r="E43" s="323">
        <f>AVERAGE(E13:E42)</f>
        <v>56.868000000000002</v>
      </c>
      <c r="F43" s="327">
        <f>SUM(F13:F42)</f>
        <v>1319.8624224834091</v>
      </c>
      <c r="G43" s="307"/>
    </row>
    <row r="44" spans="1:7">
      <c r="A44" s="320">
        <f>A42+1</f>
        <v>43373</v>
      </c>
      <c r="B44" s="321">
        <v>15738.857125552084</v>
      </c>
      <c r="C44" s="321">
        <v>2439.3305188502518</v>
      </c>
      <c r="D44" s="321">
        <v>18178.187644402336</v>
      </c>
      <c r="E44" s="288">
        <v>56.58</v>
      </c>
      <c r="F44" s="326">
        <f>B44*(E44/100)*'Project Emission-2'!$D$15/1000</f>
        <v>33.236091408507413</v>
      </c>
      <c r="G44" s="307"/>
    </row>
    <row r="45" spans="1:7">
      <c r="A45" s="320">
        <f t="shared" si="0"/>
        <v>43374</v>
      </c>
      <c r="B45" s="321">
        <v>9454.8571255520837</v>
      </c>
      <c r="C45" s="321">
        <v>2473.3339571073921</v>
      </c>
      <c r="D45" s="321">
        <v>11928.191082659476</v>
      </c>
      <c r="E45" s="288">
        <v>55.24</v>
      </c>
      <c r="F45" s="326">
        <f>B45*(E45/100)*'Project Emission-2'!$D$15/1000</f>
        <v>19.493169047853939</v>
      </c>
      <c r="G45" s="307"/>
    </row>
    <row r="46" spans="1:7">
      <c r="A46" s="320">
        <f t="shared" si="0"/>
        <v>43375</v>
      </c>
      <c r="B46" s="321">
        <v>10402.857125552084</v>
      </c>
      <c r="C46" s="321">
        <v>1822.2681245956817</v>
      </c>
      <c r="D46" s="321">
        <v>12225.125250147765</v>
      </c>
      <c r="E46" s="288">
        <v>56.21</v>
      </c>
      <c r="F46" s="326">
        <f>B46*(E46/100)*'Project Emission-2'!$D$15/1000</f>
        <v>21.824285171668503</v>
      </c>
      <c r="G46" s="307"/>
    </row>
    <row r="47" spans="1:7">
      <c r="A47" s="320">
        <f t="shared" ref="A47:A110" si="1">A46+1</f>
        <v>43376</v>
      </c>
      <c r="B47" s="321">
        <v>15154.857125552084</v>
      </c>
      <c r="C47" s="321">
        <v>2564.3431595015018</v>
      </c>
      <c r="D47" s="321">
        <v>17719.200285053586</v>
      </c>
      <c r="E47" s="288">
        <v>56.77</v>
      </c>
      <c r="F47" s="326">
        <f>B47*(E47/100)*'Project Emission-2'!$D$15/1000</f>
        <v>32.110313761770172</v>
      </c>
      <c r="G47" s="307"/>
    </row>
    <row r="48" spans="1:7">
      <c r="A48" s="320">
        <f t="shared" si="1"/>
        <v>43377</v>
      </c>
      <c r="B48" s="321">
        <v>16537.857125552084</v>
      </c>
      <c r="C48" s="321">
        <v>2844.371474560302</v>
      </c>
      <c r="D48" s="321">
        <v>19382.228600112387</v>
      </c>
      <c r="E48" s="288">
        <v>57.89</v>
      </c>
      <c r="F48" s="326">
        <f>B48*(E48/100)*'Project Emission-2'!$D$15/1000</f>
        <v>35.731939819131085</v>
      </c>
      <c r="G48" s="307"/>
    </row>
    <row r="49" spans="1:7">
      <c r="A49" s="320">
        <f t="shared" si="1"/>
        <v>43378</v>
      </c>
      <c r="B49" s="321">
        <v>16541.857125552084</v>
      </c>
      <c r="C49" s="321">
        <v>3167.4041380031317</v>
      </c>
      <c r="D49" s="321">
        <v>19709.261263555214</v>
      </c>
      <c r="E49" s="288">
        <v>55.93</v>
      </c>
      <c r="F49" s="326">
        <f>B49*(E49/100)*'Project Emission-2'!$D$15/1000</f>
        <v>34.530502104680515</v>
      </c>
      <c r="G49" s="307"/>
    </row>
    <row r="50" spans="1:7">
      <c r="A50" s="320">
        <f t="shared" si="1"/>
        <v>43379</v>
      </c>
      <c r="B50" s="321">
        <v>16774.857125552084</v>
      </c>
      <c r="C50" s="321">
        <v>3130.4003963703622</v>
      </c>
      <c r="D50" s="321">
        <v>19905.257521922445</v>
      </c>
      <c r="E50" s="288">
        <v>56.46</v>
      </c>
      <c r="F50" s="326">
        <f>B50*(E50/100)*'Project Emission-2'!$D$15/1000</f>
        <v>35.348705351712361</v>
      </c>
      <c r="G50" s="307"/>
    </row>
    <row r="51" spans="1:7">
      <c r="A51" s="320">
        <f t="shared" si="1"/>
        <v>43380</v>
      </c>
      <c r="B51" s="321">
        <v>17427.857125552084</v>
      </c>
      <c r="C51" s="321">
        <v>3126.3999918695217</v>
      </c>
      <c r="D51" s="321">
        <v>20554.257117421606</v>
      </c>
      <c r="E51" s="288">
        <v>56.43</v>
      </c>
      <c r="F51" s="326">
        <f>B51*(E51/100)*'Project Emission-2'!$D$15/1000</f>
        <v>36.705221554755155</v>
      </c>
      <c r="G51" s="307"/>
    </row>
    <row r="52" spans="1:7">
      <c r="A52" s="320">
        <f t="shared" si="1"/>
        <v>43381</v>
      </c>
      <c r="B52" s="321">
        <v>17139.857125552084</v>
      </c>
      <c r="C52" s="321">
        <v>2977.3849242132319</v>
      </c>
      <c r="D52" s="321">
        <v>20117.242049765315</v>
      </c>
      <c r="E52" s="288">
        <v>58.3</v>
      </c>
      <c r="F52" s="326">
        <f>B52*(E52/100)*'Project Emission-2'!$D$15/1000</f>
        <v>37.294909774888204</v>
      </c>
      <c r="G52" s="307"/>
    </row>
    <row r="53" spans="1:7">
      <c r="A53" s="320">
        <f t="shared" si="1"/>
        <v>43382</v>
      </c>
      <c r="B53" s="321">
        <v>16508.857125552084</v>
      </c>
      <c r="C53" s="321">
        <v>2747.3616654149318</v>
      </c>
      <c r="D53" s="321">
        <v>19256.218790967017</v>
      </c>
      <c r="E53" s="288">
        <v>54.81</v>
      </c>
      <c r="F53" s="326">
        <f>B53*(E53/100)*'Project Emission-2'!$D$15/1000</f>
        <v>33.771520915123368</v>
      </c>
      <c r="G53" s="307"/>
    </row>
    <row r="54" spans="1:7">
      <c r="A54" s="320">
        <f t="shared" si="1"/>
        <v>43383</v>
      </c>
      <c r="B54" s="321">
        <v>16356.857125552084</v>
      </c>
      <c r="C54" s="321">
        <v>3342.4218349148819</v>
      </c>
      <c r="D54" s="321">
        <v>19699.278960466967</v>
      </c>
      <c r="E54" s="288">
        <v>58.73</v>
      </c>
      <c r="F54" s="326">
        <f>B54*(E54/100)*'Project Emission-2'!$D$15/1000</f>
        <v>35.853674361043986</v>
      </c>
      <c r="G54" s="307"/>
    </row>
    <row r="55" spans="1:7">
      <c r="A55" s="320">
        <f t="shared" si="1"/>
        <v>43384</v>
      </c>
      <c r="B55" s="321">
        <v>16490.857125552084</v>
      </c>
      <c r="C55" s="321">
        <v>3172.4046436291819</v>
      </c>
      <c r="D55" s="321">
        <v>19663.261769181267</v>
      </c>
      <c r="E55" s="288">
        <v>56.86</v>
      </c>
      <c r="F55" s="326">
        <f>B55*(E55/100)*'Project Emission-2'!$D$15/1000</f>
        <v>34.996442006528198</v>
      </c>
      <c r="G55" s="307"/>
    </row>
    <row r="56" spans="1:7">
      <c r="A56" s="320">
        <f t="shared" si="1"/>
        <v>43385</v>
      </c>
      <c r="B56" s="321">
        <v>15579.857125552084</v>
      </c>
      <c r="C56" s="321">
        <v>3177.4051492552321</v>
      </c>
      <c r="D56" s="321">
        <v>18757.262274807315</v>
      </c>
      <c r="E56" s="288">
        <v>55.24</v>
      </c>
      <c r="F56" s="326">
        <f>B56*(E56/100)*'Project Emission-2'!$D$15/1000</f>
        <v>32.121139923842577</v>
      </c>
      <c r="G56" s="307"/>
    </row>
    <row r="57" spans="1:7">
      <c r="A57" s="320">
        <f t="shared" si="1"/>
        <v>43386</v>
      </c>
      <c r="B57" s="321">
        <v>12761.857125552084</v>
      </c>
      <c r="C57" s="321">
        <v>3310.418598908162</v>
      </c>
      <c r="D57" s="321">
        <v>16072.275724460245</v>
      </c>
      <c r="E57" s="288">
        <v>58.12</v>
      </c>
      <c r="F57" s="326">
        <f>B57*(E57/100)*'Project Emission-2'!$D$15/1000</f>
        <v>27.683008908961526</v>
      </c>
      <c r="G57" s="307"/>
    </row>
    <row r="58" spans="1:7">
      <c r="A58" s="320">
        <f t="shared" si="1"/>
        <v>43387</v>
      </c>
      <c r="B58" s="321">
        <v>15211.857125552084</v>
      </c>
      <c r="C58" s="356">
        <v>3135.6366183254117</v>
      </c>
      <c r="D58" s="356">
        <v>18347.493743877494</v>
      </c>
      <c r="E58" s="288">
        <v>55.26</v>
      </c>
      <c r="F58" s="326">
        <f>B58*(E58/100)*'Project Emission-2'!$D$15/1000</f>
        <v>31.373785787848977</v>
      </c>
      <c r="G58" s="307"/>
    </row>
    <row r="59" spans="1:7">
      <c r="A59" s="320">
        <f t="shared" si="1"/>
        <v>43388</v>
      </c>
      <c r="B59" s="321">
        <v>12805.857125552084</v>
      </c>
      <c r="C59" s="321">
        <v>2469.3335526065521</v>
      </c>
      <c r="D59" s="321">
        <v>15275.190678158637</v>
      </c>
      <c r="E59" s="288">
        <v>56.13</v>
      </c>
      <c r="F59" s="326">
        <f>B59*(E59/100)*'Project Emission-2'!$D$15/1000</f>
        <v>26.827333180409006</v>
      </c>
      <c r="G59" s="307"/>
    </row>
    <row r="60" spans="1:7">
      <c r="A60" s="320">
        <f t="shared" si="1"/>
        <v>43389</v>
      </c>
      <c r="B60" s="321">
        <v>17656.857125552084</v>
      </c>
      <c r="C60" s="321">
        <v>1935.2795517444117</v>
      </c>
      <c r="D60" s="321">
        <v>19592.136677296494</v>
      </c>
      <c r="E60" s="288">
        <v>56.39</v>
      </c>
      <c r="F60" s="326">
        <f>B60*(E60/100)*'Project Emission-2'!$D$15/1000</f>
        <v>37.161163754888506</v>
      </c>
      <c r="G60" s="307"/>
    </row>
    <row r="61" spans="1:7">
      <c r="A61" s="320">
        <f t="shared" si="1"/>
        <v>43390</v>
      </c>
      <c r="B61" s="321">
        <v>18521.857125552084</v>
      </c>
      <c r="C61" s="321">
        <v>3180.4054526308619</v>
      </c>
      <c r="D61" s="321">
        <v>21702.262578182945</v>
      </c>
      <c r="E61" s="288">
        <v>56.27</v>
      </c>
      <c r="F61" s="326">
        <f>B61*(E61/100)*'Project Emission-2'!$D$15/1000</f>
        <v>38.898714889162164</v>
      </c>
      <c r="G61" s="307"/>
    </row>
    <row r="62" spans="1:7">
      <c r="A62" s="320">
        <f t="shared" si="1"/>
        <v>43391</v>
      </c>
      <c r="B62" s="321">
        <v>18232.857125552084</v>
      </c>
      <c r="C62" s="321">
        <v>3478.435587943442</v>
      </c>
      <c r="D62" s="321">
        <v>21711.292713495524</v>
      </c>
      <c r="E62" s="288">
        <v>54.75</v>
      </c>
      <c r="F62" s="326">
        <f>B62*(E62/100)*'Project Emission-2'!$D$15/1000</f>
        <v>37.257409995780826</v>
      </c>
      <c r="G62" s="307"/>
    </row>
    <row r="63" spans="1:7">
      <c r="A63" s="320">
        <f t="shared" si="1"/>
        <v>43392</v>
      </c>
      <c r="B63" s="321">
        <v>17913.857125552084</v>
      </c>
      <c r="C63" s="321">
        <v>3408.4285091787419</v>
      </c>
      <c r="D63" s="321">
        <v>21322.285634730826</v>
      </c>
      <c r="E63" s="288">
        <v>54.09</v>
      </c>
      <c r="F63" s="326">
        <f>B63*(E63/100)*'Project Emission-2'!$D$15/1000</f>
        <v>36.164286089885366</v>
      </c>
      <c r="G63" s="307"/>
    </row>
    <row r="64" spans="1:7">
      <c r="A64" s="320">
        <f t="shared" si="1"/>
        <v>43393</v>
      </c>
      <c r="B64" s="321">
        <v>18016.857125552084</v>
      </c>
      <c r="C64" s="321">
        <v>3216.4090931384221</v>
      </c>
      <c r="D64" s="321">
        <v>21233.266218690507</v>
      </c>
      <c r="E64" s="288">
        <v>56.11</v>
      </c>
      <c r="F64" s="326">
        <f>B64*(E64/100)*'Project Emission-2'!$D$15/1000</f>
        <v>37.730547912463138</v>
      </c>
      <c r="G64" s="307"/>
    </row>
    <row r="65" spans="1:7">
      <c r="A65" s="320">
        <f t="shared" si="1"/>
        <v>43394</v>
      </c>
      <c r="B65" s="321">
        <v>17255.857125552084</v>
      </c>
      <c r="C65" s="321">
        <v>3397.4273968014318</v>
      </c>
      <c r="D65" s="321">
        <v>20653.284522353515</v>
      </c>
      <c r="E65" s="288">
        <v>53.09</v>
      </c>
      <c r="F65" s="326">
        <f>B65*(E65/100)*'Project Emission-2'!$D$15/1000</f>
        <v>34.191887056878834</v>
      </c>
      <c r="G65" s="307"/>
    </row>
    <row r="66" spans="1:7">
      <c r="A66" s="320">
        <f t="shared" si="1"/>
        <v>43395</v>
      </c>
      <c r="B66" s="321">
        <v>17481.857125552084</v>
      </c>
      <c r="C66" s="321">
        <v>3168.4042391283419</v>
      </c>
      <c r="D66" s="321">
        <v>20650.261364680424</v>
      </c>
      <c r="E66" s="288">
        <v>54.84</v>
      </c>
      <c r="F66" s="326">
        <f>B66*(E66/100)*'Project Emission-2'!$D$15/1000</f>
        <v>35.781522954260566</v>
      </c>
      <c r="G66" s="307"/>
    </row>
    <row r="67" spans="1:7">
      <c r="A67" s="320">
        <f t="shared" si="1"/>
        <v>43396</v>
      </c>
      <c r="B67" s="321">
        <v>17214.857125552084</v>
      </c>
      <c r="C67" s="321">
        <v>2573.3440696283919</v>
      </c>
      <c r="D67" s="321">
        <v>19788.201195180474</v>
      </c>
      <c r="E67" s="288">
        <v>61.22</v>
      </c>
      <c r="F67" s="326">
        <f>B67*(E67/100)*'Project Emission-2'!$D$15/1000</f>
        <v>39.33422127276561</v>
      </c>
      <c r="G67" s="307"/>
    </row>
    <row r="68" spans="1:7">
      <c r="A68" s="320">
        <f t="shared" si="1"/>
        <v>43397</v>
      </c>
      <c r="B68" s="321">
        <v>17372.857125552084</v>
      </c>
      <c r="C68" s="321">
        <v>3293.4168797795919</v>
      </c>
      <c r="D68" s="321">
        <v>20666.274005331674</v>
      </c>
      <c r="E68" s="288">
        <v>62.79</v>
      </c>
      <c r="F68" s="326">
        <f>B68*(E68/100)*'Project Emission-2'!$D$15/1000</f>
        <v>40.713228226196854</v>
      </c>
      <c r="G68" s="307"/>
    </row>
    <row r="69" spans="1:7">
      <c r="A69" s="320">
        <f t="shared" si="1"/>
        <v>43398</v>
      </c>
      <c r="B69" s="321">
        <v>16737.857125552084</v>
      </c>
      <c r="C69" s="321">
        <v>3426.4303294325218</v>
      </c>
      <c r="D69" s="321">
        <v>20164.287454984606</v>
      </c>
      <c r="E69" s="288">
        <v>60.24</v>
      </c>
      <c r="F69" s="326">
        <f>B69*(E69/100)*'Project Emission-2'!$D$15/1000</f>
        <v>37.632115089124234</v>
      </c>
      <c r="G69" s="307"/>
    </row>
    <row r="70" spans="1:7">
      <c r="A70" s="320">
        <f t="shared" si="1"/>
        <v>43399</v>
      </c>
      <c r="B70" s="321">
        <v>16536.857125552084</v>
      </c>
      <c r="C70" s="321">
        <v>3263.4138460232921</v>
      </c>
      <c r="D70" s="321">
        <v>19800.270971575377</v>
      </c>
      <c r="E70" s="288">
        <v>58.23</v>
      </c>
      <c r="F70" s="326">
        <f>B70*(E70/100)*'Project Emission-2'!$D$15/1000</f>
        <v>35.93962762247093</v>
      </c>
      <c r="G70" s="307"/>
    </row>
    <row r="71" spans="1:7">
      <c r="A71" s="320">
        <f t="shared" si="1"/>
        <v>43400</v>
      </c>
      <c r="B71" s="321">
        <v>17210.857125552084</v>
      </c>
      <c r="C71" s="321">
        <v>3346.4222394157218</v>
      </c>
      <c r="D71" s="321">
        <v>20557.279364967806</v>
      </c>
      <c r="E71" s="288">
        <v>59.54</v>
      </c>
      <c r="F71" s="326">
        <f>B71*(E71/100)*'Project Emission-2'!$D$15/1000</f>
        <v>38.245922294615113</v>
      </c>
      <c r="G71" s="307"/>
    </row>
    <row r="72" spans="1:7">
      <c r="A72" s="320">
        <f t="shared" si="1"/>
        <v>43401</v>
      </c>
      <c r="B72" s="321">
        <v>19031.857125552084</v>
      </c>
      <c r="C72" s="321">
        <v>3395.4271945510118</v>
      </c>
      <c r="D72" s="321">
        <v>22427.284320103096</v>
      </c>
      <c r="E72" s="288">
        <v>62.3</v>
      </c>
      <c r="F72" s="326">
        <f>B72*(E72/100)*'Project Emission-2'!$D$15/1000</f>
        <v>44.253031213971077</v>
      </c>
      <c r="G72" s="307"/>
    </row>
    <row r="73" spans="1:7">
      <c r="A73" s="320">
        <f t="shared" si="1"/>
        <v>43402</v>
      </c>
      <c r="B73" s="321">
        <v>18400.857125552084</v>
      </c>
      <c r="C73" s="321">
        <v>3344.4220371653018</v>
      </c>
      <c r="D73" s="321">
        <v>21745.279162717386</v>
      </c>
      <c r="E73" s="288">
        <v>60.91</v>
      </c>
      <c r="F73" s="326">
        <f>B73*(E73/100)*'Project Emission-2'!$D$15/1000</f>
        <v>41.831213307269088</v>
      </c>
      <c r="G73" s="307"/>
    </row>
    <row r="74" spans="1:7">
      <c r="A74" s="320">
        <f t="shared" si="1"/>
        <v>43403</v>
      </c>
      <c r="B74" s="321">
        <v>19104.857125552084</v>
      </c>
      <c r="C74" s="321">
        <v>2637.350541641832</v>
      </c>
      <c r="D74" s="321">
        <v>21742.207667193914</v>
      </c>
      <c r="E74" s="288">
        <v>58.18</v>
      </c>
      <c r="F74" s="326">
        <f>B74*(E74/100)*'Project Emission-2'!$D$15/1000</f>
        <v>41.485021524857181</v>
      </c>
      <c r="G74" s="307"/>
    </row>
    <row r="75" spans="1:7">
      <c r="A75" s="317" t="s">
        <v>321</v>
      </c>
      <c r="B75" s="322">
        <f>SUM(B44:B74)</f>
        <v>507580.57089211454</v>
      </c>
      <c r="C75" s="322">
        <f>SUM(C44:C74)</f>
        <v>92965.235716329043</v>
      </c>
      <c r="D75" s="322">
        <v>600545.80660844361</v>
      </c>
      <c r="E75" s="323">
        <f>AVERAGE(E44:E74)</f>
        <v>57.222903225806441</v>
      </c>
      <c r="F75" s="327">
        <f>SUM(F44:F74)</f>
        <v>1085.5219562833145</v>
      </c>
      <c r="G75" s="307"/>
    </row>
    <row r="76" spans="1:7">
      <c r="A76" s="320">
        <f>A74+1</f>
        <v>43404</v>
      </c>
      <c r="B76" s="321">
        <v>21029.159476514938</v>
      </c>
      <c r="C76" s="321">
        <v>3478.0195879531766</v>
      </c>
      <c r="D76" s="321">
        <v>24507.179064468117</v>
      </c>
      <c r="E76" s="288">
        <v>58.37</v>
      </c>
      <c r="F76" s="326">
        <f>B76*(E76/100)*'Project Emission-2'!$D$15/1000</f>
        <v>45.812650268480596</v>
      </c>
      <c r="G76" s="307"/>
    </row>
    <row r="77" spans="1:7">
      <c r="A77" s="320">
        <f t="shared" si="1"/>
        <v>43405</v>
      </c>
      <c r="B77" s="321">
        <v>22689.159476514938</v>
      </c>
      <c r="C77" s="321">
        <v>3595.0314196027466</v>
      </c>
      <c r="D77" s="321">
        <v>26284.190896117685</v>
      </c>
      <c r="E77" s="288">
        <v>59.07</v>
      </c>
      <c r="F77" s="326">
        <f>B77*(E77/100)*'Project Emission-2'!$D$15/1000</f>
        <v>50.021785225998165</v>
      </c>
      <c r="G77" s="307"/>
    </row>
    <row r="78" spans="1:7">
      <c r="A78" s="320">
        <f t="shared" si="1"/>
        <v>43406</v>
      </c>
      <c r="B78" s="321">
        <v>28076.159476514938</v>
      </c>
      <c r="C78" s="321">
        <v>3549.0267678430869</v>
      </c>
      <c r="D78" s="321">
        <v>31625.186244358025</v>
      </c>
      <c r="E78" s="288">
        <v>58.35</v>
      </c>
      <c r="F78" s="326">
        <f>B78*(E78/100)*'Project Emission-2'!$D$15/1000</f>
        <v>61.143792063861333</v>
      </c>
      <c r="G78" s="307"/>
    </row>
    <row r="79" spans="1:7">
      <c r="A79" s="320">
        <f t="shared" si="1"/>
        <v>43407</v>
      </c>
      <c r="B79" s="321">
        <v>23132.159476514938</v>
      </c>
      <c r="C79" s="321">
        <v>3507.0225205842667</v>
      </c>
      <c r="D79" s="321">
        <v>26639.181997099204</v>
      </c>
      <c r="E79" s="288">
        <v>60.75</v>
      </c>
      <c r="F79" s="326">
        <f>B79*(E79/100)*'Project Emission-2'!$D$15/1000</f>
        <v>52.448886040034374</v>
      </c>
      <c r="G79" s="307"/>
    </row>
    <row r="80" spans="1:7">
      <c r="A80" s="320">
        <f t="shared" si="1"/>
        <v>43408</v>
      </c>
      <c r="B80" s="321">
        <v>20353.159476514938</v>
      </c>
      <c r="C80" s="321">
        <v>3581.0300038498067</v>
      </c>
      <c r="D80" s="321">
        <v>23934.189480364745</v>
      </c>
      <c r="E80" s="288">
        <v>61.43</v>
      </c>
      <c r="F80" s="326">
        <f>B80*(E80/100)*'Project Emission-2'!$D$15/1000</f>
        <v>46.664450860882759</v>
      </c>
      <c r="G80" s="307"/>
    </row>
    <row r="81" spans="1:7">
      <c r="A81" s="320">
        <f t="shared" si="1"/>
        <v>43409</v>
      </c>
      <c r="B81" s="321">
        <v>19811.159476514938</v>
      </c>
      <c r="C81" s="321">
        <v>2712.9422271675267</v>
      </c>
      <c r="D81" s="321">
        <v>22524.101703682463</v>
      </c>
      <c r="E81" s="288">
        <v>60.44</v>
      </c>
      <c r="F81" s="326">
        <f>B81*(E81/100)*'Project Emission-2'!$D$15/1000</f>
        <v>44.689773991313523</v>
      </c>
      <c r="G81" s="307"/>
    </row>
    <row r="82" spans="1:7">
      <c r="A82" s="320">
        <f t="shared" si="1"/>
        <v>43410</v>
      </c>
      <c r="B82" s="321">
        <v>13949.159476514938</v>
      </c>
      <c r="C82" s="321">
        <v>2290.8995523289068</v>
      </c>
      <c r="D82" s="321">
        <v>16240.059028843845</v>
      </c>
      <c r="E82" s="288">
        <v>55.43</v>
      </c>
      <c r="F82" s="326">
        <f>B82*(E82/100)*'Project Emission-2'!$D$15/1000</f>
        <v>28.858033066844008</v>
      </c>
      <c r="G82" s="307"/>
    </row>
    <row r="83" spans="1:7">
      <c r="A83" s="320">
        <f t="shared" si="1"/>
        <v>43411</v>
      </c>
      <c r="B83" s="321">
        <v>20321.159476514938</v>
      </c>
      <c r="C83" s="321">
        <v>3350.0066439262969</v>
      </c>
      <c r="D83" s="321">
        <v>23671.166120441234</v>
      </c>
      <c r="E83" s="288">
        <v>56.6</v>
      </c>
      <c r="F83" s="326">
        <f>B83*(E83/100)*'Project Emission-2'!$D$15/1000</f>
        <v>42.927809094337192</v>
      </c>
      <c r="G83" s="307"/>
    </row>
    <row r="84" spans="1:7">
      <c r="A84" s="320">
        <f t="shared" si="1"/>
        <v>43412</v>
      </c>
      <c r="B84" s="321">
        <v>21571.159476514938</v>
      </c>
      <c r="C84" s="356">
        <v>3314.2387197477365</v>
      </c>
      <c r="D84" s="356">
        <v>24885.398196262675</v>
      </c>
      <c r="E84" s="288">
        <v>56.61</v>
      </c>
      <c r="F84" s="326">
        <f>B84*(E84/100)*'Project Emission-2'!$D$15/1000</f>
        <v>45.576445661192039</v>
      </c>
      <c r="G84" s="307"/>
    </row>
    <row r="85" spans="1:7">
      <c r="A85" s="320">
        <f t="shared" si="1"/>
        <v>43413</v>
      </c>
      <c r="B85" s="321">
        <v>25009.159476514938</v>
      </c>
      <c r="C85" s="321">
        <v>3412.0129136893165</v>
      </c>
      <c r="D85" s="321">
        <v>28421.172390204254</v>
      </c>
      <c r="E85" s="288">
        <v>58.7</v>
      </c>
      <c r="F85" s="326">
        <f>B85*(E85/100)*'Project Emission-2'!$D$15/1000</f>
        <v>54.791224434793051</v>
      </c>
      <c r="G85" s="307"/>
    </row>
    <row r="86" spans="1:7">
      <c r="A86" s="320">
        <f t="shared" si="1"/>
        <v>43414</v>
      </c>
      <c r="B86" s="321">
        <v>23300.159476514938</v>
      </c>
      <c r="C86" s="321">
        <v>3568.0286892220765</v>
      </c>
      <c r="D86" s="321">
        <v>26868.188165737014</v>
      </c>
      <c r="E86" s="288">
        <v>58.19</v>
      </c>
      <c r="F86" s="326">
        <f>B86*(E86/100)*'Project Emission-2'!$D$15/1000</f>
        <v>50.603558662521827</v>
      </c>
      <c r="G86" s="307"/>
    </row>
    <row r="87" spans="1:7">
      <c r="A87" s="320">
        <f t="shared" si="1"/>
        <v>43415</v>
      </c>
      <c r="B87" s="321">
        <v>20579.159476514938</v>
      </c>
      <c r="C87" s="321">
        <v>3260.9976437826067</v>
      </c>
      <c r="D87" s="321">
        <v>23840.157120297546</v>
      </c>
      <c r="E87" s="288">
        <v>59.15</v>
      </c>
      <c r="F87" s="326">
        <f>B87*(E87/100)*'Project Emission-2'!$D$15/1000</f>
        <v>45.43140734682612</v>
      </c>
      <c r="G87" s="307"/>
    </row>
    <row r="88" spans="1:7">
      <c r="A88" s="320">
        <f t="shared" si="1"/>
        <v>43416</v>
      </c>
      <c r="B88" s="321">
        <v>21283.159476514938</v>
      </c>
      <c r="C88" s="321">
        <v>2670.9379799087064</v>
      </c>
      <c r="D88" s="321">
        <v>23954.097456423646</v>
      </c>
      <c r="E88" s="288">
        <v>57.59</v>
      </c>
      <c r="F88" s="326">
        <f>B88*(E88/100)*'Project Emission-2'!$D$15/1000</f>
        <v>45.746406675679161</v>
      </c>
      <c r="G88" s="307"/>
    </row>
    <row r="89" spans="1:7">
      <c r="A89" s="320">
        <f t="shared" si="1"/>
        <v>43417</v>
      </c>
      <c r="B89" s="321">
        <v>23174.159476514938</v>
      </c>
      <c r="C89" s="321">
        <v>2331.9036984625168</v>
      </c>
      <c r="D89" s="321">
        <v>25506.063174977455</v>
      </c>
      <c r="E89" s="288">
        <v>56.58</v>
      </c>
      <c r="F89" s="326">
        <f>B89*(E89/100)*'Project Emission-2'!$D$15/1000</f>
        <v>48.937383225007281</v>
      </c>
      <c r="G89" s="307"/>
    </row>
    <row r="90" spans="1:7">
      <c r="A90" s="320">
        <f t="shared" si="1"/>
        <v>43418</v>
      </c>
      <c r="B90" s="321">
        <v>25404.159476514938</v>
      </c>
      <c r="C90" s="321">
        <v>3492.0210037061165</v>
      </c>
      <c r="D90" s="321">
        <v>28896.180480221054</v>
      </c>
      <c r="E90" s="288">
        <v>57.49</v>
      </c>
      <c r="F90" s="326">
        <f>B90*(E90/100)*'Project Emission-2'!$D$15/1000</f>
        <v>54.509343022796543</v>
      </c>
      <c r="G90" s="307"/>
    </row>
    <row r="91" spans="1:7">
      <c r="A91" s="320">
        <f t="shared" si="1"/>
        <v>43419</v>
      </c>
      <c r="B91" s="321">
        <v>24426.159476514938</v>
      </c>
      <c r="C91" s="321">
        <v>3415.0132170649467</v>
      </c>
      <c r="D91" s="321">
        <v>27841.172693579887</v>
      </c>
      <c r="E91" s="288">
        <v>58.18</v>
      </c>
      <c r="F91" s="326">
        <f>B91*(E91/100)*'Project Emission-2'!$D$15/1000</f>
        <v>53.039902104137511</v>
      </c>
      <c r="G91" s="307"/>
    </row>
    <row r="92" spans="1:7">
      <c r="A92" s="320">
        <f t="shared" si="1"/>
        <v>43420</v>
      </c>
      <c r="B92" s="321">
        <v>31059.159476514938</v>
      </c>
      <c r="C92" s="321">
        <v>3376.0092731817567</v>
      </c>
      <c r="D92" s="321">
        <v>34435.168749696692</v>
      </c>
      <c r="E92" s="288">
        <v>57.5</v>
      </c>
      <c r="F92" s="326">
        <f>B92*(E92/100)*'Project Emission-2'!$D$15/1000</f>
        <v>66.654788085746006</v>
      </c>
      <c r="G92" s="307"/>
    </row>
    <row r="93" spans="1:7">
      <c r="A93" s="320">
        <f t="shared" si="1"/>
        <v>43421</v>
      </c>
      <c r="B93" s="321">
        <v>52254.159476514942</v>
      </c>
      <c r="C93" s="321">
        <v>3515.0233295859466</v>
      </c>
      <c r="D93" s="321">
        <v>55769.182806100886</v>
      </c>
      <c r="E93" s="288">
        <v>57.8</v>
      </c>
      <c r="F93" s="326">
        <f>B93*(E93/100)*'Project Emission-2'!$D$15/1000</f>
        <v>112.72558906524597</v>
      </c>
      <c r="G93" s="307"/>
    </row>
    <row r="94" spans="1:7">
      <c r="A94" s="320">
        <f t="shared" si="1"/>
        <v>43422</v>
      </c>
      <c r="B94" s="321">
        <v>31959.159476514938</v>
      </c>
      <c r="C94" s="321">
        <v>3236.9952167775668</v>
      </c>
      <c r="D94" s="321">
        <v>35196.154693292505</v>
      </c>
      <c r="E94" s="288">
        <v>57.75</v>
      </c>
      <c r="F94" s="326">
        <f>B94*(E94/100)*'Project Emission-2'!$D$15/1000</f>
        <v>68.884442215717016</v>
      </c>
      <c r="G94" s="307"/>
    </row>
    <row r="95" spans="1:7">
      <c r="A95" s="320">
        <f t="shared" si="1"/>
        <v>43423</v>
      </c>
      <c r="B95" s="321">
        <v>20564.159476514938</v>
      </c>
      <c r="C95" s="321">
        <v>2680.9389911608068</v>
      </c>
      <c r="D95" s="321">
        <v>23245.098467675743</v>
      </c>
      <c r="E95" s="288">
        <v>58.23</v>
      </c>
      <c r="F95" s="326">
        <f>B95*(E95/100)*'Project Emission-2'!$D$15/1000</f>
        <v>44.692182338146651</v>
      </c>
      <c r="G95" s="307"/>
    </row>
    <row r="96" spans="1:7">
      <c r="A96" s="320">
        <f t="shared" si="1"/>
        <v>43424</v>
      </c>
      <c r="B96" s="321">
        <v>21375.159476514938</v>
      </c>
      <c r="C96" s="321">
        <v>2160.8864060516066</v>
      </c>
      <c r="D96" s="321">
        <v>23536.045882566545</v>
      </c>
      <c r="E96" s="288">
        <v>53.99</v>
      </c>
      <c r="F96" s="326">
        <f>B96*(E96/100)*'Project Emission-2'!$D$15/1000</f>
        <v>43.072144950848816</v>
      </c>
      <c r="G96" s="307"/>
    </row>
    <row r="97" spans="1:7">
      <c r="A97" s="320">
        <f t="shared" si="1"/>
        <v>43425</v>
      </c>
      <c r="B97" s="321">
        <v>19548.159476514938</v>
      </c>
      <c r="C97" s="321">
        <v>3641.0360713624068</v>
      </c>
      <c r="D97" s="321">
        <v>23189.195547877345</v>
      </c>
      <c r="E97" s="288">
        <v>58</v>
      </c>
      <c r="F97" s="326">
        <f>B97*(E97/100)*'Project Emission-2'!$D$15/1000</f>
        <v>42.316298854185796</v>
      </c>
      <c r="G97" s="307"/>
    </row>
    <row r="98" spans="1:7">
      <c r="A98" s="320">
        <f t="shared" si="1"/>
        <v>43426</v>
      </c>
      <c r="B98" s="321">
        <v>20800.159476514938</v>
      </c>
      <c r="C98" s="321">
        <v>4113.0838024615259</v>
      </c>
      <c r="D98" s="321">
        <v>24913.243278976464</v>
      </c>
      <c r="E98" s="288">
        <v>59.01</v>
      </c>
      <c r="F98" s="326">
        <f>B98*(E98/100)*'Project Emission-2'!$D$15/1000</f>
        <v>45.810611402906758</v>
      </c>
      <c r="G98" s="307"/>
    </row>
    <row r="99" spans="1:7">
      <c r="A99" s="320">
        <f t="shared" si="1"/>
        <v>43427</v>
      </c>
      <c r="B99" s="321">
        <v>19674.159476514938</v>
      </c>
      <c r="C99" s="321">
        <v>3670.0390039934969</v>
      </c>
      <c r="D99" s="321">
        <v>23344.198480508436</v>
      </c>
      <c r="E99" s="288">
        <v>58.06</v>
      </c>
      <c r="F99" s="326">
        <f>B99*(E99/100)*'Project Emission-2'!$D$15/1000</f>
        <v>42.633111261446039</v>
      </c>
      <c r="G99" s="307"/>
    </row>
    <row r="100" spans="1:7">
      <c r="A100" s="320">
        <f t="shared" si="1"/>
        <v>43428</v>
      </c>
      <c r="B100" s="321">
        <v>16979.159476514938</v>
      </c>
      <c r="C100" s="321">
        <v>3552.0270712187166</v>
      </c>
      <c r="D100" s="321">
        <v>20531.186547733654</v>
      </c>
      <c r="E100" s="288">
        <v>57.98</v>
      </c>
      <c r="F100" s="326">
        <f>B100*(E100/100)*'Project Emission-2'!$D$15/1000</f>
        <v>36.742458061233563</v>
      </c>
      <c r="G100" s="307"/>
    </row>
    <row r="101" spans="1:7">
      <c r="A101" s="320">
        <f t="shared" si="1"/>
        <v>43429</v>
      </c>
      <c r="B101" s="321">
        <v>18807.159476514938</v>
      </c>
      <c r="C101" s="321">
        <v>3499.0217115825867</v>
      </c>
      <c r="D101" s="321">
        <v>22306.181188097526</v>
      </c>
      <c r="E101" s="288">
        <v>59.5</v>
      </c>
      <c r="F101" s="326">
        <f>B101*(E101/100)*'Project Emission-2'!$D$15/1000</f>
        <v>41.765143852297243</v>
      </c>
      <c r="G101" s="307"/>
    </row>
    <row r="102" spans="1:7">
      <c r="A102" s="320">
        <f t="shared" si="1"/>
        <v>43430</v>
      </c>
      <c r="B102" s="321">
        <v>13766.159476514938</v>
      </c>
      <c r="C102" s="321">
        <v>3028.9741827338867</v>
      </c>
      <c r="D102" s="321">
        <v>16795.133659248826</v>
      </c>
      <c r="E102" s="288">
        <v>56.63</v>
      </c>
      <c r="F102" s="326">
        <f>B102*(E102/100)*'Project Emission-2'!$D$15/1000</f>
        <v>29.095991869951241</v>
      </c>
      <c r="G102" s="307"/>
    </row>
    <row r="103" spans="1:7">
      <c r="A103" s="320">
        <f t="shared" si="1"/>
        <v>43431</v>
      </c>
      <c r="B103" s="321">
        <v>14081.159476514938</v>
      </c>
      <c r="C103" s="321">
        <v>3499.0217115825867</v>
      </c>
      <c r="D103" s="321">
        <v>17580.181188097526</v>
      </c>
      <c r="E103" s="288">
        <v>56.64</v>
      </c>
      <c r="F103" s="326">
        <f>B103*(E103/100)*'Project Emission-2'!$D$15/1000</f>
        <v>29.767027622778905</v>
      </c>
      <c r="G103" s="307"/>
    </row>
    <row r="104" spans="1:7">
      <c r="A104" s="320">
        <f t="shared" si="1"/>
        <v>43432</v>
      </c>
      <c r="B104" s="321">
        <v>19242.159476514938</v>
      </c>
      <c r="C104" s="321">
        <v>3618.0337454825767</v>
      </c>
      <c r="D104" s="321">
        <v>22860.193221997513</v>
      </c>
      <c r="E104" s="288">
        <v>56.73</v>
      </c>
      <c r="F104" s="326">
        <f>B104*(E104/100)*'Project Emission-2'!$D$15/1000</f>
        <v>40.74181776972479</v>
      </c>
      <c r="G104" s="307"/>
    </row>
    <row r="105" spans="1:7">
      <c r="A105" s="320">
        <f t="shared" si="1"/>
        <v>43433</v>
      </c>
      <c r="B105" s="321">
        <v>14762.159476514938</v>
      </c>
      <c r="C105" s="321">
        <v>3409.0126103136868</v>
      </c>
      <c r="D105" s="321">
        <v>18171.172086828625</v>
      </c>
      <c r="E105" s="288">
        <v>55.36</v>
      </c>
      <c r="F105" s="326">
        <f>B105*(E105/100)*'Project Emission-2'!$D$15/1000</f>
        <v>30.501400640364643</v>
      </c>
      <c r="G105" s="307"/>
    </row>
    <row r="106" spans="1:7">
      <c r="A106" s="317" t="s">
        <v>321</v>
      </c>
      <c r="B106" s="322">
        <f>SUM(B76:B105)</f>
        <v>668980.7842954481</v>
      </c>
      <c r="C106" s="322">
        <f>SUM(C76:C105)</f>
        <v>98529.235716328985</v>
      </c>
      <c r="D106" s="322">
        <v>767510.02001177706</v>
      </c>
      <c r="E106" s="323">
        <f>AVERAGE(E76:E105)</f>
        <v>57.870333333333335</v>
      </c>
      <c r="F106" s="327">
        <f>SUM(F76:F105)</f>
        <v>1446.6058597352985</v>
      </c>
      <c r="G106" s="307"/>
    </row>
    <row r="107" spans="1:7">
      <c r="A107" s="320">
        <f>A105+1</f>
        <v>43434</v>
      </c>
      <c r="B107" s="321">
        <v>23037.759332886028</v>
      </c>
      <c r="C107" s="321">
        <v>3311.9982939198449</v>
      </c>
      <c r="D107" s="321">
        <v>26349.757626805873</v>
      </c>
      <c r="E107" s="288">
        <v>58.28</v>
      </c>
      <c r="F107" s="326">
        <f>B107*(E107/100)*'Project Emission-2'!$D$15/1000</f>
        <v>50.111059922590293</v>
      </c>
      <c r="G107" s="307"/>
    </row>
    <row r="108" spans="1:7">
      <c r="A108" s="320">
        <f t="shared" si="1"/>
        <v>43435</v>
      </c>
      <c r="B108" s="321">
        <v>24545.759332886028</v>
      </c>
      <c r="C108" s="321">
        <v>3234.9905072786751</v>
      </c>
      <c r="D108" s="321">
        <v>27780.749840164703</v>
      </c>
      <c r="E108" s="288">
        <v>59.44</v>
      </c>
      <c r="F108" s="326">
        <f>B108*(E108/100)*'Project Emission-2'!$D$15/1000</f>
        <v>54.453911492858545</v>
      </c>
      <c r="G108" s="307"/>
    </row>
    <row r="109" spans="1:7">
      <c r="A109" s="320">
        <f t="shared" si="1"/>
        <v>43436</v>
      </c>
      <c r="B109" s="321">
        <v>21346.759332886028</v>
      </c>
      <c r="C109" s="321">
        <v>3094.976349749275</v>
      </c>
      <c r="D109" s="321">
        <v>24441.735682635303</v>
      </c>
      <c r="E109" s="288">
        <v>58.02</v>
      </c>
      <c r="F109" s="326">
        <f>B109*(E109/100)*'Project Emission-2'!$D$15/1000</f>
        <v>46.22569898755296</v>
      </c>
      <c r="G109" s="307"/>
    </row>
    <row r="110" spans="1:7">
      <c r="A110" s="320">
        <f t="shared" si="1"/>
        <v>43437</v>
      </c>
      <c r="B110" s="321">
        <v>17575.759332886028</v>
      </c>
      <c r="C110" s="321">
        <v>3053.972203615665</v>
      </c>
      <c r="D110" s="321">
        <v>20629.731536501691</v>
      </c>
      <c r="E110" s="288">
        <v>57.93</v>
      </c>
      <c r="F110" s="326">
        <f>B110*(E110/100)*'Project Emission-2'!$D$15/1000</f>
        <v>38.000685786394186</v>
      </c>
      <c r="G110" s="307"/>
    </row>
    <row r="111" spans="1:7">
      <c r="A111" s="320">
        <f t="shared" ref="A111:A137" si="2">A110+1</f>
        <v>43438</v>
      </c>
      <c r="B111" s="321">
        <v>20694.759332886028</v>
      </c>
      <c r="C111" s="321">
        <v>2517.9180005031048</v>
      </c>
      <c r="D111" s="321">
        <v>23212.677333389132</v>
      </c>
      <c r="E111" s="288">
        <v>57.31</v>
      </c>
      <c r="F111" s="326">
        <f>B111*(E111/100)*'Project Emission-2'!$D$15/1000</f>
        <v>44.265420820986542</v>
      </c>
      <c r="G111" s="307"/>
    </row>
    <row r="112" spans="1:7">
      <c r="A112" s="320">
        <f t="shared" si="2"/>
        <v>43439</v>
      </c>
      <c r="B112" s="321">
        <v>22448.759332886028</v>
      </c>
      <c r="C112" s="321">
        <v>3283.995462413965</v>
      </c>
      <c r="D112" s="321">
        <v>25732.754795299992</v>
      </c>
      <c r="E112" s="288">
        <v>57.89</v>
      </c>
      <c r="F112" s="326">
        <f>B112*(E112/100)*'Project Emission-2'!$D$15/1000</f>
        <v>48.503122950402378</v>
      </c>
      <c r="G112" s="307"/>
    </row>
    <row r="113" spans="1:7">
      <c r="A113" s="320">
        <f t="shared" si="2"/>
        <v>43440</v>
      </c>
      <c r="B113" s="321">
        <v>23602.759332886028</v>
      </c>
      <c r="C113" s="321">
        <v>3664.0338899937651</v>
      </c>
      <c r="D113" s="321">
        <v>27266.793222879794</v>
      </c>
      <c r="E113" s="288">
        <v>59.15</v>
      </c>
      <c r="F113" s="326">
        <f>B113*(E113/100)*'Project Emission-2'!$D$15/1000</f>
        <v>52.106431994230356</v>
      </c>
      <c r="G113" s="307"/>
    </row>
    <row r="114" spans="1:7">
      <c r="A114" s="320">
        <f t="shared" si="2"/>
        <v>43441</v>
      </c>
      <c r="B114" s="321">
        <v>23407.759332886028</v>
      </c>
      <c r="C114" s="321">
        <v>3581.0254966013349</v>
      </c>
      <c r="D114" s="321">
        <v>26988.784829487362</v>
      </c>
      <c r="E114" s="288">
        <v>58.17</v>
      </c>
      <c r="F114" s="326">
        <f>B114*(E114/100)*'Project Emission-2'!$D$15/1000</f>
        <v>50.819772442170631</v>
      </c>
      <c r="G114" s="307"/>
    </row>
    <row r="115" spans="1:7">
      <c r="A115" s="320">
        <f t="shared" si="2"/>
        <v>43442</v>
      </c>
      <c r="B115" s="321">
        <v>23464.759332886028</v>
      </c>
      <c r="C115" s="321">
        <v>3276.9947545374948</v>
      </c>
      <c r="D115" s="321">
        <v>26741.754087423524</v>
      </c>
      <c r="E115" s="288">
        <v>59.18</v>
      </c>
      <c r="F115" s="326">
        <f>B115*(E115/100)*'Project Emission-2'!$D$15/1000</f>
        <v>51.828050552372495</v>
      </c>
      <c r="G115" s="307"/>
    </row>
    <row r="116" spans="1:7">
      <c r="A116" s="320">
        <f t="shared" si="2"/>
        <v>43443</v>
      </c>
      <c r="B116" s="321">
        <v>22516.759332886028</v>
      </c>
      <c r="C116" s="321">
        <v>2858.9524841997149</v>
      </c>
      <c r="D116" s="321">
        <v>25375.711817085743</v>
      </c>
      <c r="E116" s="288">
        <v>57.11</v>
      </c>
      <c r="F116" s="326">
        <f>B116*(E116/100)*'Project Emission-2'!$D$15/1000</f>
        <v>47.994542343839342</v>
      </c>
      <c r="G116" s="307"/>
    </row>
    <row r="117" spans="1:7">
      <c r="A117" s="320">
        <f t="shared" si="2"/>
        <v>43444</v>
      </c>
      <c r="B117" s="321">
        <v>19696.759332886028</v>
      </c>
      <c r="C117" s="321">
        <v>2532.919517381255</v>
      </c>
      <c r="D117" s="321">
        <v>22229.678850267283</v>
      </c>
      <c r="E117" s="288">
        <v>57</v>
      </c>
      <c r="F117" s="326">
        <f>B117*(E117/100)*'Project Emission-2'!$D$15/1000</f>
        <v>41.902838471978015</v>
      </c>
      <c r="G117" s="307"/>
    </row>
    <row r="118" spans="1:7">
      <c r="A118" s="320">
        <f t="shared" si="2"/>
        <v>43445</v>
      </c>
      <c r="B118" s="321">
        <v>16984.759332886028</v>
      </c>
      <c r="C118" s="321">
        <v>2597.9260905199048</v>
      </c>
      <c r="D118" s="321">
        <v>19582.685423405932</v>
      </c>
      <c r="E118" s="288">
        <v>56.42</v>
      </c>
      <c r="F118" s="326">
        <f>B118*(E118/100)*'Project Emission-2'!$D$15/1000</f>
        <v>35.765663645440561</v>
      </c>
      <c r="G118" s="307"/>
    </row>
    <row r="119" spans="1:7">
      <c r="A119" s="320">
        <f t="shared" si="2"/>
        <v>43446</v>
      </c>
      <c r="B119" s="321">
        <v>16517.759332886028</v>
      </c>
      <c r="C119" s="321">
        <v>2819.9485403165249</v>
      </c>
      <c r="D119" s="321">
        <v>19337.707873202551</v>
      </c>
      <c r="E119" s="288">
        <v>55.41</v>
      </c>
      <c r="F119" s="326">
        <f>B119*(E119/100)*'Project Emission-2'!$D$15/1000</f>
        <v>34.159624879723118</v>
      </c>
      <c r="G119" s="307"/>
    </row>
    <row r="120" spans="1:7">
      <c r="A120" s="320">
        <f t="shared" si="2"/>
        <v>43447</v>
      </c>
      <c r="B120" s="321">
        <v>15588.759332886026</v>
      </c>
      <c r="C120" s="321">
        <v>2750.9415626770347</v>
      </c>
      <c r="D120" s="321">
        <v>18339.700895563059</v>
      </c>
      <c r="E120" s="288">
        <v>55.95</v>
      </c>
      <c r="F120" s="326">
        <f>B120*(E120/100)*'Project Emission-2'!$D$15/1000</f>
        <v>32.552582764848019</v>
      </c>
      <c r="G120" s="307"/>
    </row>
    <row r="121" spans="1:7">
      <c r="A121" s="320">
        <f t="shared" si="2"/>
        <v>43448</v>
      </c>
      <c r="B121" s="321">
        <v>14390.759332886026</v>
      </c>
      <c r="C121" s="321">
        <v>3025.9693721097847</v>
      </c>
      <c r="D121" s="321">
        <v>17416.72870499581</v>
      </c>
      <c r="E121" s="288">
        <v>56.97</v>
      </c>
      <c r="F121" s="326">
        <f>B121*(E121/100)*'Project Emission-2'!$D$15/1000</f>
        <v>30.598753734896253</v>
      </c>
      <c r="G121" s="307"/>
    </row>
    <row r="122" spans="1:7">
      <c r="A122" s="320">
        <f t="shared" si="2"/>
        <v>43449</v>
      </c>
      <c r="B122" s="321">
        <v>17719.759332886028</v>
      </c>
      <c r="C122" s="321">
        <v>3107.9776643770047</v>
      </c>
      <c r="D122" s="321">
        <v>20827.736997263033</v>
      </c>
      <c r="E122" s="288">
        <v>58.27</v>
      </c>
      <c r="F122" s="326">
        <f>B122*(E122/100)*'Project Emission-2'!$D$15/1000</f>
        <v>38.536888444736405</v>
      </c>
      <c r="G122" s="307"/>
    </row>
    <row r="123" spans="1:7">
      <c r="A123" s="320">
        <f t="shared" si="2"/>
        <v>43450</v>
      </c>
      <c r="B123" s="321">
        <v>18515.759332886028</v>
      </c>
      <c r="C123" s="321">
        <v>3282.9953612887548</v>
      </c>
      <c r="D123" s="321">
        <v>21798.754694174782</v>
      </c>
      <c r="E123" s="288">
        <v>57.72</v>
      </c>
      <c r="F123" s="326">
        <f>B123*(E123/100)*'Project Emission-2'!$D$15/1000</f>
        <v>39.887944628873704</v>
      </c>
      <c r="G123" s="307"/>
    </row>
    <row r="124" spans="1:7">
      <c r="A124" s="320">
        <f t="shared" si="2"/>
        <v>43451</v>
      </c>
      <c r="B124" s="321">
        <v>18277.759332886028</v>
      </c>
      <c r="C124" s="321">
        <v>3373.0044625576547</v>
      </c>
      <c r="D124" s="321">
        <v>21650.763795443683</v>
      </c>
      <c r="E124" s="288">
        <v>57.64</v>
      </c>
      <c r="F124" s="326">
        <f>B124*(E124/100)*'Project Emission-2'!$D$15/1000</f>
        <v>39.320654250722143</v>
      </c>
      <c r="G124" s="307"/>
    </row>
    <row r="125" spans="1:7">
      <c r="A125" s="320">
        <f t="shared" si="2"/>
        <v>43452</v>
      </c>
      <c r="B125" s="321">
        <v>35035.759332886024</v>
      </c>
      <c r="C125" s="321">
        <v>3399.007091813115</v>
      </c>
      <c r="D125" s="321">
        <v>38434.766424699141</v>
      </c>
      <c r="E125" s="288">
        <v>57.65</v>
      </c>
      <c r="F125" s="326">
        <f>B125*(E125/100)*'Project Emission-2'!$D$15/1000</f>
        <v>75.384950625888976</v>
      </c>
      <c r="G125" s="307"/>
    </row>
    <row r="126" spans="1:7">
      <c r="A126" s="320">
        <f t="shared" si="2"/>
        <v>43453</v>
      </c>
      <c r="B126" s="321">
        <v>19396.759332886028</v>
      </c>
      <c r="C126" s="321">
        <v>3655.0329798668749</v>
      </c>
      <c r="D126" s="321">
        <v>23051.792312752903</v>
      </c>
      <c r="E126" s="288">
        <v>58.41</v>
      </c>
      <c r="F126" s="326">
        <f>B126*(E126/100)*'Project Emission-2'!$D$15/1000</f>
        <v>42.285375562409328</v>
      </c>
      <c r="G126" s="307"/>
    </row>
    <row r="127" spans="1:7">
      <c r="A127" s="320">
        <f t="shared" si="2"/>
        <v>43454</v>
      </c>
      <c r="B127" s="321">
        <v>19975.759332886028</v>
      </c>
      <c r="C127" s="321">
        <v>3459.0131593257147</v>
      </c>
      <c r="D127" s="321">
        <v>23434.772492211741</v>
      </c>
      <c r="E127" s="288">
        <v>57.41</v>
      </c>
      <c r="F127" s="326">
        <f>B127*(E127/100)*'Project Emission-2'!$D$15/1000</f>
        <v>42.802058134583461</v>
      </c>
      <c r="G127" s="307"/>
    </row>
    <row r="128" spans="1:7">
      <c r="A128" s="320">
        <f t="shared" si="2"/>
        <v>43455</v>
      </c>
      <c r="B128" s="321">
        <v>19969.759332886028</v>
      </c>
      <c r="C128" s="321">
        <v>3745.0420811357749</v>
      </c>
      <c r="D128" s="321">
        <v>23714.801414021804</v>
      </c>
      <c r="E128" s="288">
        <v>57.81</v>
      </c>
      <c r="F128" s="326">
        <f>B128*(E128/100)*'Project Emission-2'!$D$15/1000</f>
        <v>43.087332587743795</v>
      </c>
      <c r="G128" s="307"/>
    </row>
    <row r="129" spans="1:7">
      <c r="A129" s="320">
        <f t="shared" si="2"/>
        <v>43456</v>
      </c>
      <c r="B129" s="321">
        <v>24319.759332886028</v>
      </c>
      <c r="C129" s="356">
        <v>3750.2783030908249</v>
      </c>
      <c r="D129" s="356">
        <v>28070.037635976852</v>
      </c>
      <c r="E129" s="288">
        <v>58.37</v>
      </c>
      <c r="F129" s="326">
        <f>B129*(E129/100)*'Project Emission-2'!$D$15/1000</f>
        <v>52.981320065378462</v>
      </c>
      <c r="G129" s="307"/>
    </row>
    <row r="130" spans="1:7">
      <c r="A130" s="320">
        <f t="shared" si="2"/>
        <v>43457</v>
      </c>
      <c r="B130" s="321">
        <v>23365.759332886028</v>
      </c>
      <c r="C130" s="321">
        <v>3709.0384406282151</v>
      </c>
      <c r="D130" s="321">
        <v>27074.797773514241</v>
      </c>
      <c r="E130" s="288">
        <v>57.84</v>
      </c>
      <c r="F130" s="326">
        <f>B130*(E130/100)*'Project Emission-2'!$D$15/1000</f>
        <v>50.440803037799924</v>
      </c>
      <c r="G130" s="307"/>
    </row>
    <row r="131" spans="1:7">
      <c r="A131" s="320">
        <f t="shared" si="2"/>
        <v>43458</v>
      </c>
      <c r="B131" s="321">
        <v>22708.759332886028</v>
      </c>
      <c r="C131" s="321">
        <v>3555.0228673458751</v>
      </c>
      <c r="D131" s="321">
        <v>26263.782200231901</v>
      </c>
      <c r="E131" s="288">
        <v>61.28</v>
      </c>
      <c r="F131" s="326">
        <f>B131*(E131/100)*'Project Emission-2'!$D$15/1000</f>
        <v>51.938089804881585</v>
      </c>
      <c r="G131" s="307"/>
    </row>
    <row r="132" spans="1:7">
      <c r="A132" s="320">
        <f t="shared" si="2"/>
        <v>43459</v>
      </c>
      <c r="B132" s="321">
        <v>23243.759332886028</v>
      </c>
      <c r="C132" s="321">
        <v>3548.0221594694049</v>
      </c>
      <c r="D132" s="321">
        <v>26791.781492355432</v>
      </c>
      <c r="E132" s="288">
        <v>58.09</v>
      </c>
      <c r="F132" s="326">
        <f>B132*(E132/100)*'Project Emission-2'!$D$15/1000</f>
        <v>50.394316035033654</v>
      </c>
      <c r="G132" s="307"/>
    </row>
    <row r="133" spans="1:7">
      <c r="A133" s="320">
        <f t="shared" si="2"/>
        <v>43460</v>
      </c>
      <c r="B133" s="321">
        <v>23027.759332886028</v>
      </c>
      <c r="C133" s="321">
        <v>3718.0393507550998</v>
      </c>
      <c r="D133" s="321">
        <v>26745.798683641129</v>
      </c>
      <c r="E133" s="288">
        <v>58.67</v>
      </c>
      <c r="F133" s="326">
        <f>B133*(E133/100)*'Project Emission-2'!$D$15/1000</f>
        <v>50.42449747748104</v>
      </c>
      <c r="G133" s="307"/>
    </row>
    <row r="134" spans="1:7">
      <c r="A134" s="320">
        <f t="shared" si="2"/>
        <v>43461</v>
      </c>
      <c r="B134" s="321">
        <v>23848.759332886028</v>
      </c>
      <c r="C134" s="321">
        <v>3735.0410698836749</v>
      </c>
      <c r="D134" s="321">
        <v>27583.800402769702</v>
      </c>
      <c r="E134" s="288">
        <v>57.83</v>
      </c>
      <c r="F134" s="326">
        <f>B134*(E134/100)*'Project Emission-2'!$D$15/1000</f>
        <v>51.474577652905232</v>
      </c>
      <c r="G134" s="307"/>
    </row>
    <row r="135" spans="1:7">
      <c r="A135" s="320">
        <f t="shared" si="2"/>
        <v>43462</v>
      </c>
      <c r="B135" s="321">
        <v>23788.759332886028</v>
      </c>
      <c r="C135" s="321">
        <v>3816.0492610256847</v>
      </c>
      <c r="D135" s="321">
        <v>27604.808593911712</v>
      </c>
      <c r="E135" s="288">
        <v>57.36</v>
      </c>
      <c r="F135" s="326">
        <f>B135*(E135/100)*'Project Emission-2'!$D$15/1000</f>
        <v>50.92777985609915</v>
      </c>
      <c r="G135" s="307"/>
    </row>
    <row r="136" spans="1:7">
      <c r="A136" s="320">
        <f t="shared" si="2"/>
        <v>43463</v>
      </c>
      <c r="B136" s="321">
        <v>22693.759332886028</v>
      </c>
      <c r="C136" s="321">
        <v>3855.0532049088747</v>
      </c>
      <c r="D136" s="321">
        <v>26548.812537794904</v>
      </c>
      <c r="E136" s="288">
        <v>57.02</v>
      </c>
      <c r="F136" s="326">
        <f>B136*(E136/100)*'Project Emission-2'!$D$15/1000</f>
        <v>48.295588946826797</v>
      </c>
      <c r="G136" s="307"/>
    </row>
    <row r="137" spans="1:7">
      <c r="A137" s="320">
        <f t="shared" si="2"/>
        <v>43464</v>
      </c>
      <c r="B137" s="321">
        <v>22037.759332886028</v>
      </c>
      <c r="C137" s="321">
        <v>3880.0557330391248</v>
      </c>
      <c r="D137" s="321">
        <v>25917.815065925151</v>
      </c>
      <c r="E137" s="288">
        <v>57.39</v>
      </c>
      <c r="F137" s="326">
        <f>B137*(E137/100)*'Project Emission-2'!$D$15/1000</f>
        <v>47.203855189116176</v>
      </c>
      <c r="G137" s="307"/>
    </row>
    <row r="138" spans="1:7">
      <c r="A138" s="317" t="s">
        <v>321</v>
      </c>
      <c r="B138" s="322">
        <f>SUM(B107:B137)</f>
        <v>663746.53931946715</v>
      </c>
      <c r="C138" s="322">
        <f>SUM(C107:C137)</f>
        <v>103195.23571632904</v>
      </c>
      <c r="D138" s="322">
        <v>766941.77503579622</v>
      </c>
      <c r="E138" s="323">
        <f>AVERAGE(E107:E137)</f>
        <v>57.838387096774191</v>
      </c>
      <c r="F138" s="327">
        <f>SUM(F107:F137)</f>
        <v>1434.6741930907635</v>
      </c>
      <c r="G138" s="307"/>
    </row>
  </sheetData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2DF5B-540E-4B66-9759-E924B88E9FF5}">
  <dimension ref="A1:G378"/>
  <sheetViews>
    <sheetView showGridLines="0" zoomScaleNormal="100" workbookViewId="0">
      <selection activeCell="D1" sqref="D1"/>
    </sheetView>
  </sheetViews>
  <sheetFormatPr defaultColWidth="9.23046875" defaultRowHeight="14.5"/>
  <cols>
    <col min="1" max="1" width="17.3828125" style="283" bestFit="1" customWidth="1"/>
    <col min="2" max="4" width="11.84375" style="324" customWidth="1"/>
    <col min="5" max="16384" width="9.23046875" style="283"/>
  </cols>
  <sheetData>
    <row r="1" spans="1:7" ht="34.5">
      <c r="A1" s="317" t="s">
        <v>322</v>
      </c>
      <c r="B1" s="317" t="s">
        <v>323</v>
      </c>
      <c r="C1" s="357" t="s">
        <v>324</v>
      </c>
      <c r="D1" s="357" t="s">
        <v>362</v>
      </c>
      <c r="E1" s="318" t="s">
        <v>325</v>
      </c>
      <c r="F1" s="319" t="s">
        <v>327</v>
      </c>
    </row>
    <row r="2" spans="1:7">
      <c r="A2" s="320">
        <v>43465</v>
      </c>
      <c r="B2" s="321">
        <v>27240.596999063298</v>
      </c>
      <c r="C2" s="321">
        <v>3155.9627141564415</v>
      </c>
      <c r="D2" s="321">
        <v>30396.55971321974</v>
      </c>
      <c r="E2" s="288">
        <v>56.97</v>
      </c>
      <c r="F2" s="326">
        <f>B2*(E2/100)*'Project Emission-2'!$D$15/1000</f>
        <v>57.921079762698675</v>
      </c>
      <c r="G2" s="307"/>
    </row>
    <row r="3" spans="1:7">
      <c r="A3" s="320">
        <f>A2+1</f>
        <v>43466</v>
      </c>
      <c r="B3" s="321">
        <v>20969.596999063298</v>
      </c>
      <c r="C3" s="321">
        <v>3812.0290522942014</v>
      </c>
      <c r="D3" s="321">
        <v>24781.6260513575</v>
      </c>
      <c r="E3" s="288">
        <v>59.36</v>
      </c>
      <c r="F3" s="326">
        <f>B3*(E3/100)*'Project Emission-2'!$D$15/1000</f>
        <v>46.457708541886994</v>
      </c>
      <c r="G3" s="307"/>
    </row>
    <row r="4" spans="1:7">
      <c r="A4" s="320">
        <f t="shared" ref="A4:A67" si="0">A3+1</f>
        <v>43467</v>
      </c>
      <c r="B4" s="321">
        <v>28100.596999063298</v>
      </c>
      <c r="C4" s="321">
        <v>3786.0264230387415</v>
      </c>
      <c r="D4" s="321">
        <v>31886.623422102039</v>
      </c>
      <c r="E4" s="288">
        <v>57</v>
      </c>
      <c r="F4" s="326">
        <f>B4*(E4/100)*'Project Emission-2'!$D$15/1000</f>
        <v>59.781142527945462</v>
      </c>
      <c r="G4" s="307"/>
    </row>
    <row r="5" spans="1:7">
      <c r="A5" s="320">
        <f t="shared" si="0"/>
        <v>43468</v>
      </c>
      <c r="B5" s="321">
        <v>27438.596999063298</v>
      </c>
      <c r="C5" s="321">
        <v>4128.0610078605614</v>
      </c>
      <c r="D5" s="321">
        <v>31566.658006923859</v>
      </c>
      <c r="E5" s="288">
        <v>57.41</v>
      </c>
      <c r="F5" s="326">
        <f>B5*(E5/100)*'Project Emission-2'!$D$15/1000</f>
        <v>58.79267988335527</v>
      </c>
      <c r="G5" s="307"/>
    </row>
    <row r="6" spans="1:7">
      <c r="A6" s="320">
        <f t="shared" si="0"/>
        <v>43469</v>
      </c>
      <c r="B6" s="321">
        <v>26309.596999063298</v>
      </c>
      <c r="C6" s="321">
        <v>4365.0849745353316</v>
      </c>
      <c r="D6" s="321">
        <v>30674.681973598628</v>
      </c>
      <c r="E6" s="288">
        <v>57.57</v>
      </c>
      <c r="F6" s="326">
        <f>B6*(E6/100)*'Project Emission-2'!$D$15/1000</f>
        <v>56.530683166172579</v>
      </c>
      <c r="G6" s="307"/>
    </row>
    <row r="7" spans="1:7">
      <c r="A7" s="320">
        <f t="shared" si="0"/>
        <v>43470</v>
      </c>
      <c r="B7" s="321">
        <v>26553.596999063298</v>
      </c>
      <c r="C7" s="321">
        <v>3995.0475582076315</v>
      </c>
      <c r="D7" s="321">
        <v>30548.644557270931</v>
      </c>
      <c r="E7" s="288">
        <v>55.25</v>
      </c>
      <c r="F7" s="326">
        <f>B7*(E7/100)*'Project Emission-2'!$D$15/1000</f>
        <v>54.755714545860926</v>
      </c>
      <c r="G7" s="307"/>
    </row>
    <row r="8" spans="1:7">
      <c r="A8" s="320">
        <f t="shared" si="0"/>
        <v>43471</v>
      </c>
      <c r="B8" s="321">
        <v>24144.596999063298</v>
      </c>
      <c r="C8" s="321">
        <v>4104.0585808555215</v>
      </c>
      <c r="D8" s="321">
        <v>28248.655579918821</v>
      </c>
      <c r="E8" s="288">
        <v>56.97</v>
      </c>
      <c r="F8" s="326">
        <f>B8*(E8/100)*'Project Emission-2'!$D$15/1000</f>
        <v>51.338123341021081</v>
      </c>
      <c r="G8" s="307"/>
    </row>
    <row r="9" spans="1:7">
      <c r="A9" s="320">
        <f t="shared" si="0"/>
        <v>43472</v>
      </c>
      <c r="B9" s="321">
        <v>27810.596999063298</v>
      </c>
      <c r="C9" s="321">
        <v>3340.9814223202916</v>
      </c>
      <c r="D9" s="321">
        <v>31151.57842138359</v>
      </c>
      <c r="E9" s="288">
        <v>57.07</v>
      </c>
      <c r="F9" s="326">
        <f>B9*(E9/100)*'Project Emission-2'!$D$15/1000</f>
        <v>59.236855010903014</v>
      </c>
      <c r="G9" s="307"/>
    </row>
    <row r="10" spans="1:7">
      <c r="A10" s="320">
        <f t="shared" si="0"/>
        <v>43473</v>
      </c>
      <c r="B10" s="321">
        <v>27812.596999063298</v>
      </c>
      <c r="C10" s="321">
        <v>2803.9271180825217</v>
      </c>
      <c r="D10" s="321">
        <v>30616.524117145818</v>
      </c>
      <c r="E10" s="288">
        <v>55.36</v>
      </c>
      <c r="F10" s="326">
        <f>B10*(E10/100)*'Project Emission-2'!$D$15/1000</f>
        <v>57.466061470683002</v>
      </c>
      <c r="G10" s="307"/>
    </row>
    <row r="11" spans="1:7">
      <c r="A11" s="320">
        <f t="shared" si="0"/>
        <v>43474</v>
      </c>
      <c r="B11" s="321">
        <v>25736.596999063298</v>
      </c>
      <c r="C11" s="321">
        <v>3444.9919393421314</v>
      </c>
      <c r="D11" s="321">
        <v>29181.588938405432</v>
      </c>
      <c r="E11" s="288">
        <v>57.03</v>
      </c>
      <c r="F11" s="326">
        <f>B11*(E11/100)*'Project Emission-2'!$D$15/1000</f>
        <v>54.780791437557909</v>
      </c>
      <c r="G11" s="307"/>
    </row>
    <row r="12" spans="1:7">
      <c r="A12" s="320">
        <f t="shared" si="0"/>
        <v>43475</v>
      </c>
      <c r="B12" s="321">
        <v>26570.596999063298</v>
      </c>
      <c r="C12" s="321">
        <v>4246.0729406353412</v>
      </c>
      <c r="D12" s="321">
        <v>30816.669939698641</v>
      </c>
      <c r="E12" s="288">
        <v>57.32</v>
      </c>
      <c r="F12" s="326">
        <f>B12*(E12/100)*'Project Emission-2'!$D$15/1000</f>
        <v>56.843564410712496</v>
      </c>
      <c r="G12" s="307"/>
    </row>
    <row r="13" spans="1:7">
      <c r="A13" s="320">
        <f t="shared" si="0"/>
        <v>43476</v>
      </c>
      <c r="B13" s="321">
        <v>26632.596999063298</v>
      </c>
      <c r="C13" s="321">
        <v>3792.0270297900015</v>
      </c>
      <c r="D13" s="321">
        <v>30424.624028853301</v>
      </c>
      <c r="E13" s="288">
        <v>57.76</v>
      </c>
      <c r="F13" s="326">
        <f>B13*(E13/100)*'Project Emission-2'!$D$15/1000</f>
        <v>57.413564493736061</v>
      </c>
      <c r="G13" s="307"/>
    </row>
    <row r="14" spans="1:7">
      <c r="A14" s="320">
        <f t="shared" si="0"/>
        <v>43477</v>
      </c>
      <c r="B14" s="321">
        <v>26928.596999063298</v>
      </c>
      <c r="C14" s="321">
        <v>3593.0069058732115</v>
      </c>
      <c r="D14" s="321">
        <v>30521.60390493651</v>
      </c>
      <c r="E14" s="288">
        <v>57.59</v>
      </c>
      <c r="F14" s="326">
        <f>B14*(E14/100)*'Project Emission-2'!$D$15/1000</f>
        <v>57.88081186366891</v>
      </c>
      <c r="G14" s="307"/>
    </row>
    <row r="15" spans="1:7">
      <c r="A15" s="320">
        <f t="shared" si="0"/>
        <v>43478</v>
      </c>
      <c r="B15" s="321">
        <v>26551.596999063298</v>
      </c>
      <c r="C15" s="321">
        <v>3984.0464458303218</v>
      </c>
      <c r="D15" s="321">
        <v>30535.64344489362</v>
      </c>
      <c r="E15" s="288">
        <v>57.16</v>
      </c>
      <c r="F15" s="326">
        <f>B15*(E15/100)*'Project Emission-2'!$D$15/1000</f>
        <v>56.644360292135147</v>
      </c>
      <c r="G15" s="307"/>
    </row>
    <row r="16" spans="1:7">
      <c r="A16" s="320">
        <f t="shared" si="0"/>
        <v>43479</v>
      </c>
      <c r="B16" s="321">
        <v>24921.596999063298</v>
      </c>
      <c r="C16" s="321">
        <v>2698.9164999354716</v>
      </c>
      <c r="D16" s="321">
        <v>27620.513498998771</v>
      </c>
      <c r="E16" s="288">
        <v>56.65</v>
      </c>
      <c r="F16" s="326">
        <f>B16*(E16/100)*'Project Emission-2'!$D$15/1000</f>
        <v>52.692595550681659</v>
      </c>
      <c r="G16" s="307"/>
    </row>
    <row r="17" spans="1:7">
      <c r="A17" s="320">
        <f t="shared" si="0"/>
        <v>43480</v>
      </c>
      <c r="B17" s="321">
        <v>23563.596999063298</v>
      </c>
      <c r="C17" s="321">
        <v>3054.9525005102314</v>
      </c>
      <c r="D17" s="321">
        <v>26618.549499573528</v>
      </c>
      <c r="E17" s="288">
        <v>57.08</v>
      </c>
      <c r="F17" s="326">
        <f>B17*(E17/100)*'Project Emission-2'!$D$15/1000</f>
        <v>50.199496317900895</v>
      </c>
      <c r="G17" s="307"/>
    </row>
    <row r="18" spans="1:7">
      <c r="A18" s="320">
        <f t="shared" si="0"/>
        <v>43481</v>
      </c>
      <c r="B18" s="321">
        <v>28248.596999063298</v>
      </c>
      <c r="C18" s="321">
        <v>3828.0306702975618</v>
      </c>
      <c r="D18" s="321">
        <v>32076.62766936086</v>
      </c>
      <c r="E18" s="288">
        <v>57.12</v>
      </c>
      <c r="F18" s="326">
        <f>B18*(E18/100)*'Project Emission-2'!$D$15/1000</f>
        <v>60.222515261495076</v>
      </c>
      <c r="G18" s="307"/>
    </row>
    <row r="19" spans="1:7">
      <c r="A19" s="320">
        <f t="shared" si="0"/>
        <v>43482</v>
      </c>
      <c r="B19" s="321">
        <v>28284.596999063298</v>
      </c>
      <c r="C19" s="321">
        <v>3814.0292545446214</v>
      </c>
      <c r="D19" s="321">
        <v>32098.626253607919</v>
      </c>
      <c r="E19" s="288">
        <v>57.6</v>
      </c>
      <c r="F19" s="326">
        <f>B19*(E19/100)*'Project Emission-2'!$D$15/1000</f>
        <v>60.805979303524595</v>
      </c>
      <c r="G19" s="307"/>
    </row>
    <row r="20" spans="1:7">
      <c r="A20" s="320">
        <f t="shared" si="0"/>
        <v>43483</v>
      </c>
      <c r="B20" s="321">
        <v>28296.596999063298</v>
      </c>
      <c r="C20" s="356">
        <v>3909.2745777685714</v>
      </c>
      <c r="D20" s="356">
        <v>32205.871576831869</v>
      </c>
      <c r="E20" s="288">
        <v>55.2</v>
      </c>
      <c r="F20" s="326">
        <f>B20*(E20/100)*'Project Emission-2'!$D$15/1000</f>
        <v>58.297119431986545</v>
      </c>
      <c r="G20" s="307"/>
    </row>
    <row r="21" spans="1:7">
      <c r="A21" s="320">
        <f t="shared" si="0"/>
        <v>43484</v>
      </c>
      <c r="B21" s="321">
        <v>24947.596999063298</v>
      </c>
      <c r="C21" s="321">
        <v>3343.9817256959213</v>
      </c>
      <c r="D21" s="321">
        <v>28291.57872475922</v>
      </c>
      <c r="E21" s="288">
        <v>56.98</v>
      </c>
      <c r="F21" s="326">
        <f>B21*(E21/100)*'Project Emission-2'!$D$15/1000</f>
        <v>53.054835638911626</v>
      </c>
      <c r="G21" s="307"/>
    </row>
    <row r="22" spans="1:7">
      <c r="A22" s="320">
        <f t="shared" si="0"/>
        <v>43485</v>
      </c>
      <c r="B22" s="321">
        <v>28257.596999063298</v>
      </c>
      <c r="C22" s="321">
        <v>3506.9982091051515</v>
      </c>
      <c r="D22" s="321">
        <v>31764.595208168452</v>
      </c>
      <c r="E22" s="288">
        <v>56.02</v>
      </c>
      <c r="F22" s="326">
        <f>B22*(E22/100)*'Project Emission-2'!$D$15/1000</f>
        <v>59.081585335370491</v>
      </c>
      <c r="G22" s="307"/>
    </row>
    <row r="23" spans="1:7">
      <c r="A23" s="320">
        <f t="shared" si="0"/>
        <v>43486</v>
      </c>
      <c r="B23" s="321">
        <v>29765.596999063298</v>
      </c>
      <c r="C23" s="321">
        <v>2220.8681620850916</v>
      </c>
      <c r="D23" s="321">
        <v>31986.46516114839</v>
      </c>
      <c r="E23" s="288">
        <v>56.38</v>
      </c>
      <c r="F23" s="326">
        <f>B23*(E23/100)*'Project Emission-2'!$D$15/1000</f>
        <v>62.634480212673012</v>
      </c>
      <c r="G23" s="307"/>
    </row>
    <row r="24" spans="1:7">
      <c r="A24" s="320">
        <f t="shared" si="0"/>
        <v>43487</v>
      </c>
      <c r="B24" s="321">
        <v>29005.596999063298</v>
      </c>
      <c r="C24" s="321">
        <v>2468.8932411371716</v>
      </c>
      <c r="D24" s="321">
        <v>31474.49024020047</v>
      </c>
      <c r="E24" s="288">
        <v>53.73</v>
      </c>
      <c r="F24" s="326">
        <f>B24*(E24/100)*'Project Emission-2'!$D$15/1000</f>
        <v>58.166436473427929</v>
      </c>
      <c r="G24" s="307"/>
    </row>
    <row r="25" spans="1:7">
      <c r="A25" s="320">
        <f t="shared" si="0"/>
        <v>43488</v>
      </c>
      <c r="B25" s="321">
        <v>30520.596999063298</v>
      </c>
      <c r="C25" s="321">
        <v>4155.0637382412315</v>
      </c>
      <c r="D25" s="321">
        <v>34675.660737304526</v>
      </c>
      <c r="E25" s="288">
        <v>59.38</v>
      </c>
      <c r="F25" s="326">
        <f>B25*(E25/100)*'Project Emission-2'!$D$15/1000</f>
        <v>67.64053380751551</v>
      </c>
      <c r="G25" s="307"/>
    </row>
    <row r="26" spans="1:7">
      <c r="A26" s="320">
        <f t="shared" si="0"/>
        <v>43489</v>
      </c>
      <c r="B26" s="321">
        <v>23910.596999063298</v>
      </c>
      <c r="C26" s="321">
        <v>3395.9869842068415</v>
      </c>
      <c r="D26" s="321">
        <v>27306.583983270139</v>
      </c>
      <c r="E26" s="288">
        <v>55.56</v>
      </c>
      <c r="F26" s="326">
        <f>B26*(E26/100)*'Project Emission-2'!$D$15/1000</f>
        <v>49.582276788070558</v>
      </c>
      <c r="G26" s="307"/>
    </row>
    <row r="27" spans="1:7">
      <c r="A27" s="320">
        <f t="shared" si="0"/>
        <v>43490</v>
      </c>
      <c r="B27" s="321">
        <v>28567.596999063298</v>
      </c>
      <c r="C27" s="321">
        <v>3660.0136812622814</v>
      </c>
      <c r="D27" s="321">
        <v>32227.610680325579</v>
      </c>
      <c r="E27" s="288">
        <v>56.39</v>
      </c>
      <c r="F27" s="326">
        <f>B27*(E27/100)*'Project Emission-2'!$D$15/1000</f>
        <v>60.124241965437484</v>
      </c>
      <c r="G27" s="307"/>
    </row>
    <row r="28" spans="1:7">
      <c r="A28" s="320">
        <f t="shared" si="0"/>
        <v>43491</v>
      </c>
      <c r="B28" s="321">
        <v>30653.596999063298</v>
      </c>
      <c r="C28" s="321">
        <v>3612.0088272522016</v>
      </c>
      <c r="D28" s="321">
        <v>34265.605826315499</v>
      </c>
      <c r="E28" s="288">
        <v>58.09</v>
      </c>
      <c r="F28" s="326">
        <f>B28*(E28/100)*'Project Emission-2'!$D$15/1000</f>
        <v>66.45943251510819</v>
      </c>
      <c r="G28" s="307"/>
    </row>
    <row r="29" spans="1:7">
      <c r="A29" s="320">
        <f t="shared" si="0"/>
        <v>43492</v>
      </c>
      <c r="B29" s="321">
        <v>33353.596999063302</v>
      </c>
      <c r="C29" s="321">
        <v>3750.0227825311817</v>
      </c>
      <c r="D29" s="321">
        <v>37103.619781594483</v>
      </c>
      <c r="E29" s="288">
        <v>56.84</v>
      </c>
      <c r="F29" s="326">
        <f>B29*(E29/100)*'Project Emission-2'!$D$15/1000</f>
        <v>70.757186351312797</v>
      </c>
      <c r="G29" s="307"/>
    </row>
    <row r="30" spans="1:7">
      <c r="A30" s="320">
        <f t="shared" si="0"/>
        <v>43493</v>
      </c>
      <c r="B30" s="321">
        <v>33229.596999063302</v>
      </c>
      <c r="C30" s="321">
        <v>2906.9375339791513</v>
      </c>
      <c r="D30" s="321">
        <v>36136.534533042453</v>
      </c>
      <c r="E30" s="288">
        <v>55</v>
      </c>
      <c r="F30" s="326">
        <f>B30*(E30/100)*'Project Emission-2'!$D$15/1000</f>
        <v>68.212123932304607</v>
      </c>
      <c r="G30" s="307"/>
    </row>
    <row r="31" spans="1:7">
      <c r="A31" s="320">
        <f t="shared" si="0"/>
        <v>43494</v>
      </c>
      <c r="B31" s="321">
        <v>29847.596999063298</v>
      </c>
      <c r="C31" s="321">
        <v>2538.9003199018716</v>
      </c>
      <c r="D31" s="321">
        <v>32386.497318965172</v>
      </c>
      <c r="E31" s="288">
        <v>56.65</v>
      </c>
      <c r="F31" s="326">
        <f>B31*(E31/100)*'Project Emission-2'!$D$15/1000</f>
        <v>63.107807934238529</v>
      </c>
      <c r="G31" s="307"/>
    </row>
    <row r="32" spans="1:7">
      <c r="A32" s="320">
        <f t="shared" si="0"/>
        <v>43495</v>
      </c>
      <c r="B32" s="321">
        <v>30184.596999063298</v>
      </c>
      <c r="C32" s="321">
        <v>3850.0328950521816</v>
      </c>
      <c r="D32" s="321">
        <v>34034.629894115482</v>
      </c>
      <c r="E32" s="288">
        <v>57.68</v>
      </c>
      <c r="F32" s="326">
        <f>B32*(E32/100)*'Project Emission-2'!$D$15/1000</f>
        <v>64.980708498910374</v>
      </c>
      <c r="G32" s="307"/>
    </row>
    <row r="33" spans="1:7">
      <c r="A33" s="317" t="s">
        <v>321</v>
      </c>
      <c r="B33" s="322">
        <f>SUM(B2:B32)</f>
        <v>854359.50697096181</v>
      </c>
      <c r="C33" s="322">
        <f>SUM(C2:C32)</f>
        <v>109266.23571632903</v>
      </c>
      <c r="D33" s="322">
        <v>963625.74268729088</v>
      </c>
      <c r="E33" s="323">
        <f>+AVERAGE(E2:E32)</f>
        <v>56.844193548387103</v>
      </c>
      <c r="F33" s="327">
        <f>SUM(F2:F32)</f>
        <v>1811.8624960672073</v>
      </c>
      <c r="G33" s="307"/>
    </row>
    <row r="34" spans="1:7">
      <c r="A34" s="320">
        <f>A32+1</f>
        <v>43496</v>
      </c>
      <c r="B34" s="321">
        <v>31219.617250586729</v>
      </c>
      <c r="C34" s="321">
        <v>3840.9970565340664</v>
      </c>
      <c r="D34" s="321">
        <v>35060.614307120792</v>
      </c>
      <c r="E34" s="288">
        <v>57.4</v>
      </c>
      <c r="F34" s="326">
        <f>B34*(E34/100)*'Project Emission-2'!$D$15/1000</f>
        <v>66.882619689238794</v>
      </c>
      <c r="G34" s="307"/>
    </row>
    <row r="35" spans="1:7">
      <c r="A35" s="320">
        <f t="shared" si="0"/>
        <v>43497</v>
      </c>
      <c r="B35" s="321">
        <v>30353.617250586729</v>
      </c>
      <c r="C35" s="321">
        <v>4022.0153601970765</v>
      </c>
      <c r="D35" s="321">
        <v>34375.632610783803</v>
      </c>
      <c r="E35" s="288">
        <v>57.57</v>
      </c>
      <c r="F35" s="326">
        <f>B35*(E35/100)*'Project Emission-2'!$D$15/1000</f>
        <v>65.219954520826775</v>
      </c>
      <c r="G35" s="307"/>
    </row>
    <row r="36" spans="1:7">
      <c r="A36" s="320">
        <f t="shared" si="0"/>
        <v>43498</v>
      </c>
      <c r="B36" s="321">
        <v>28837.617250586729</v>
      </c>
      <c r="C36" s="321">
        <v>3932.0062589281765</v>
      </c>
      <c r="D36" s="321">
        <v>32769.623509514902</v>
      </c>
      <c r="E36" s="288">
        <v>57.9</v>
      </c>
      <c r="F36" s="326">
        <f>B36*(E36/100)*'Project Emission-2'!$D$15/1000</f>
        <v>62.317747286867075</v>
      </c>
      <c r="G36" s="307"/>
    </row>
    <row r="37" spans="1:7">
      <c r="A37" s="320">
        <f t="shared" si="0"/>
        <v>43499</v>
      </c>
      <c r="B37" s="321">
        <v>28503.617250586729</v>
      </c>
      <c r="C37" s="321">
        <v>4160.0293154760557</v>
      </c>
      <c r="D37" s="321">
        <v>32663.646566062784</v>
      </c>
      <c r="E37" s="288">
        <v>56.67</v>
      </c>
      <c r="F37" s="326">
        <f>B37*(E37/100)*'Project Emission-2'!$D$15/1000</f>
        <v>60.28746168714401</v>
      </c>
      <c r="G37" s="307"/>
    </row>
    <row r="38" spans="1:7">
      <c r="A38" s="320">
        <f t="shared" si="0"/>
        <v>43500</v>
      </c>
      <c r="B38" s="321">
        <v>30289.617250586729</v>
      </c>
      <c r="C38" s="321">
        <v>3838.9968542836464</v>
      </c>
      <c r="D38" s="321">
        <v>34128.614104870372</v>
      </c>
      <c r="E38" s="288">
        <v>56.98</v>
      </c>
      <c r="F38" s="326">
        <f>B38*(E38/100)*'Project Emission-2'!$D$15/1000</f>
        <v>64.415449105409181</v>
      </c>
      <c r="G38" s="307"/>
    </row>
    <row r="39" spans="1:7">
      <c r="A39" s="320">
        <f t="shared" si="0"/>
        <v>43501</v>
      </c>
      <c r="B39" s="321">
        <v>30764.617250586729</v>
      </c>
      <c r="C39" s="321">
        <v>4219.0352818634465</v>
      </c>
      <c r="D39" s="321">
        <v>34983.652532450178</v>
      </c>
      <c r="E39" s="288">
        <v>56.77</v>
      </c>
      <c r="F39" s="326">
        <f>B39*(E39/100)*'Project Emission-2'!$D$15/1000</f>
        <v>65.184482076806091</v>
      </c>
      <c r="G39" s="307"/>
    </row>
    <row r="40" spans="1:7">
      <c r="A40" s="320">
        <f t="shared" si="0"/>
        <v>43502</v>
      </c>
      <c r="B40" s="321">
        <v>29880.617250586729</v>
      </c>
      <c r="C40" s="321">
        <v>3899.0029217962465</v>
      </c>
      <c r="D40" s="321">
        <v>33779.620172382973</v>
      </c>
      <c r="E40" s="288">
        <v>56.38</v>
      </c>
      <c r="F40" s="326">
        <f>B40*(E40/100)*'Project Emission-2'!$D$15/1000</f>
        <v>62.876512437604617</v>
      </c>
      <c r="G40" s="307"/>
    </row>
    <row r="41" spans="1:7">
      <c r="A41" s="320">
        <f t="shared" si="0"/>
        <v>43503</v>
      </c>
      <c r="B41" s="321">
        <v>27647.617250586729</v>
      </c>
      <c r="C41" s="321">
        <v>4004.0135399432966</v>
      </c>
      <c r="D41" s="321">
        <v>31651.630790530027</v>
      </c>
      <c r="E41" s="288">
        <v>56.74</v>
      </c>
      <c r="F41" s="326">
        <f>B41*(E41/100)*'Project Emission-2'!$D$15/1000</f>
        <v>58.549184265021545</v>
      </c>
      <c r="G41" s="307"/>
    </row>
    <row r="42" spans="1:7">
      <c r="A42" s="320">
        <f t="shared" si="0"/>
        <v>43504</v>
      </c>
      <c r="B42" s="321">
        <v>28322.617250586729</v>
      </c>
      <c r="C42" s="321">
        <v>3770.9899777693663</v>
      </c>
      <c r="D42" s="321">
        <v>32093.607228356093</v>
      </c>
      <c r="E42" s="288">
        <v>57.72</v>
      </c>
      <c r="F42" s="326">
        <f>B42*(E42/100)*'Project Emission-2'!$D$15/1000</f>
        <v>61.014564313852361</v>
      </c>
      <c r="G42" s="307"/>
    </row>
    <row r="43" spans="1:7">
      <c r="A43" s="320">
        <f t="shared" si="0"/>
        <v>43505</v>
      </c>
      <c r="B43" s="321">
        <v>29846.617250586729</v>
      </c>
      <c r="C43" s="321">
        <v>4164.0297199768956</v>
      </c>
      <c r="D43" s="321">
        <v>34010.646970563626</v>
      </c>
      <c r="E43" s="288">
        <v>56.57</v>
      </c>
      <c r="F43" s="326">
        <f>B43*(E43/100)*'Project Emission-2'!$D$15/1000</f>
        <v>63.016619755909787</v>
      </c>
      <c r="G43" s="307"/>
    </row>
    <row r="44" spans="1:7">
      <c r="A44" s="320">
        <f t="shared" si="0"/>
        <v>43506</v>
      </c>
      <c r="B44" s="321">
        <v>29700.617250586729</v>
      </c>
      <c r="C44" s="321">
        <v>4244.0378099936961</v>
      </c>
      <c r="D44" s="321">
        <v>33944.655060580422</v>
      </c>
      <c r="E44" s="288">
        <v>57.31</v>
      </c>
      <c r="F44" s="326">
        <f>B44*(E44/100)*'Project Emission-2'!$D$15/1000</f>
        <v>63.528659603741723</v>
      </c>
      <c r="G44" s="307"/>
    </row>
    <row r="45" spans="1:7">
      <c r="A45" s="320">
        <f t="shared" si="0"/>
        <v>43507</v>
      </c>
      <c r="B45" s="321">
        <v>26279.617250586729</v>
      </c>
      <c r="C45" s="321">
        <v>3315.9439657988164</v>
      </c>
      <c r="D45" s="321">
        <v>29595.561216385544</v>
      </c>
      <c r="E45" s="288">
        <v>56.6</v>
      </c>
      <c r="F45" s="326">
        <f>B45*(E45/100)*'Project Emission-2'!$D$15/1000</f>
        <v>55.514863396904467</v>
      </c>
      <c r="G45" s="307"/>
    </row>
    <row r="46" spans="1:7">
      <c r="A46" s="320">
        <f t="shared" si="0"/>
        <v>43508</v>
      </c>
      <c r="B46" s="321">
        <v>24720.617250586729</v>
      </c>
      <c r="C46" s="321">
        <v>3257.9381005366363</v>
      </c>
      <c r="D46" s="321">
        <v>27978.555351123367</v>
      </c>
      <c r="E46" s="288">
        <v>55.84</v>
      </c>
      <c r="F46" s="326">
        <f>B46*(E46/100)*'Project Emission-2'!$D$15/1000</f>
        <v>51.520317263020011</v>
      </c>
      <c r="G46" s="307"/>
    </row>
    <row r="47" spans="1:7">
      <c r="A47" s="320">
        <f t="shared" si="0"/>
        <v>43509</v>
      </c>
      <c r="B47" s="321">
        <v>23484.617250586729</v>
      </c>
      <c r="C47" s="321">
        <v>4186.031944731516</v>
      </c>
      <c r="D47" s="321">
        <v>27670.649195318245</v>
      </c>
      <c r="E47" s="288">
        <v>57.69</v>
      </c>
      <c r="F47" s="326">
        <f>B47*(E47/100)*'Project Emission-2'!$D$15/1000</f>
        <v>50.565910788312777</v>
      </c>
      <c r="G47" s="307"/>
    </row>
    <row r="48" spans="1:7">
      <c r="A48" s="320">
        <f t="shared" si="0"/>
        <v>43510</v>
      </c>
      <c r="B48" s="321">
        <v>23295.617250586729</v>
      </c>
      <c r="C48" s="356">
        <v>4460.2953693680556</v>
      </c>
      <c r="D48" s="356">
        <v>27755.912619954783</v>
      </c>
      <c r="E48" s="288">
        <v>59.1</v>
      </c>
      <c r="F48" s="326">
        <f>B48*(E48/100)*'Project Emission-2'!$D$15/1000</f>
        <v>51.384899531999984</v>
      </c>
      <c r="G48" s="307"/>
    </row>
    <row r="49" spans="1:7">
      <c r="A49" s="320">
        <f t="shared" si="0"/>
        <v>43511</v>
      </c>
      <c r="B49" s="321">
        <v>23127.617250586729</v>
      </c>
      <c r="C49" s="321">
        <v>4035.0166748248066</v>
      </c>
      <c r="D49" s="321">
        <v>27162.633925411537</v>
      </c>
      <c r="E49" s="288">
        <v>60.09</v>
      </c>
      <c r="F49" s="326">
        <f>B49*(E49/100)*'Project Emission-2'!$D$15/1000</f>
        <v>51.868884018447808</v>
      </c>
      <c r="G49" s="307"/>
    </row>
    <row r="50" spans="1:7">
      <c r="A50" s="320">
        <f t="shared" si="0"/>
        <v>43512</v>
      </c>
      <c r="B50" s="321">
        <v>23810.617250586729</v>
      </c>
      <c r="C50" s="321">
        <v>3561.9688426004764</v>
      </c>
      <c r="D50" s="321">
        <v>27372.586093187205</v>
      </c>
      <c r="E50" s="288">
        <v>59.93</v>
      </c>
      <c r="F50" s="326">
        <f>B50*(E50/100)*'Project Emission-2'!$D$15/1000</f>
        <v>53.258476661693635</v>
      </c>
      <c r="G50" s="307"/>
    </row>
    <row r="51" spans="1:7">
      <c r="A51" s="320">
        <f t="shared" si="0"/>
        <v>43513</v>
      </c>
      <c r="B51" s="321">
        <v>25170.617250586729</v>
      </c>
      <c r="C51" s="321">
        <v>4032.0163714491764</v>
      </c>
      <c r="D51" s="321">
        <v>29202.633622035904</v>
      </c>
      <c r="E51" s="288">
        <v>58.51</v>
      </c>
      <c r="F51" s="326">
        <f>B51*(E51/100)*'Project Emission-2'!$D$15/1000</f>
        <v>54.966460565763036</v>
      </c>
      <c r="G51" s="307"/>
    </row>
    <row r="52" spans="1:7">
      <c r="A52" s="320">
        <f t="shared" si="0"/>
        <v>43514</v>
      </c>
      <c r="B52" s="321">
        <v>24149.617250586729</v>
      </c>
      <c r="C52" s="321">
        <v>3544.9671234719067</v>
      </c>
      <c r="D52" s="321">
        <v>27694.584374058635</v>
      </c>
      <c r="E52" s="288">
        <v>59.35</v>
      </c>
      <c r="F52" s="326">
        <f>B52*(E52/100)*'Project Emission-2'!$D$15/1000</f>
        <v>53.493964347785784</v>
      </c>
      <c r="G52" s="307"/>
    </row>
    <row r="53" spans="1:7">
      <c r="A53" s="320">
        <f t="shared" si="0"/>
        <v>43515</v>
      </c>
      <c r="B53" s="321">
        <v>23413.617250586729</v>
      </c>
      <c r="C53" s="321">
        <v>3074.9195946232066</v>
      </c>
      <c r="D53" s="321">
        <v>26488.536845209936</v>
      </c>
      <c r="E53" s="288">
        <v>58.31</v>
      </c>
      <c r="F53" s="326">
        <f>B53*(E53/100)*'Project Emission-2'!$D$15/1000</f>
        <v>50.954830893979107</v>
      </c>
      <c r="G53" s="307"/>
    </row>
    <row r="54" spans="1:7">
      <c r="A54" s="320">
        <f t="shared" si="0"/>
        <v>43516</v>
      </c>
      <c r="B54" s="321">
        <v>23383.617250586729</v>
      </c>
      <c r="C54" s="321">
        <v>3701.9830001298765</v>
      </c>
      <c r="D54" s="321">
        <v>27085.600250716605</v>
      </c>
      <c r="E54" s="288">
        <v>56.89</v>
      </c>
      <c r="F54" s="326">
        <f>B54*(E54/100)*'Project Emission-2'!$D$15/1000</f>
        <v>49.650249608995949</v>
      </c>
      <c r="G54" s="307"/>
    </row>
    <row r="55" spans="1:7">
      <c r="A55" s="320">
        <f t="shared" si="0"/>
        <v>43517</v>
      </c>
      <c r="B55" s="321">
        <v>22699.617250586729</v>
      </c>
      <c r="C55" s="321">
        <v>3501.9627750878763</v>
      </c>
      <c r="D55" s="321">
        <v>26201.580025674604</v>
      </c>
      <c r="E55" s="288">
        <v>55.98</v>
      </c>
      <c r="F55" s="326">
        <f>B55*(E55/100)*'Project Emission-2'!$D$15/1000</f>
        <v>47.42695446344171</v>
      </c>
      <c r="G55" s="307"/>
    </row>
    <row r="56" spans="1:7">
      <c r="A56" s="320">
        <f t="shared" si="0"/>
        <v>43518</v>
      </c>
      <c r="B56" s="321">
        <v>23217.617250586729</v>
      </c>
      <c r="C56" s="321">
        <v>4015.0146523206063</v>
      </c>
      <c r="D56" s="321">
        <v>27232.631902907335</v>
      </c>
      <c r="E56" s="288">
        <v>57.93</v>
      </c>
      <c r="F56" s="326">
        <f>B56*(E56/100)*'Project Emission-2'!$D$15/1000</f>
        <v>50.198990617575546</v>
      </c>
      <c r="G56" s="307"/>
    </row>
    <row r="57" spans="1:7">
      <c r="A57" s="320">
        <f t="shared" si="0"/>
        <v>43519</v>
      </c>
      <c r="B57" s="321">
        <v>23143.617250586729</v>
      </c>
      <c r="C57" s="321">
        <v>3865.9995846643164</v>
      </c>
      <c r="D57" s="321">
        <v>27009.616835251047</v>
      </c>
      <c r="E57" s="288">
        <v>59.66</v>
      </c>
      <c r="F57" s="326">
        <f>B57*(E57/100)*'Project Emission-2'!$D$15/1000</f>
        <v>51.533340590108907</v>
      </c>
      <c r="G57" s="307"/>
    </row>
    <row r="58" spans="1:7">
      <c r="A58" s="320">
        <f t="shared" si="0"/>
        <v>43520</v>
      </c>
      <c r="B58" s="321">
        <v>22678.617250586729</v>
      </c>
      <c r="C58" s="321">
        <v>4170.0303267281561</v>
      </c>
      <c r="D58" s="321">
        <v>26848.647577314885</v>
      </c>
      <c r="E58" s="288">
        <v>60.5</v>
      </c>
      <c r="F58" s="326">
        <f>B58*(E58/100)*'Project Emission-2'!$D$15/1000</f>
        <v>51.208936286808481</v>
      </c>
      <c r="G58" s="307"/>
    </row>
    <row r="59" spans="1:7">
      <c r="A59" s="320">
        <f t="shared" si="0"/>
        <v>43521</v>
      </c>
      <c r="B59" s="321">
        <v>22908.617250586729</v>
      </c>
      <c r="C59" s="321">
        <v>3800.9930115256666</v>
      </c>
      <c r="D59" s="321">
        <v>26709.610262112394</v>
      </c>
      <c r="E59" s="288">
        <v>57.74</v>
      </c>
      <c r="F59" s="326">
        <f>B59*(E59/100)*'Project Emission-2'!$D$15/1000</f>
        <v>49.368446859562745</v>
      </c>
      <c r="G59" s="307"/>
    </row>
    <row r="60" spans="1:7">
      <c r="A60" s="320">
        <f t="shared" si="0"/>
        <v>43522</v>
      </c>
      <c r="B60" s="321">
        <v>22530.617250586729</v>
      </c>
      <c r="C60" s="321">
        <v>3555.9682358492164</v>
      </c>
      <c r="D60" s="321">
        <v>26086.585486435946</v>
      </c>
      <c r="E60" s="288">
        <v>57.32</v>
      </c>
      <c r="F60" s="326">
        <f>B60*(E60/100)*'Project Emission-2'!$D$15/1000</f>
        <v>48.200670573641474</v>
      </c>
      <c r="G60" s="307"/>
    </row>
    <row r="61" spans="1:7">
      <c r="A61" s="320">
        <f t="shared" si="0"/>
        <v>43523</v>
      </c>
      <c r="B61" s="321">
        <v>22448.617250586729</v>
      </c>
      <c r="C61" s="321">
        <v>4187.0320458567257</v>
      </c>
      <c r="D61" s="321">
        <v>26635.649296443455</v>
      </c>
      <c r="E61" s="288">
        <v>60.09</v>
      </c>
      <c r="F61" s="326">
        <f>B61*(E61/100)*'Project Emission-2'!$D$15/1000</f>
        <v>50.346073783959319</v>
      </c>
      <c r="G61" s="307"/>
    </row>
    <row r="62" spans="1:7">
      <c r="A62" s="317" t="s">
        <v>321</v>
      </c>
      <c r="B62" s="322">
        <f>SUM(B34:B61)</f>
        <v>725830.2830164287</v>
      </c>
      <c r="C62" s="322">
        <f>SUM(C34:C61)</f>
        <v>108363.23571632901</v>
      </c>
      <c r="D62" s="322">
        <v>834193.51873275777</v>
      </c>
      <c r="E62" s="323">
        <f>+AVERAGE(E34:E61)</f>
        <v>57.840714285714292</v>
      </c>
      <c r="F62" s="327">
        <f>SUM(F34:F61)</f>
        <v>1564.7555249944228</v>
      </c>
      <c r="G62" s="307"/>
    </row>
    <row r="63" spans="1:7">
      <c r="A63" s="320">
        <f>A61+1</f>
        <v>43524</v>
      </c>
      <c r="B63" s="321">
        <v>23020.787758015544</v>
      </c>
      <c r="C63" s="321">
        <v>4236.0133681003417</v>
      </c>
      <c r="D63" s="321">
        <v>27256.801126115886</v>
      </c>
      <c r="E63" s="288">
        <v>60.67</v>
      </c>
      <c r="F63" s="326">
        <f>B63*(E63/100)*'Project Emission-2'!$D$15/1000</f>
        <v>52.127630531135445</v>
      </c>
      <c r="G63" s="307"/>
    </row>
    <row r="64" spans="1:7">
      <c r="A64" s="320">
        <f t="shared" si="0"/>
        <v>43525</v>
      </c>
      <c r="B64" s="321">
        <v>23412.787758015544</v>
      </c>
      <c r="C64" s="321">
        <v>4484.0384471524212</v>
      </c>
      <c r="D64" s="321">
        <v>27896.826205167963</v>
      </c>
      <c r="E64" s="288">
        <v>59.81</v>
      </c>
      <c r="F64" s="326">
        <f>B64*(E64/100)*'Project Emission-2'!$D$15/1000</f>
        <v>52.263770635499192</v>
      </c>
      <c r="G64" s="307"/>
    </row>
    <row r="65" spans="1:7">
      <c r="A65" s="320">
        <f t="shared" si="0"/>
        <v>43526</v>
      </c>
      <c r="B65" s="321">
        <v>23316.787758015544</v>
      </c>
      <c r="C65" s="321">
        <v>4561.0462337935915</v>
      </c>
      <c r="D65" s="321">
        <v>27877.833991809137</v>
      </c>
      <c r="E65" s="288">
        <v>59.08</v>
      </c>
      <c r="F65" s="326">
        <f>B65*(E65/100)*'Project Emission-2'!$D$15/1000</f>
        <v>51.414191976823297</v>
      </c>
      <c r="G65" s="307"/>
    </row>
    <row r="66" spans="1:7">
      <c r="A66" s="320">
        <f t="shared" si="0"/>
        <v>43527</v>
      </c>
      <c r="B66" s="321">
        <v>26180.787758015544</v>
      </c>
      <c r="C66" s="321">
        <v>4662.0564474398016</v>
      </c>
      <c r="D66" s="321">
        <v>30842.844205455345</v>
      </c>
      <c r="E66" s="288">
        <v>61.32</v>
      </c>
      <c r="F66" s="326">
        <f>B66*(E66/100)*'Project Emission-2'!$D$15/1000</f>
        <v>59.918187106474868</v>
      </c>
      <c r="G66" s="307"/>
    </row>
    <row r="67" spans="1:7">
      <c r="A67" s="320">
        <f t="shared" si="0"/>
        <v>43528</v>
      </c>
      <c r="B67" s="321">
        <v>24084.787758015544</v>
      </c>
      <c r="C67" s="321">
        <v>3811.9704910113014</v>
      </c>
      <c r="D67" s="321">
        <v>27896.758249026847</v>
      </c>
      <c r="E67" s="288">
        <v>59.82</v>
      </c>
      <c r="F67" s="326">
        <f>B67*(E67/100)*'Project Emission-2'!$D$15/1000</f>
        <v>53.772848252671125</v>
      </c>
      <c r="G67" s="307"/>
    </row>
    <row r="68" spans="1:7">
      <c r="A68" s="320">
        <f t="shared" ref="A68:A131" si="1">A67+1</f>
        <v>43529</v>
      </c>
      <c r="B68" s="321">
        <v>23504.787758015544</v>
      </c>
      <c r="C68" s="356">
        <v>3489.1735438974715</v>
      </c>
      <c r="D68" s="356">
        <v>26993.961301913016</v>
      </c>
      <c r="E68" s="288">
        <v>58.21</v>
      </c>
      <c r="F68" s="326">
        <f>B68*(E68/100)*'Project Emission-2'!$D$15/1000</f>
        <v>51.065518029127944</v>
      </c>
      <c r="G68" s="307"/>
    </row>
    <row r="69" spans="1:7">
      <c r="A69" s="320">
        <f t="shared" si="1"/>
        <v>43530</v>
      </c>
      <c r="B69" s="321">
        <v>17643.787758015544</v>
      </c>
      <c r="C69" s="321">
        <v>4220.0117500969818</v>
      </c>
      <c r="D69" s="321">
        <v>21863.799508112526</v>
      </c>
      <c r="E69" s="288">
        <v>62.08</v>
      </c>
      <c r="F69" s="326">
        <f>B69*(E69/100)*'Project Emission-2'!$D$15/1000</f>
        <v>40.880607580893546</v>
      </c>
      <c r="G69" s="307"/>
    </row>
    <row r="70" spans="1:7">
      <c r="A70" s="320">
        <f t="shared" si="1"/>
        <v>43531</v>
      </c>
      <c r="B70" s="321">
        <v>18115.787758015544</v>
      </c>
      <c r="C70" s="321">
        <v>3914.9809069079315</v>
      </c>
      <c r="D70" s="321">
        <v>22030.768664923475</v>
      </c>
      <c r="E70" s="288">
        <v>62.09</v>
      </c>
      <c r="F70" s="326">
        <f>B70*(E70/100)*'Project Emission-2'!$D$15/1000</f>
        <v>41.980991592175663</v>
      </c>
      <c r="G70" s="307"/>
    </row>
    <row r="71" spans="1:7">
      <c r="A71" s="320">
        <f t="shared" si="1"/>
        <v>43532</v>
      </c>
      <c r="B71" s="321">
        <v>22857.787758015544</v>
      </c>
      <c r="C71" s="321">
        <v>4014.9910194289314</v>
      </c>
      <c r="D71" s="321">
        <v>26872.778777444473</v>
      </c>
      <c r="E71" s="288">
        <v>60.17</v>
      </c>
      <c r="F71" s="326">
        <f>B71*(E71/100)*'Project Emission-2'!$D$15/1000</f>
        <v>51.331979952833976</v>
      </c>
      <c r="G71" s="307"/>
    </row>
    <row r="72" spans="1:7">
      <c r="A72" s="320">
        <f t="shared" si="1"/>
        <v>43533</v>
      </c>
      <c r="B72" s="321">
        <v>24466.787758015544</v>
      </c>
      <c r="C72" s="321">
        <v>3886.9780754020517</v>
      </c>
      <c r="D72" s="321">
        <v>28353.765833417594</v>
      </c>
      <c r="E72" s="288">
        <v>58.36</v>
      </c>
      <c r="F72" s="326">
        <f>B72*(E72/100)*'Project Emission-2'!$D$15/1000</f>
        <v>53.292494187069124</v>
      </c>
      <c r="G72" s="307"/>
    </row>
    <row r="73" spans="1:7">
      <c r="A73" s="320">
        <f t="shared" si="1"/>
        <v>43534</v>
      </c>
      <c r="B73" s="321">
        <v>24736.787758015544</v>
      </c>
      <c r="C73" s="321">
        <v>3976.9871766709516</v>
      </c>
      <c r="D73" s="321">
        <v>28713.774934686495</v>
      </c>
      <c r="E73" s="288">
        <v>57.03</v>
      </c>
      <c r="F73" s="326">
        <f>B73*(E73/100)*'Project Emission-2'!$D$15/1000</f>
        <v>52.652680191413999</v>
      </c>
      <c r="G73" s="307"/>
    </row>
    <row r="74" spans="1:7">
      <c r="A74" s="320">
        <f t="shared" si="1"/>
        <v>43535</v>
      </c>
      <c r="B74" s="321">
        <v>23170.787758015544</v>
      </c>
      <c r="C74" s="321">
        <v>4328.0226716196612</v>
      </c>
      <c r="D74" s="321">
        <v>27498.810429635203</v>
      </c>
      <c r="E74" s="288">
        <v>58.44</v>
      </c>
      <c r="F74" s="326">
        <f>B74*(E74/100)*'Project Emission-2'!$D$15/1000</f>
        <v>50.538787118072513</v>
      </c>
      <c r="G74" s="307"/>
    </row>
    <row r="75" spans="1:7">
      <c r="A75" s="320">
        <f t="shared" si="1"/>
        <v>43536</v>
      </c>
      <c r="B75" s="321">
        <v>19888.787758015544</v>
      </c>
      <c r="C75" s="321">
        <v>3885.9779742768415</v>
      </c>
      <c r="D75" s="321">
        <v>23774.765732292384</v>
      </c>
      <c r="E75" s="288">
        <v>57.27</v>
      </c>
      <c r="F75" s="326">
        <f>B75*(E75/100)*'Project Emission-2'!$D$15/1000</f>
        <v>42.511781510318265</v>
      </c>
      <c r="G75" s="307"/>
    </row>
    <row r="76" spans="1:7">
      <c r="A76" s="320">
        <f t="shared" si="1"/>
        <v>43537</v>
      </c>
      <c r="B76" s="321">
        <v>22209.787758015544</v>
      </c>
      <c r="C76" s="321">
        <v>4062.9958734390116</v>
      </c>
      <c r="D76" s="321">
        <v>26272.783631454557</v>
      </c>
      <c r="E76" s="288">
        <v>58.2</v>
      </c>
      <c r="F76" s="326">
        <f>B76*(E76/100)*'Project Emission-2'!$D$15/1000</f>
        <v>48.243765927855776</v>
      </c>
      <c r="G76" s="307"/>
    </row>
    <row r="77" spans="1:7">
      <c r="A77" s="320">
        <f t="shared" si="1"/>
        <v>43538</v>
      </c>
      <c r="B77" s="321">
        <v>22799.787758015544</v>
      </c>
      <c r="C77" s="321">
        <v>4331.0229749952914</v>
      </c>
      <c r="D77" s="321">
        <v>27130.810733010836</v>
      </c>
      <c r="E77" s="288">
        <v>61.45</v>
      </c>
      <c r="F77" s="326">
        <f>B77*(E77/100)*'Project Emission-2'!$D$15/1000</f>
        <v>52.290946158824937</v>
      </c>
      <c r="G77" s="307"/>
    </row>
    <row r="78" spans="1:7">
      <c r="A78" s="320">
        <f t="shared" si="1"/>
        <v>43539</v>
      </c>
      <c r="B78" s="321">
        <v>23027.787758015544</v>
      </c>
      <c r="C78" s="321">
        <v>4023.9919295558216</v>
      </c>
      <c r="D78" s="321">
        <v>27051.779687571365</v>
      </c>
      <c r="E78" s="288">
        <v>59.62</v>
      </c>
      <c r="F78" s="326">
        <f>B78*(E78/100)*'Project Emission-2'!$D$15/1000</f>
        <v>51.241047393058395</v>
      </c>
      <c r="G78" s="307"/>
    </row>
    <row r="79" spans="1:7">
      <c r="A79" s="320">
        <f t="shared" si="1"/>
        <v>43540</v>
      </c>
      <c r="B79" s="321">
        <v>21360.787758015544</v>
      </c>
      <c r="C79" s="321">
        <v>3733.9626032449214</v>
      </c>
      <c r="D79" s="321">
        <v>25094.750361260463</v>
      </c>
      <c r="E79" s="288">
        <v>57.99</v>
      </c>
      <c r="F79" s="326">
        <f>B79*(E79/100)*'Project Emission-2'!$D$15/1000</f>
        <v>46.232159766906385</v>
      </c>
      <c r="G79" s="307"/>
    </row>
    <row r="80" spans="1:7">
      <c r="A80" s="320">
        <f t="shared" si="1"/>
        <v>43541</v>
      </c>
      <c r="B80" s="321">
        <v>22082.787758015544</v>
      </c>
      <c r="C80" s="321">
        <v>4402.0301548852012</v>
      </c>
      <c r="D80" s="321">
        <v>26484.817912900744</v>
      </c>
      <c r="E80" s="288">
        <v>57.78</v>
      </c>
      <c r="F80" s="326">
        <f>B80*(E80/100)*'Project Emission-2'!$D$15/1000</f>
        <v>47.621738351820348</v>
      </c>
      <c r="G80" s="307"/>
    </row>
    <row r="81" spans="1:7">
      <c r="A81" s="320">
        <f t="shared" si="1"/>
        <v>43542</v>
      </c>
      <c r="B81" s="321">
        <v>23228.787758015544</v>
      </c>
      <c r="C81" s="321">
        <v>4231.012862474292</v>
      </c>
      <c r="D81" s="321">
        <v>27459.800620489834</v>
      </c>
      <c r="E81" s="288">
        <v>58.32</v>
      </c>
      <c r="F81" s="326">
        <f>B81*(E81/100)*'Project Emission-2'!$D$15/1000</f>
        <v>50.561257866002741</v>
      </c>
      <c r="G81" s="307"/>
    </row>
    <row r="82" spans="1:7">
      <c r="A82" s="320">
        <f t="shared" si="1"/>
        <v>43543</v>
      </c>
      <c r="B82" s="321">
        <v>22464.787758015544</v>
      </c>
      <c r="C82" s="321">
        <v>4303.0201434894116</v>
      </c>
      <c r="D82" s="321">
        <v>26767.807901504955</v>
      </c>
      <c r="E82" s="288">
        <v>61.19</v>
      </c>
      <c r="F82" s="326">
        <f>B82*(E82/100)*'Project Emission-2'!$D$15/1000</f>
        <v>51.304632574460783</v>
      </c>
      <c r="G82" s="307"/>
    </row>
    <row r="83" spans="1:7">
      <c r="A83" s="320">
        <f t="shared" si="1"/>
        <v>43544</v>
      </c>
      <c r="B83" s="321">
        <v>26901.787758015544</v>
      </c>
      <c r="C83" s="321">
        <v>4373.0272222541116</v>
      </c>
      <c r="D83" s="321">
        <v>31274.814980269657</v>
      </c>
      <c r="E83" s="288">
        <v>59.51</v>
      </c>
      <c r="F83" s="326">
        <f>B83*(E83/100)*'Project Emission-2'!$D$15/1000</f>
        <v>59.750961867259619</v>
      </c>
      <c r="G83" s="307"/>
    </row>
    <row r="84" spans="1:7">
      <c r="A84" s="320">
        <f t="shared" si="1"/>
        <v>43545</v>
      </c>
      <c r="B84" s="321">
        <v>28940.787758015544</v>
      </c>
      <c r="C84" s="321">
        <v>4110.000626323882</v>
      </c>
      <c r="D84" s="321">
        <v>33050.788384339423</v>
      </c>
      <c r="E84" s="288">
        <v>56.51</v>
      </c>
      <c r="F84" s="326">
        <f>B84*(E84/100)*'Project Emission-2'!$D$15/1000</f>
        <v>61.039288723508044</v>
      </c>
      <c r="G84" s="307"/>
    </row>
    <row r="85" spans="1:7">
      <c r="A85" s="320">
        <f t="shared" si="1"/>
        <v>43546</v>
      </c>
      <c r="B85" s="321">
        <v>26930.787758015544</v>
      </c>
      <c r="C85" s="321">
        <v>4430.032986391082</v>
      </c>
      <c r="D85" s="321">
        <v>31360.820744406625</v>
      </c>
      <c r="E85" s="288">
        <v>60.08</v>
      </c>
      <c r="F85" s="326">
        <f>B85*(E85/100)*'Project Emission-2'!$D$15/1000</f>
        <v>60.38829805322127</v>
      </c>
      <c r="G85" s="307"/>
    </row>
    <row r="86" spans="1:7">
      <c r="A86" s="320">
        <f t="shared" si="1"/>
        <v>43547</v>
      </c>
      <c r="B86" s="321">
        <v>26540.787758015544</v>
      </c>
      <c r="C86" s="321">
        <v>4164.0060870852212</v>
      </c>
      <c r="D86" s="321">
        <v>30704.793845100765</v>
      </c>
      <c r="E86" s="288">
        <v>59.26</v>
      </c>
      <c r="F86" s="326">
        <f>B86*(E86/100)*'Project Emission-2'!$D$15/1000</f>
        <v>58.701508909142426</v>
      </c>
      <c r="G86" s="307"/>
    </row>
    <row r="87" spans="1:7">
      <c r="A87" s="320">
        <f t="shared" si="1"/>
        <v>43548</v>
      </c>
      <c r="B87" s="321">
        <v>24411.787758015544</v>
      </c>
      <c r="C87" s="321">
        <v>3728.9620976188717</v>
      </c>
      <c r="D87" s="321">
        <v>28140.749855634414</v>
      </c>
      <c r="E87" s="288">
        <v>58.09</v>
      </c>
      <c r="F87" s="326">
        <f>B87*(E87/100)*'Project Emission-2'!$D$15/1000</f>
        <v>52.926694414575707</v>
      </c>
      <c r="G87" s="307"/>
    </row>
    <row r="88" spans="1:7">
      <c r="A88" s="320">
        <f t="shared" si="1"/>
        <v>43549</v>
      </c>
      <c r="B88" s="321">
        <v>22661.787758015544</v>
      </c>
      <c r="C88" s="321">
        <v>3618.9509738457714</v>
      </c>
      <c r="D88" s="321">
        <v>26280.738731861315</v>
      </c>
      <c r="E88" s="288">
        <v>57.38</v>
      </c>
      <c r="F88" s="326">
        <f>B88*(E88/100)*'Project Emission-2'!$D$15/1000</f>
        <v>48.532037037200197</v>
      </c>
      <c r="G88" s="307"/>
    </row>
    <row r="89" spans="1:7">
      <c r="A89" s="320">
        <f t="shared" si="1"/>
        <v>43550</v>
      </c>
      <c r="B89" s="321">
        <v>22608.787758015544</v>
      </c>
      <c r="C89" s="321">
        <v>3680.9572436087915</v>
      </c>
      <c r="D89" s="321">
        <v>26289.745001624335</v>
      </c>
      <c r="E89" s="288">
        <v>58.53</v>
      </c>
      <c r="F89" s="326">
        <f>B89*(E89/100)*'Project Emission-2'!$D$15/1000</f>
        <v>49.388929123686694</v>
      </c>
      <c r="G89" s="307"/>
    </row>
    <row r="90" spans="1:7">
      <c r="A90" s="320">
        <f t="shared" si="1"/>
        <v>43551</v>
      </c>
      <c r="B90" s="321">
        <v>23173.787758015544</v>
      </c>
      <c r="C90" s="321">
        <v>3531.9421759525017</v>
      </c>
      <c r="D90" s="321">
        <v>26705.729933968047</v>
      </c>
      <c r="E90" s="288">
        <v>57.24</v>
      </c>
      <c r="F90" s="326">
        <f>B90*(E90/100)*'Project Emission-2'!$D$15/1000</f>
        <v>49.507438747564606</v>
      </c>
      <c r="G90" s="307"/>
    </row>
    <row r="91" spans="1:7">
      <c r="A91" s="320">
        <f t="shared" si="1"/>
        <v>43552</v>
      </c>
      <c r="B91" s="321">
        <v>23806.787758015544</v>
      </c>
      <c r="C91" s="321">
        <v>4300.0198401137814</v>
      </c>
      <c r="D91" s="321">
        <v>28106.807598129326</v>
      </c>
      <c r="E91" s="288">
        <v>60.34</v>
      </c>
      <c r="F91" s="326">
        <f>B91*(E91/100)*'Project Emission-2'!$D$15/1000</f>
        <v>53.614210439580518</v>
      </c>
      <c r="G91" s="307"/>
    </row>
    <row r="92" spans="1:7">
      <c r="A92" s="320">
        <f t="shared" si="1"/>
        <v>43553</v>
      </c>
      <c r="B92" s="321">
        <v>24934.787758015544</v>
      </c>
      <c r="C92" s="321">
        <v>4262.015997355802</v>
      </c>
      <c r="D92" s="321">
        <v>29196.803755371344</v>
      </c>
      <c r="E92" s="288">
        <v>58.88</v>
      </c>
      <c r="F92" s="326">
        <f>B92*(E92/100)*'Project Emission-2'!$D$15/1000</f>
        <v>54.795801770354693</v>
      </c>
      <c r="G92" s="307"/>
    </row>
    <row r="93" spans="1:7">
      <c r="A93" s="320">
        <f t="shared" si="1"/>
        <v>43554</v>
      </c>
      <c r="B93" s="321">
        <v>26606.787758015544</v>
      </c>
      <c r="C93" s="321">
        <v>4458.0358178969618</v>
      </c>
      <c r="D93" s="321">
        <v>31064.823575912505</v>
      </c>
      <c r="E93" s="288">
        <v>58.65</v>
      </c>
      <c r="F93" s="326">
        <f>B93*(E93/100)*'Project Emission-2'!$D$15/1000</f>
        <v>58.241730495437814</v>
      </c>
      <c r="G93" s="307"/>
    </row>
    <row r="94" spans="1:7">
      <c r="A94" s="317" t="s">
        <v>321</v>
      </c>
      <c r="B94" s="322">
        <f>SUM(B63:B93)</f>
        <v>729094.42049848207</v>
      </c>
      <c r="C94" s="322">
        <f>SUM(C63:C93)</f>
        <v>127218.235716329</v>
      </c>
      <c r="D94" s="322">
        <v>856312.65621481102</v>
      </c>
      <c r="E94" s="323">
        <f>+AVERAGE(E63:E93)</f>
        <v>59.140967741935491</v>
      </c>
      <c r="F94" s="327">
        <f>SUM(F63:F93)</f>
        <v>1608.1339162849695</v>
      </c>
      <c r="G94" s="307"/>
    </row>
    <row r="95" spans="1:7">
      <c r="A95" s="320">
        <f>A93+1</f>
        <v>43555</v>
      </c>
      <c r="B95" s="321">
        <v>28905.835207065276</v>
      </c>
      <c r="C95" s="321">
        <v>4716.0873822939611</v>
      </c>
      <c r="D95" s="321">
        <v>33621.922589359237</v>
      </c>
      <c r="E95" s="288">
        <v>57.56</v>
      </c>
      <c r="F95" s="326">
        <f>B95*(E95/100)*'Project Emission-2'!$D$15/1000</f>
        <v>62.098357943261838</v>
      </c>
      <c r="G95" s="307"/>
    </row>
    <row r="96" spans="1:7">
      <c r="A96" s="320">
        <f t="shared" si="1"/>
        <v>43556</v>
      </c>
      <c r="B96" s="321">
        <v>27029.835207065276</v>
      </c>
      <c r="C96" s="321">
        <v>3457.960166779781</v>
      </c>
      <c r="D96" s="321">
        <v>30487.795373845056</v>
      </c>
      <c r="E96" s="288">
        <v>59.09</v>
      </c>
      <c r="F96" s="326">
        <f>B96*(E96/100)*'Project Emission-2'!$D$15/1000</f>
        <v>59.611657368478767</v>
      </c>
      <c r="G96" s="307"/>
    </row>
    <row r="97" spans="1:7">
      <c r="A97" s="320">
        <f t="shared" si="1"/>
        <v>43557</v>
      </c>
      <c r="B97" s="321">
        <v>23569.835207065276</v>
      </c>
      <c r="C97" s="321">
        <v>3093.9233572033409</v>
      </c>
      <c r="D97" s="321">
        <v>26663.758564268617</v>
      </c>
      <c r="E97" s="288">
        <v>58.93</v>
      </c>
      <c r="F97" s="326">
        <f>B97*(E97/100)*'Project Emission-2'!$D$15/1000</f>
        <v>51.840215214575004</v>
      </c>
      <c r="G97" s="307"/>
    </row>
    <row r="98" spans="1:7">
      <c r="A98" s="320">
        <f t="shared" si="1"/>
        <v>43558</v>
      </c>
      <c r="B98" s="321">
        <v>24582.835207065276</v>
      </c>
      <c r="C98" s="321">
        <v>4044.0194261528409</v>
      </c>
      <c r="D98" s="321">
        <v>28626.854633218118</v>
      </c>
      <c r="E98" s="288">
        <v>60.23</v>
      </c>
      <c r="F98" s="326">
        <f>B98*(E98/100)*'Project Emission-2'!$D$15/1000</f>
        <v>55.260987535985564</v>
      </c>
      <c r="G98" s="307"/>
    </row>
    <row r="99" spans="1:7">
      <c r="A99" s="320">
        <f t="shared" si="1"/>
        <v>43559</v>
      </c>
      <c r="B99" s="321">
        <v>27434.835207065276</v>
      </c>
      <c r="C99" s="321">
        <v>3886.0034483696609</v>
      </c>
      <c r="D99" s="321">
        <v>31320.838655434938</v>
      </c>
      <c r="E99" s="288">
        <v>59.37</v>
      </c>
      <c r="F99" s="326">
        <f>B99*(E99/100)*'Project Emission-2'!$D$15/1000</f>
        <v>60.791549542488262</v>
      </c>
      <c r="G99" s="307"/>
    </row>
    <row r="100" spans="1:7">
      <c r="A100" s="320">
        <f t="shared" si="1"/>
        <v>43560</v>
      </c>
      <c r="B100" s="321">
        <v>28677.835207065276</v>
      </c>
      <c r="C100" s="321">
        <v>3881.0029427436111</v>
      </c>
      <c r="D100" s="321">
        <v>32558.838149808886</v>
      </c>
      <c r="E100" s="288">
        <v>58.8</v>
      </c>
      <c r="F100" s="326">
        <f>B100*(E100/100)*'Project Emission-2'!$D$15/1000</f>
        <v>62.935762684643926</v>
      </c>
      <c r="G100" s="307"/>
    </row>
    <row r="101" spans="1:7">
      <c r="A101" s="320">
        <f t="shared" si="1"/>
        <v>43561</v>
      </c>
      <c r="B101" s="321">
        <v>29788.835207065276</v>
      </c>
      <c r="C101" s="321">
        <v>3534.9679534209508</v>
      </c>
      <c r="D101" s="321">
        <v>33323.803160486226</v>
      </c>
      <c r="E101" s="288">
        <v>60.27</v>
      </c>
      <c r="F101" s="326">
        <f>B101*(E101/100)*'Project Emission-2'!$D$15/1000</f>
        <v>67.008287966990252</v>
      </c>
      <c r="G101" s="307"/>
    </row>
    <row r="102" spans="1:7">
      <c r="A102" s="320">
        <f t="shared" si="1"/>
        <v>43562</v>
      </c>
      <c r="B102" s="321">
        <v>30692.835207065276</v>
      </c>
      <c r="C102" s="321">
        <v>3349.9492452571012</v>
      </c>
      <c r="D102" s="321">
        <v>34042.784452322376</v>
      </c>
      <c r="E102" s="288">
        <v>57.57</v>
      </c>
      <c r="F102" s="326">
        <f>B102*(E102/100)*'Project Emission-2'!$D$15/1000</f>
        <v>65.948822500927278</v>
      </c>
      <c r="G102" s="307"/>
    </row>
    <row r="103" spans="1:7">
      <c r="A103" s="320">
        <f t="shared" si="1"/>
        <v>43563</v>
      </c>
      <c r="B103" s="321">
        <v>30854.835207065276</v>
      </c>
      <c r="C103" s="321">
        <v>3917.0065832511709</v>
      </c>
      <c r="D103" s="321">
        <v>34771.841790316445</v>
      </c>
      <c r="E103" s="288">
        <v>58.52</v>
      </c>
      <c r="F103" s="326">
        <f>B103*(E103/100)*'Project Emission-2'!$D$15/1000</f>
        <v>67.390915666952807</v>
      </c>
      <c r="G103" s="307"/>
    </row>
    <row r="104" spans="1:7">
      <c r="A104" s="320">
        <f t="shared" si="1"/>
        <v>43564</v>
      </c>
      <c r="B104" s="321">
        <v>27685.835207065276</v>
      </c>
      <c r="C104" s="321">
        <v>3793.9941448503409</v>
      </c>
      <c r="D104" s="321">
        <v>31479.829351915618</v>
      </c>
      <c r="E104" s="288">
        <v>59.37</v>
      </c>
      <c r="F104" s="326">
        <f>B104*(E104/100)*'Project Emission-2'!$D$15/1000</f>
        <v>61.347728532447533</v>
      </c>
      <c r="G104" s="307"/>
    </row>
    <row r="105" spans="1:7">
      <c r="A105" s="320">
        <f t="shared" si="1"/>
        <v>43565</v>
      </c>
      <c r="B105" s="321">
        <v>26068.835207065276</v>
      </c>
      <c r="C105" s="321">
        <v>4029.0179092746912</v>
      </c>
      <c r="D105" s="321">
        <v>30097.853116339968</v>
      </c>
      <c r="E105" s="288">
        <v>59.56</v>
      </c>
      <c r="F105" s="326">
        <f>B105*(E105/100)*'Project Emission-2'!$D$15/1000</f>
        <v>57.949557550929129</v>
      </c>
      <c r="G105" s="307"/>
    </row>
    <row r="106" spans="1:7">
      <c r="A106" s="320">
        <f t="shared" si="1"/>
        <v>43566</v>
      </c>
      <c r="B106" s="321">
        <v>26715.835207065276</v>
      </c>
      <c r="C106" s="321">
        <v>4371.0524940965106</v>
      </c>
      <c r="D106" s="321">
        <v>31086.887701161788</v>
      </c>
      <c r="E106" s="288">
        <v>61.41</v>
      </c>
      <c r="F106" s="326">
        <f>B106*(E106/100)*'Project Emission-2'!$D$15/1000</f>
        <v>61.232453583569146</v>
      </c>
      <c r="G106" s="307"/>
    </row>
    <row r="107" spans="1:7">
      <c r="A107" s="320">
        <f t="shared" si="1"/>
        <v>43567</v>
      </c>
      <c r="B107" s="321">
        <v>26945.835207065276</v>
      </c>
      <c r="C107" s="356">
        <v>3491.1992202407109</v>
      </c>
      <c r="D107" s="356">
        <v>30437.034427305989</v>
      </c>
      <c r="E107" s="288">
        <v>59.78</v>
      </c>
      <c r="F107" s="326">
        <f>B107*(E107/100)*'Project Emission-2'!$D$15/1000</f>
        <v>60.120331804966213</v>
      </c>
      <c r="G107" s="307"/>
    </row>
    <row r="108" spans="1:7">
      <c r="A108" s="320">
        <f t="shared" si="1"/>
        <v>43568</v>
      </c>
      <c r="B108" s="321">
        <v>25050.835207065276</v>
      </c>
      <c r="C108" s="321">
        <v>3947.0096170074712</v>
      </c>
      <c r="D108" s="321">
        <v>28997.844824072748</v>
      </c>
      <c r="E108" s="288">
        <v>60.11</v>
      </c>
      <c r="F108" s="326">
        <f>B108*(E108/100)*'Project Emission-2'!$D$15/1000</f>
        <v>56.200832223784033</v>
      </c>
      <c r="G108" s="307"/>
    </row>
    <row r="109" spans="1:7">
      <c r="A109" s="320">
        <f t="shared" si="1"/>
        <v>43569</v>
      </c>
      <c r="B109" s="321">
        <v>23315.835207065276</v>
      </c>
      <c r="C109" s="321">
        <v>4655.0812136561508</v>
      </c>
      <c r="D109" s="321">
        <v>27970.916420721427</v>
      </c>
      <c r="E109" s="288">
        <v>59.24</v>
      </c>
      <c r="F109" s="326">
        <f>B109*(E109/100)*'Project Emission-2'!$D$15/1000</f>
        <v>51.551325403989068</v>
      </c>
      <c r="G109" s="307"/>
    </row>
    <row r="110" spans="1:7">
      <c r="A110" s="320">
        <f t="shared" si="1"/>
        <v>43570</v>
      </c>
      <c r="B110" s="321">
        <v>21605.835207065276</v>
      </c>
      <c r="C110" s="321">
        <v>3583.9729085562412</v>
      </c>
      <c r="D110" s="321">
        <v>25189.808115621519</v>
      </c>
      <c r="E110" s="288">
        <v>56.53</v>
      </c>
      <c r="F110" s="326">
        <f>B110*(E110/100)*'Project Emission-2'!$D$15/1000</f>
        <v>45.585198830762671</v>
      </c>
      <c r="G110" s="307"/>
    </row>
    <row r="111" spans="1:7">
      <c r="A111" s="320">
        <f t="shared" si="1"/>
        <v>43571</v>
      </c>
      <c r="B111" s="321">
        <v>19119.835207065276</v>
      </c>
      <c r="C111" s="321">
        <v>3704.9851447066512</v>
      </c>
      <c r="D111" s="321">
        <v>22824.820351771927</v>
      </c>
      <c r="E111" s="288">
        <v>57.26</v>
      </c>
      <c r="F111" s="326">
        <f>B111*(E111/100)*'Project Emission-2'!$D$15/1000</f>
        <v>40.861028802625718</v>
      </c>
      <c r="G111" s="307"/>
    </row>
    <row r="112" spans="1:7">
      <c r="A112" s="320">
        <f t="shared" si="1"/>
        <v>43572</v>
      </c>
      <c r="B112" s="321">
        <v>24078.835207065276</v>
      </c>
      <c r="C112" s="321">
        <v>3844.9993022360509</v>
      </c>
      <c r="D112" s="321">
        <v>27923.834509301327</v>
      </c>
      <c r="E112" s="288">
        <v>58.01</v>
      </c>
      <c r="F112" s="326">
        <f>B112*(E112/100)*'Project Emission-2'!$D$15/1000</f>
        <v>52.132931747787424</v>
      </c>
      <c r="G112" s="307"/>
    </row>
    <row r="113" spans="1:7">
      <c r="A113" s="320">
        <f t="shared" si="1"/>
        <v>43573</v>
      </c>
      <c r="B113" s="321">
        <v>27232.835207065276</v>
      </c>
      <c r="C113" s="321">
        <v>3894.0042573713408</v>
      </c>
      <c r="D113" s="321">
        <v>31126.839464436616</v>
      </c>
      <c r="E113" s="288">
        <v>57.91</v>
      </c>
      <c r="F113" s="326">
        <f>B113*(E113/100)*'Project Emission-2'!$D$15/1000</f>
        <v>58.859996458367561</v>
      </c>
      <c r="G113" s="307"/>
    </row>
    <row r="114" spans="1:7">
      <c r="A114" s="320">
        <f t="shared" si="1"/>
        <v>43574</v>
      </c>
      <c r="B114" s="321">
        <v>28580.835207065276</v>
      </c>
      <c r="C114" s="321">
        <v>4277.0429883267707</v>
      </c>
      <c r="D114" s="321">
        <v>32857.878195392048</v>
      </c>
      <c r="E114" s="288">
        <v>58.06</v>
      </c>
      <c r="F114" s="326">
        <f>B114*(E114/100)*'Project Emission-2'!$D$15/1000</f>
        <v>61.933518877001092</v>
      </c>
      <c r="G114" s="307"/>
    </row>
    <row r="115" spans="1:7">
      <c r="A115" s="320">
        <f t="shared" si="1"/>
        <v>43575</v>
      </c>
      <c r="B115" s="321">
        <v>26900.835207065276</v>
      </c>
      <c r="C115" s="321">
        <v>2917.905559166381</v>
      </c>
      <c r="D115" s="321">
        <v>29818.740766231658</v>
      </c>
      <c r="E115" s="288">
        <v>58.1</v>
      </c>
      <c r="F115" s="326">
        <f>B115*(E115/100)*'Project Emission-2'!$D$15/1000</f>
        <v>58.333187076385592</v>
      </c>
      <c r="G115" s="307"/>
    </row>
    <row r="116" spans="1:7">
      <c r="A116" s="320">
        <f t="shared" si="1"/>
        <v>43576</v>
      </c>
      <c r="B116" s="321">
        <v>26806.835207065276</v>
      </c>
      <c r="C116" s="321">
        <v>3085.9225482016609</v>
      </c>
      <c r="D116" s="321">
        <v>29892.757755266939</v>
      </c>
      <c r="E116" s="288">
        <v>58.55</v>
      </c>
      <c r="F116" s="326">
        <f>B116*(E116/100)*'Project Emission-2'!$D$15/1000</f>
        <v>58.579579871551445</v>
      </c>
      <c r="G116" s="307"/>
    </row>
    <row r="117" spans="1:7">
      <c r="A117" s="320">
        <f t="shared" si="1"/>
        <v>43577</v>
      </c>
      <c r="B117" s="321">
        <v>28217.835207065276</v>
      </c>
      <c r="C117" s="321">
        <v>4445.0599773620506</v>
      </c>
      <c r="D117" s="321">
        <v>32662.895184427325</v>
      </c>
      <c r="E117" s="288">
        <v>60.46</v>
      </c>
      <c r="F117" s="326">
        <f>B117*(E117/100)*'Project Emission-2'!$D$15/1000</f>
        <v>63.674514803641344</v>
      </c>
      <c r="G117" s="307"/>
    </row>
    <row r="118" spans="1:7">
      <c r="A118" s="320">
        <f t="shared" si="1"/>
        <v>43578</v>
      </c>
      <c r="B118" s="321">
        <v>26808.835207065276</v>
      </c>
      <c r="C118" s="321">
        <v>3857.0005157385708</v>
      </c>
      <c r="D118" s="321">
        <v>30665.835722803848</v>
      </c>
      <c r="E118" s="288">
        <v>60.71</v>
      </c>
      <c r="F118" s="326">
        <f>B118*(E118/100)*'Project Emission-2'!$D$15/1000</f>
        <v>60.745202848843306</v>
      </c>
      <c r="G118" s="307"/>
    </row>
    <row r="119" spans="1:7">
      <c r="A119" s="320">
        <f t="shared" si="1"/>
        <v>43579</v>
      </c>
      <c r="B119" s="321">
        <v>26967.835207065276</v>
      </c>
      <c r="C119" s="321">
        <v>3988.0137631410812</v>
      </c>
      <c r="D119" s="321">
        <v>30955.848970206356</v>
      </c>
      <c r="E119" s="288">
        <v>61.1</v>
      </c>
      <c r="F119" s="326">
        <f>B119*(E119/100)*'Project Emission-2'!$D$15/1000</f>
        <v>61.498015919663324</v>
      </c>
      <c r="G119" s="307"/>
    </row>
    <row r="120" spans="1:7">
      <c r="A120" s="320">
        <f t="shared" si="1"/>
        <v>43580</v>
      </c>
      <c r="B120" s="321">
        <v>26485.835207065276</v>
      </c>
      <c r="C120" s="321">
        <v>4155.0306510511509</v>
      </c>
      <c r="D120" s="321">
        <v>30640.865858116427</v>
      </c>
      <c r="E120" s="288">
        <v>61.87</v>
      </c>
      <c r="F120" s="326">
        <f>B120*(E120/100)*'Project Emission-2'!$D$15/1000</f>
        <v>61.160016971655153</v>
      </c>
      <c r="G120" s="307"/>
    </row>
    <row r="121" spans="1:7">
      <c r="A121" s="320">
        <f t="shared" si="1"/>
        <v>43581</v>
      </c>
      <c r="B121" s="321">
        <v>28563.835207065276</v>
      </c>
      <c r="C121" s="321">
        <v>4458.0612919897812</v>
      </c>
      <c r="D121" s="321">
        <v>33021.896499055059</v>
      </c>
      <c r="E121" s="288">
        <v>61.74</v>
      </c>
      <c r="F121" s="326">
        <f>B121*(E121/100)*'Project Emission-2'!$D$15/1000</f>
        <v>65.819859763607923</v>
      </c>
      <c r="G121" s="307"/>
    </row>
    <row r="122" spans="1:7">
      <c r="A122" s="320">
        <f t="shared" si="1"/>
        <v>43582</v>
      </c>
      <c r="B122" s="321">
        <v>26945.835207065276</v>
      </c>
      <c r="C122" s="321">
        <v>3826.997481982271</v>
      </c>
      <c r="D122" s="321">
        <v>30772.832689047547</v>
      </c>
      <c r="E122" s="288">
        <v>61.73</v>
      </c>
      <c r="F122" s="326">
        <f>B122*(E122/100)*'Project Emission-2'!$D$15/1000</f>
        <v>62.081433294087724</v>
      </c>
      <c r="G122" s="307"/>
    </row>
    <row r="123" spans="1:7">
      <c r="A123" s="320">
        <f t="shared" si="1"/>
        <v>43583</v>
      </c>
      <c r="B123" s="321">
        <v>26699.835207065276</v>
      </c>
      <c r="C123" s="321">
        <v>3843.9992011108411</v>
      </c>
      <c r="D123" s="321">
        <v>30543.834408176117</v>
      </c>
      <c r="E123" s="288">
        <v>59.06</v>
      </c>
      <c r="F123" s="326">
        <f>B123*(E123/100)*'Project Emission-2'!$D$15/1000</f>
        <v>58.853979300435292</v>
      </c>
      <c r="G123" s="307"/>
    </row>
    <row r="124" spans="1:7">
      <c r="A124" s="320">
        <f t="shared" si="1"/>
        <v>43584</v>
      </c>
      <c r="B124" s="321">
        <v>17457.835207065276</v>
      </c>
      <c r="C124" s="321">
        <v>3505.9650207898612</v>
      </c>
      <c r="D124" s="321">
        <v>20963.800227855136</v>
      </c>
      <c r="E124" s="288">
        <v>58.01</v>
      </c>
      <c r="F124" s="326">
        <f>B124*(E124/100)*'Project Emission-2'!$D$15/1000</f>
        <v>37.797847092163416</v>
      </c>
      <c r="G124" s="307"/>
    </row>
    <row r="125" spans="1:7">
      <c r="A125" s="317" t="s">
        <v>321</v>
      </c>
      <c r="B125" s="322">
        <f>SUM(B95:B124)</f>
        <v>789794.05621195887</v>
      </c>
      <c r="C125" s="322">
        <f>SUM(C95:C124)</f>
        <v>115557.235716329</v>
      </c>
      <c r="D125" s="322">
        <v>905351.29192828783</v>
      </c>
      <c r="E125" s="323">
        <f>+AVERAGE(E95:E124)</f>
        <v>59.29699999999999</v>
      </c>
      <c r="F125" s="327">
        <f>SUM(F95:F124)</f>
        <v>1749.2050971825677</v>
      </c>
      <c r="G125" s="307"/>
    </row>
    <row r="126" spans="1:7">
      <c r="A126" s="320">
        <f>A124+1</f>
        <v>43585</v>
      </c>
      <c r="B126" s="321">
        <v>23825.708773346858</v>
      </c>
      <c r="C126" s="321">
        <v>3167.9536063633345</v>
      </c>
      <c r="D126" s="321">
        <v>26993.662379710193</v>
      </c>
      <c r="E126" s="288">
        <v>57.72</v>
      </c>
      <c r="F126" s="326">
        <f>B126*(E126/100)*'Project Emission-2'!$D$15/1000</f>
        <v>51.327009344250257</v>
      </c>
      <c r="G126" s="307"/>
    </row>
    <row r="127" spans="1:7">
      <c r="A127" s="320">
        <f t="shared" si="1"/>
        <v>43586</v>
      </c>
      <c r="B127" s="321">
        <v>23328.708773346858</v>
      </c>
      <c r="C127" s="321">
        <v>3800.0175174960546</v>
      </c>
      <c r="D127" s="321">
        <v>27128.726290842911</v>
      </c>
      <c r="E127" s="288">
        <v>59.98</v>
      </c>
      <c r="F127" s="326">
        <f>B127*(E127/100)*'Project Emission-2'!$D$15/1000</f>
        <v>52.224100881512655</v>
      </c>
      <c r="G127" s="307"/>
    </row>
    <row r="128" spans="1:7">
      <c r="A128" s="320">
        <f t="shared" si="1"/>
        <v>43587</v>
      </c>
      <c r="B128" s="321">
        <v>30821.708773346858</v>
      </c>
      <c r="C128" s="321">
        <v>3875.0251018868048</v>
      </c>
      <c r="D128" s="321">
        <v>34696.733875233665</v>
      </c>
      <c r="E128" s="288">
        <v>57.9</v>
      </c>
      <c r="F128" s="326">
        <f>B128*(E128/100)*'Project Emission-2'!$D$15/1000</f>
        <v>66.605345427690068</v>
      </c>
      <c r="G128" s="307"/>
    </row>
    <row r="129" spans="1:7">
      <c r="A129" s="320">
        <f t="shared" si="1"/>
        <v>43588</v>
      </c>
      <c r="B129" s="321">
        <v>31464.708773346858</v>
      </c>
      <c r="C129" s="321">
        <v>3910.0286412691548</v>
      </c>
      <c r="D129" s="321">
        <v>35374.737414616015</v>
      </c>
      <c r="E129" s="288">
        <v>60.12</v>
      </c>
      <c r="F129" s="326">
        <f>B129*(E129/100)*'Project Emission-2'!$D$15/1000</f>
        <v>70.601917604216567</v>
      </c>
      <c r="G129" s="307"/>
    </row>
    <row r="130" spans="1:7">
      <c r="A130" s="320">
        <f t="shared" si="1"/>
        <v>43589</v>
      </c>
      <c r="B130" s="321">
        <v>31511.708773346858</v>
      </c>
      <c r="C130" s="321">
        <v>3836.0211580036148</v>
      </c>
      <c r="D130" s="321">
        <v>35347.72993135047</v>
      </c>
      <c r="E130" s="288">
        <v>60.82</v>
      </c>
      <c r="F130" s="326">
        <f>B130*(E130/100)*'Project Emission-2'!$D$15/1000</f>
        <v>71.530651169292895</v>
      </c>
      <c r="G130" s="307"/>
    </row>
    <row r="131" spans="1:7">
      <c r="A131" s="320">
        <f t="shared" si="1"/>
        <v>43590</v>
      </c>
      <c r="B131" s="321">
        <v>32578.708773346858</v>
      </c>
      <c r="C131" s="321">
        <v>3535.9908204406147</v>
      </c>
      <c r="D131" s="321">
        <v>36114.699593787474</v>
      </c>
      <c r="E131" s="288">
        <v>58.9</v>
      </c>
      <c r="F131" s="326">
        <f>B131*(E131/100)*'Project Emission-2'!$D$15/1000</f>
        <v>71.618128980491875</v>
      </c>
      <c r="G131" s="307"/>
    </row>
    <row r="132" spans="1:7">
      <c r="A132" s="320">
        <f t="shared" ref="A132:A195" si="2">A131+1</f>
        <v>43591</v>
      </c>
      <c r="B132" s="321">
        <v>20306.708773346858</v>
      </c>
      <c r="C132" s="321">
        <v>2621.8983919986745</v>
      </c>
      <c r="D132" s="321">
        <v>22928.607165345533</v>
      </c>
      <c r="E132" s="288">
        <v>57.16</v>
      </c>
      <c r="F132" s="326">
        <f>B132*(E132/100)*'Project Emission-2'!$D$15/1000</f>
        <v>43.321707848514755</v>
      </c>
      <c r="G132" s="307"/>
    </row>
    <row r="133" spans="1:7">
      <c r="A133" s="320">
        <f t="shared" si="2"/>
        <v>43592</v>
      </c>
      <c r="B133" s="321">
        <v>31071.708773346858</v>
      </c>
      <c r="C133" s="321">
        <v>2736.9100213978245</v>
      </c>
      <c r="D133" s="321">
        <v>33808.618794744682</v>
      </c>
      <c r="E133" s="288">
        <v>59.79</v>
      </c>
      <c r="F133" s="326">
        <f>B133*(E133/100)*'Project Emission-2'!$D$15/1000</f>
        <v>69.337391580769662</v>
      </c>
      <c r="G133" s="307"/>
    </row>
    <row r="134" spans="1:7">
      <c r="A134" s="320">
        <f t="shared" si="2"/>
        <v>43593</v>
      </c>
      <c r="B134" s="321">
        <v>39866.708773346858</v>
      </c>
      <c r="C134" s="321">
        <v>3835.0210568784046</v>
      </c>
      <c r="D134" s="321">
        <v>43701.72983022526</v>
      </c>
      <c r="E134" s="288">
        <v>58.31</v>
      </c>
      <c r="F134" s="326">
        <f>B134*(E134/100)*'Project Emission-2'!$D$15/1000</f>
        <v>86.761536336060885</v>
      </c>
      <c r="G134" s="307"/>
    </row>
    <row r="135" spans="1:7">
      <c r="A135" s="320">
        <f t="shared" si="2"/>
        <v>43594</v>
      </c>
      <c r="B135" s="321">
        <v>35876.708773346858</v>
      </c>
      <c r="C135" s="321">
        <v>3483.9855619296945</v>
      </c>
      <c r="D135" s="321">
        <v>39360.694335276552</v>
      </c>
      <c r="E135" s="288">
        <v>59.53</v>
      </c>
      <c r="F135" s="326">
        <f>B135*(E135/100)*'Project Emission-2'!$D$15/1000</f>
        <v>79.711739482529438</v>
      </c>
      <c r="G135" s="307"/>
    </row>
    <row r="136" spans="1:7">
      <c r="A136" s="320">
        <f t="shared" si="2"/>
        <v>43595</v>
      </c>
      <c r="B136" s="321">
        <v>35156.708773346858</v>
      </c>
      <c r="C136" s="321">
        <v>3640.0013374624546</v>
      </c>
      <c r="D136" s="321">
        <v>38796.710110809312</v>
      </c>
      <c r="E136" s="288">
        <v>61.1</v>
      </c>
      <c r="F136" s="326">
        <f>B136*(E136/100)*'Project Emission-2'!$D$15/1000</f>
        <v>80.172094616619972</v>
      </c>
      <c r="G136" s="307"/>
    </row>
    <row r="137" spans="1:7">
      <c r="A137" s="320">
        <f t="shared" si="2"/>
        <v>43596</v>
      </c>
      <c r="B137" s="321">
        <v>34589.708773346858</v>
      </c>
      <c r="C137" s="321">
        <v>3837.0212591288246</v>
      </c>
      <c r="D137" s="321">
        <v>38426.73003247568</v>
      </c>
      <c r="E137" s="288">
        <v>61.14</v>
      </c>
      <c r="F137" s="326">
        <f>B137*(E137/100)*'Project Emission-2'!$D$15/1000</f>
        <v>78.930735290380369</v>
      </c>
      <c r="G137" s="307"/>
    </row>
    <row r="138" spans="1:7">
      <c r="A138" s="320">
        <f t="shared" si="2"/>
        <v>43597</v>
      </c>
      <c r="B138" s="321">
        <v>30817.708773346858</v>
      </c>
      <c r="C138" s="321">
        <v>3553.9926406943946</v>
      </c>
      <c r="D138" s="321">
        <v>34371.70141404125</v>
      </c>
      <c r="E138" s="288">
        <v>60.67</v>
      </c>
      <c r="F138" s="326">
        <f>B138*(E138/100)*'Project Emission-2'!$D$15/1000</f>
        <v>69.78276128686386</v>
      </c>
      <c r="G138" s="307"/>
    </row>
    <row r="139" spans="1:7">
      <c r="A139" s="320">
        <f t="shared" si="2"/>
        <v>43598</v>
      </c>
      <c r="B139" s="321">
        <v>31134.708773346858</v>
      </c>
      <c r="C139" s="321">
        <v>3081.9449095952746</v>
      </c>
      <c r="D139" s="321">
        <v>34216.653682942131</v>
      </c>
      <c r="E139" s="288">
        <v>59.75</v>
      </c>
      <c r="F139" s="326">
        <f>B139*(E139/100)*'Project Emission-2'!$D$15/1000</f>
        <v>69.431496515175851</v>
      </c>
      <c r="G139" s="307"/>
    </row>
    <row r="140" spans="1:7">
      <c r="A140" s="320">
        <f t="shared" si="2"/>
        <v>43599</v>
      </c>
      <c r="B140" s="321">
        <v>30664.708773346858</v>
      </c>
      <c r="C140" s="356">
        <v>3280.2006487158546</v>
      </c>
      <c r="D140" s="356">
        <v>33944.909422062716</v>
      </c>
      <c r="E140" s="288">
        <v>59.67</v>
      </c>
      <c r="F140" s="326">
        <f>B140*(E140/100)*'Project Emission-2'!$D$15/1000</f>
        <v>68.291820633842335</v>
      </c>
      <c r="G140" s="307"/>
    </row>
    <row r="141" spans="1:7">
      <c r="A141" s="320">
        <f t="shared" si="2"/>
        <v>43600</v>
      </c>
      <c r="B141" s="321">
        <v>30281.708773346858</v>
      </c>
      <c r="C141" s="321">
        <v>3841.0216636296645</v>
      </c>
      <c r="D141" s="321">
        <v>34122.730436976519</v>
      </c>
      <c r="E141" s="288">
        <v>60.03</v>
      </c>
      <c r="F141" s="326">
        <f>B141*(E141/100)*'Project Emission-2'!$D$15/1000</f>
        <v>67.845731676228638</v>
      </c>
      <c r="G141" s="307"/>
    </row>
    <row r="142" spans="1:7">
      <c r="A142" s="320">
        <f t="shared" si="2"/>
        <v>43601</v>
      </c>
      <c r="B142" s="321">
        <v>30288.708773346858</v>
      </c>
      <c r="C142" s="321">
        <v>3968.0345065313345</v>
      </c>
      <c r="D142" s="321">
        <v>34256.743279878196</v>
      </c>
      <c r="E142" s="288">
        <v>60.34</v>
      </c>
      <c r="F142" s="326">
        <f>B142*(E142/100)*'Project Emission-2'!$D$15/1000</f>
        <v>68.211857165426792</v>
      </c>
      <c r="G142" s="307"/>
    </row>
    <row r="143" spans="1:7">
      <c r="A143" s="320">
        <f t="shared" si="2"/>
        <v>43602</v>
      </c>
      <c r="B143" s="321">
        <v>30881.708773346858</v>
      </c>
      <c r="C143" s="321">
        <v>3939.0315739002449</v>
      </c>
      <c r="D143" s="321">
        <v>34820.740347247105</v>
      </c>
      <c r="E143" s="288">
        <v>61.25</v>
      </c>
      <c r="F143" s="326">
        <f>B143*(E143/100)*'Project Emission-2'!$D$15/1000</f>
        <v>70.59618374195999</v>
      </c>
      <c r="G143" s="307"/>
    </row>
    <row r="144" spans="1:7">
      <c r="A144" s="320">
        <f t="shared" si="2"/>
        <v>43603</v>
      </c>
      <c r="B144" s="321">
        <v>30476.708773346858</v>
      </c>
      <c r="C144" s="321">
        <v>3799.0174163708448</v>
      </c>
      <c r="D144" s="321">
        <v>34275.726189717701</v>
      </c>
      <c r="E144" s="288">
        <v>59.99</v>
      </c>
      <c r="F144" s="326">
        <f>B144*(E144/100)*'Project Emission-2'!$D$15/1000</f>
        <v>68.237127361837281</v>
      </c>
      <c r="G144" s="307"/>
    </row>
    <row r="145" spans="1:7">
      <c r="A145" s="320">
        <f t="shared" si="2"/>
        <v>43604</v>
      </c>
      <c r="B145" s="321">
        <v>29563.708773346858</v>
      </c>
      <c r="C145" s="321">
        <v>3520.9893035624646</v>
      </c>
      <c r="D145" s="321">
        <v>33084.698076909321</v>
      </c>
      <c r="E145" s="288">
        <v>60.41</v>
      </c>
      <c r="F145" s="326">
        <f>B145*(E145/100)*'Project Emission-2'!$D$15/1000</f>
        <v>66.656354787114353</v>
      </c>
      <c r="G145" s="307"/>
    </row>
    <row r="146" spans="1:7">
      <c r="A146" s="320">
        <f t="shared" si="2"/>
        <v>43605</v>
      </c>
      <c r="B146" s="321">
        <v>30881.708773346858</v>
      </c>
      <c r="C146" s="321">
        <v>3800.0175174960546</v>
      </c>
      <c r="D146" s="321">
        <v>34681.726290842911</v>
      </c>
      <c r="E146" s="288">
        <v>61.37</v>
      </c>
      <c r="F146" s="326">
        <f>B146*(E146/100)*'Project Emission-2'!$D$15/1000</f>
        <v>70.734494632556476</v>
      </c>
      <c r="G146" s="307"/>
    </row>
    <row r="147" spans="1:7">
      <c r="A147" s="320">
        <f t="shared" si="2"/>
        <v>43606</v>
      </c>
      <c r="B147" s="321">
        <v>30309.708773346858</v>
      </c>
      <c r="C147" s="321">
        <v>3121.9489546036748</v>
      </c>
      <c r="D147" s="321">
        <v>33431.657727950529</v>
      </c>
      <c r="E147" s="288">
        <v>62.74</v>
      </c>
      <c r="F147" s="326">
        <f>B147*(E147/100)*'Project Emission-2'!$D$15/1000</f>
        <v>70.974131454021716</v>
      </c>
      <c r="G147" s="307"/>
    </row>
    <row r="148" spans="1:7">
      <c r="A148" s="320">
        <f t="shared" si="2"/>
        <v>43607</v>
      </c>
      <c r="B148" s="321">
        <v>34118.708773346858</v>
      </c>
      <c r="C148" s="321">
        <v>3909.0285401439446</v>
      </c>
      <c r="D148" s="321">
        <v>38027.737313490805</v>
      </c>
      <c r="E148" s="288">
        <v>62.1</v>
      </c>
      <c r="F148" s="326">
        <f>B148*(E148/100)*'Project Emission-2'!$D$15/1000</f>
        <v>79.078422233145659</v>
      </c>
      <c r="G148" s="307"/>
    </row>
    <row r="149" spans="1:7">
      <c r="A149" s="320">
        <f t="shared" si="2"/>
        <v>43608</v>
      </c>
      <c r="B149" s="321">
        <v>34762.708773346858</v>
      </c>
      <c r="C149" s="321">
        <v>3662.0035622170744</v>
      </c>
      <c r="D149" s="321">
        <v>38424.712335563934</v>
      </c>
      <c r="E149" s="288">
        <v>61.33</v>
      </c>
      <c r="F149" s="326">
        <f>B149*(E149/100)*'Project Emission-2'!$D$15/1000</f>
        <v>79.572020062318416</v>
      </c>
      <c r="G149" s="307"/>
    </row>
    <row r="150" spans="1:7">
      <c r="A150" s="320">
        <f t="shared" si="2"/>
        <v>43609</v>
      </c>
      <c r="B150" s="321">
        <v>36857.708773346858</v>
      </c>
      <c r="C150" s="321">
        <v>3939.0315739002449</v>
      </c>
      <c r="D150" s="321">
        <v>40796.740347247105</v>
      </c>
      <c r="E150" s="288">
        <v>59.74</v>
      </c>
      <c r="F150" s="326">
        <f>B150*(E150/100)*'Project Emission-2'!$D$15/1000</f>
        <v>82.180231650427444</v>
      </c>
      <c r="G150" s="307"/>
    </row>
    <row r="151" spans="1:7">
      <c r="A151" s="320">
        <f t="shared" si="2"/>
        <v>43610</v>
      </c>
      <c r="B151" s="321">
        <v>35965.708773346858</v>
      </c>
      <c r="C151" s="321">
        <v>3949.0325851523448</v>
      </c>
      <c r="D151" s="321">
        <v>39914.741358499203</v>
      </c>
      <c r="E151" s="288">
        <v>60.38</v>
      </c>
      <c r="F151" s="326">
        <f>B151*(E151/100)*'Project Emission-2'!$D$15/1000</f>
        <v>81.050470573402748</v>
      </c>
      <c r="G151" s="307"/>
    </row>
    <row r="152" spans="1:7">
      <c r="A152" s="320">
        <f t="shared" si="2"/>
        <v>43611</v>
      </c>
      <c r="B152" s="321">
        <v>35988.708773346858</v>
      </c>
      <c r="C152" s="321">
        <v>4103.0481584346844</v>
      </c>
      <c r="D152" s="321">
        <v>40091.756931781543</v>
      </c>
      <c r="E152" s="288">
        <v>60.34</v>
      </c>
      <c r="F152" s="326">
        <f>B152*(E152/100)*'Project Emission-2'!$D$15/1000</f>
        <v>81.048574265268002</v>
      </c>
      <c r="G152" s="307"/>
    </row>
    <row r="153" spans="1:7">
      <c r="A153" s="320">
        <f t="shared" si="2"/>
        <v>43612</v>
      </c>
      <c r="B153" s="321">
        <v>34128.708773346858</v>
      </c>
      <c r="C153" s="321">
        <v>3581.9954722002744</v>
      </c>
      <c r="D153" s="321">
        <v>37710.704245547131</v>
      </c>
      <c r="E153" s="288">
        <v>61.73</v>
      </c>
      <c r="F153" s="326">
        <f>B153*(E153/100)*'Project Emission-2'!$D$15/1000</f>
        <v>78.63030189431035</v>
      </c>
      <c r="G153" s="307"/>
    </row>
    <row r="154" spans="1:7">
      <c r="A154" s="320">
        <f t="shared" si="2"/>
        <v>43613</v>
      </c>
      <c r="B154" s="321">
        <v>29857.708773346858</v>
      </c>
      <c r="C154" s="321">
        <v>3388.9759550347449</v>
      </c>
      <c r="D154" s="321">
        <v>33246.684728381602</v>
      </c>
      <c r="E154" s="288">
        <v>62.91</v>
      </c>
      <c r="F154" s="326">
        <f>B154*(E154/100)*'Project Emission-2'!$D$15/1000</f>
        <v>70.105157854680797</v>
      </c>
      <c r="G154" s="307"/>
    </row>
    <row r="155" spans="1:7">
      <c r="A155" s="320">
        <f t="shared" si="2"/>
        <v>43614</v>
      </c>
      <c r="B155" s="321">
        <v>22421.708773346858</v>
      </c>
      <c r="C155" s="321">
        <v>3891.0267198901647</v>
      </c>
      <c r="D155" s="321">
        <v>26312.735493237022</v>
      </c>
      <c r="E155" s="288">
        <v>62.1</v>
      </c>
      <c r="F155" s="326">
        <f>B155*(E155/100)*'Project Emission-2'!$D$15/1000</f>
        <v>51.967774201128435</v>
      </c>
      <c r="G155" s="307"/>
    </row>
    <row r="156" spans="1:7">
      <c r="A156" s="320">
        <f t="shared" si="2"/>
        <v>43615</v>
      </c>
      <c r="B156" s="321">
        <v>23712.708773346858</v>
      </c>
      <c r="C156" s="321">
        <v>3820.0195400002544</v>
      </c>
      <c r="D156" s="321">
        <v>27532.728313347114</v>
      </c>
      <c r="E156" s="288">
        <v>61.52</v>
      </c>
      <c r="F156" s="326">
        <f>B156*(E156/100)*'Project Emission-2'!$D$15/1000</f>
        <v>54.446667479714534</v>
      </c>
      <c r="G156" s="307"/>
    </row>
    <row r="157" spans="1:7">
      <c r="A157" s="317" t="s">
        <v>321</v>
      </c>
      <c r="B157" s="322">
        <f>SUM(B126:B156)</f>
        <v>963514.97197375249</v>
      </c>
      <c r="C157" s="322">
        <f>SUM(C126:C156)</f>
        <v>112430.23571632901</v>
      </c>
      <c r="D157" s="322">
        <v>1075945.2076900816</v>
      </c>
      <c r="E157" s="323">
        <f>+AVERAGE(E126:E156)</f>
        <v>60.349677419354826</v>
      </c>
      <c r="F157" s="327">
        <f>SUM(F126:F156)</f>
        <v>2170.9839380317535</v>
      </c>
      <c r="G157" s="307"/>
    </row>
    <row r="158" spans="1:7">
      <c r="A158" s="320">
        <f>A156+1</f>
        <v>43616</v>
      </c>
      <c r="B158" s="321">
        <v>24463.22343631271</v>
      </c>
      <c r="C158" s="321">
        <v>4149.0716876613687</v>
      </c>
      <c r="D158" s="321">
        <v>28612.29512397408</v>
      </c>
      <c r="E158" s="288">
        <v>62.93</v>
      </c>
      <c r="F158" s="326">
        <f>B158*(E158/100)*'Project Emission-2'!$D$15/1000</f>
        <v>57.457301107854981</v>
      </c>
      <c r="G158" s="307"/>
    </row>
    <row r="159" spans="1:7">
      <c r="A159" s="320">
        <f t="shared" si="2"/>
        <v>43617</v>
      </c>
      <c r="B159" s="321">
        <v>26127.22343631271</v>
      </c>
      <c r="C159" s="321">
        <v>3690.0252711899784</v>
      </c>
      <c r="D159" s="321">
        <v>29817.248707502687</v>
      </c>
      <c r="E159" s="288">
        <v>60.77</v>
      </c>
      <c r="F159" s="326">
        <f>B159*(E159/100)*'Project Emission-2'!$D$15/1000</f>
        <v>59.259270969728888</v>
      </c>
      <c r="G159" s="307"/>
    </row>
    <row r="160" spans="1:7">
      <c r="A160" s="320">
        <f t="shared" si="2"/>
        <v>43618</v>
      </c>
      <c r="B160" s="321">
        <v>25831.22343631271</v>
      </c>
      <c r="C160" s="321">
        <v>3786.0349792101383</v>
      </c>
      <c r="D160" s="321">
        <v>29617.258415522847</v>
      </c>
      <c r="E160" s="288">
        <v>62.25</v>
      </c>
      <c r="F160" s="326">
        <f>B160*(E160/100)*'Project Emission-2'!$D$15/1000</f>
        <v>60.014769225186654</v>
      </c>
      <c r="G160" s="307"/>
    </row>
    <row r="161" spans="1:7">
      <c r="A161" s="320">
        <f t="shared" si="2"/>
        <v>43619</v>
      </c>
      <c r="B161" s="321">
        <v>26791.22343631271</v>
      </c>
      <c r="C161" s="321">
        <v>3639.0201138042685</v>
      </c>
      <c r="D161" s="321">
        <v>30430.243550116978</v>
      </c>
      <c r="E161" s="288">
        <v>61.52</v>
      </c>
      <c r="F161" s="326">
        <f>B161*(E161/100)*'Project Emission-2'!$D$15/1000</f>
        <v>61.515234204336338</v>
      </c>
      <c r="G161" s="307"/>
    </row>
    <row r="162" spans="1:7">
      <c r="A162" s="320">
        <f t="shared" si="2"/>
        <v>43620</v>
      </c>
      <c r="B162" s="321">
        <v>26743.22343631271</v>
      </c>
      <c r="C162" s="321">
        <v>3202.9760232127082</v>
      </c>
      <c r="D162" s="321">
        <v>29946.199459525418</v>
      </c>
      <c r="E162" s="288">
        <v>60.78</v>
      </c>
      <c r="F162" s="326">
        <f>B162*(E162/100)*'Project Emission-2'!$D$15/1000</f>
        <v>60.6664046031187</v>
      </c>
      <c r="G162" s="307"/>
    </row>
    <row r="163" spans="1:7">
      <c r="A163" s="320">
        <f t="shared" si="2"/>
        <v>43621</v>
      </c>
      <c r="B163" s="321">
        <v>21435.22343631271</v>
      </c>
      <c r="C163" s="321">
        <v>3514.0074731530185</v>
      </c>
      <c r="D163" s="321">
        <v>24949.230909465728</v>
      </c>
      <c r="E163" s="288">
        <v>61.39</v>
      </c>
      <c r="F163" s="326">
        <f>B163*(E163/100)*'Project Emission-2'!$D$15/1000</f>
        <v>49.113338547503027</v>
      </c>
      <c r="G163" s="307"/>
    </row>
    <row r="164" spans="1:7">
      <c r="A164" s="320">
        <f t="shared" si="2"/>
        <v>43622</v>
      </c>
      <c r="B164" s="321">
        <v>24618.22343631271</v>
      </c>
      <c r="C164" s="321">
        <v>3754.0317432034185</v>
      </c>
      <c r="D164" s="321">
        <v>28372.255179516127</v>
      </c>
      <c r="E164" s="288">
        <v>59.99</v>
      </c>
      <c r="F164" s="326">
        <f>B164*(E164/100)*'Project Emission-2'!$D$15/1000</f>
        <v>55.120021670941036</v>
      </c>
      <c r="G164" s="307"/>
    </row>
    <row r="165" spans="1:7">
      <c r="A165" s="320">
        <f t="shared" si="2"/>
        <v>43623</v>
      </c>
      <c r="B165" s="321">
        <v>21867.22343631271</v>
      </c>
      <c r="C165" s="321">
        <v>3697.0259790664481</v>
      </c>
      <c r="D165" s="321">
        <v>25564.249415379159</v>
      </c>
      <c r="E165" s="288">
        <v>60.1</v>
      </c>
      <c r="F165" s="326">
        <f>B165*(E165/100)*'Project Emission-2'!$D$15/1000</f>
        <v>49.050328828913784</v>
      </c>
      <c r="G165" s="307"/>
    </row>
    <row r="166" spans="1:7">
      <c r="A166" s="320">
        <f t="shared" si="2"/>
        <v>43624</v>
      </c>
      <c r="B166" s="321">
        <v>21059.22343631271</v>
      </c>
      <c r="C166" s="321">
        <v>3945.0510581185285</v>
      </c>
      <c r="D166" s="321">
        <v>25004.27449443124</v>
      </c>
      <c r="E166" s="288">
        <v>62.11</v>
      </c>
      <c r="F166" s="326">
        <f>B166*(E166/100)*'Project Emission-2'!$D$15/1000</f>
        <v>48.817742282450645</v>
      </c>
      <c r="G166" s="307"/>
    </row>
    <row r="167" spans="1:7">
      <c r="A167" s="320">
        <f t="shared" si="2"/>
        <v>43625</v>
      </c>
      <c r="B167" s="321">
        <v>26736.22343631271</v>
      </c>
      <c r="C167" s="321">
        <v>3666.0228441849385</v>
      </c>
      <c r="D167" s="321">
        <v>30402.246280497649</v>
      </c>
      <c r="E167" s="288">
        <v>60.12</v>
      </c>
      <c r="F167" s="326">
        <f>B167*(E167/100)*'Project Emission-2'!$D$15/1000</f>
        <v>59.991931204443475</v>
      </c>
      <c r="G167" s="307"/>
    </row>
    <row r="168" spans="1:7">
      <c r="A168" s="320">
        <f t="shared" si="2"/>
        <v>43626</v>
      </c>
      <c r="B168" s="321">
        <v>26078.22343631271</v>
      </c>
      <c r="C168" s="321">
        <v>2905.9459890253383</v>
      </c>
      <c r="D168" s="321">
        <v>28984.169425338048</v>
      </c>
      <c r="E168" s="288">
        <v>60.04</v>
      </c>
      <c r="F168" s="326">
        <f>B168*(E168/100)*'Project Emission-2'!$D$15/1000</f>
        <v>58.437616530224858</v>
      </c>
      <c r="G168" s="307"/>
    </row>
    <row r="169" spans="1:7">
      <c r="A169" s="320">
        <f t="shared" si="2"/>
        <v>43627</v>
      </c>
      <c r="B169" s="321">
        <v>27380.22343631271</v>
      </c>
      <c r="C169" s="321">
        <v>3160.9717759538885</v>
      </c>
      <c r="D169" s="321">
        <v>30541.195212266597</v>
      </c>
      <c r="E169" s="288">
        <v>59.48</v>
      </c>
      <c r="F169" s="326">
        <f>B169*(E169/100)*'Project Emission-2'!$D$15/1000</f>
        <v>60.782947531544906</v>
      </c>
      <c r="G169" s="307"/>
    </row>
    <row r="170" spans="1:7">
      <c r="A170" s="320">
        <f t="shared" si="2"/>
        <v>43628</v>
      </c>
      <c r="B170" s="321">
        <v>28140.22343631271</v>
      </c>
      <c r="C170" s="321">
        <v>3649.0211250563684</v>
      </c>
      <c r="D170" s="321">
        <v>31789.24456136908</v>
      </c>
      <c r="E170" s="288">
        <v>59.08</v>
      </c>
      <c r="F170" s="326">
        <f>B170*(E170/100)*'Project Emission-2'!$D$15/1000</f>
        <v>62.050007275462697</v>
      </c>
      <c r="G170" s="307"/>
    </row>
    <row r="171" spans="1:7">
      <c r="A171" s="320">
        <f t="shared" si="2"/>
        <v>43629</v>
      </c>
      <c r="B171" s="321">
        <v>28851.22343631271</v>
      </c>
      <c r="C171" s="321">
        <v>3447.0006977639482</v>
      </c>
      <c r="D171" s="321">
        <v>32298.22413407666</v>
      </c>
      <c r="E171" s="288">
        <v>60.07</v>
      </c>
      <c r="F171" s="326">
        <f>B171*(E171/100)*'Project Emission-2'!$D$15/1000</f>
        <v>64.683822211276038</v>
      </c>
      <c r="G171" s="307"/>
    </row>
    <row r="172" spans="1:7">
      <c r="A172" s="320">
        <f t="shared" si="2"/>
        <v>43630</v>
      </c>
      <c r="B172" s="321">
        <v>26852.22343631271</v>
      </c>
      <c r="C172" s="321">
        <v>3277.9836076034585</v>
      </c>
      <c r="D172" s="321">
        <v>30130.207043916169</v>
      </c>
      <c r="E172" s="288">
        <v>60.23</v>
      </c>
      <c r="F172" s="326">
        <f>B172*(E172/100)*'Project Emission-2'!$D$15/1000</f>
        <v>60.36245909508024</v>
      </c>
      <c r="G172" s="307"/>
    </row>
    <row r="173" spans="1:7">
      <c r="A173" s="320">
        <f t="shared" si="2"/>
        <v>43631</v>
      </c>
      <c r="B173" s="321">
        <v>26999.22343631271</v>
      </c>
      <c r="C173" s="356">
        <v>3602.2520885004983</v>
      </c>
      <c r="D173" s="356">
        <v>30601.47552481321</v>
      </c>
      <c r="E173" s="288">
        <v>59.83</v>
      </c>
      <c r="F173" s="326">
        <f>B173*(E173/100)*'Project Emission-2'!$D$15/1000</f>
        <v>60.289833496742183</v>
      </c>
      <c r="G173" s="307"/>
    </row>
    <row r="174" spans="1:7">
      <c r="A174" s="320">
        <f t="shared" si="2"/>
        <v>43632</v>
      </c>
      <c r="B174" s="321">
        <v>27109.22343631271</v>
      </c>
      <c r="C174" s="321">
        <v>3706.0268891933383</v>
      </c>
      <c r="D174" s="321">
        <v>30815.250325506047</v>
      </c>
      <c r="E174" s="288">
        <v>59.79</v>
      </c>
      <c r="F174" s="326">
        <f>B174*(E174/100)*'Project Emission-2'!$D$15/1000</f>
        <v>60.494994162232047</v>
      </c>
      <c r="G174" s="307"/>
    </row>
    <row r="175" spans="1:7">
      <c r="A175" s="320">
        <f t="shared" si="2"/>
        <v>43633</v>
      </c>
      <c r="B175" s="321">
        <v>27232.22343631271</v>
      </c>
      <c r="C175" s="321">
        <v>3397.9957426286583</v>
      </c>
      <c r="D175" s="321">
        <v>30630.21917894137</v>
      </c>
      <c r="E175" s="288">
        <v>58.22</v>
      </c>
      <c r="F175" s="326">
        <f>B175*(E175/100)*'Project Emission-2'!$D$15/1000</f>
        <v>59.173752581014234</v>
      </c>
      <c r="G175" s="307"/>
    </row>
    <row r="176" spans="1:7">
      <c r="A176" s="320">
        <f t="shared" si="2"/>
        <v>43634</v>
      </c>
      <c r="B176" s="321">
        <v>26267.22343631271</v>
      </c>
      <c r="C176" s="321">
        <v>3388.9948325017685</v>
      </c>
      <c r="D176" s="321">
        <v>29656.218268814479</v>
      </c>
      <c r="E176" s="288">
        <v>59.53</v>
      </c>
      <c r="F176" s="326">
        <f>B176*(E176/100)*'Project Emission-2'!$D$15/1000</f>
        <v>58.361152487885363</v>
      </c>
      <c r="G176" s="307"/>
    </row>
    <row r="177" spans="1:7">
      <c r="A177" s="320">
        <f t="shared" si="2"/>
        <v>43635</v>
      </c>
      <c r="B177" s="321">
        <v>23602.22343631271</v>
      </c>
      <c r="C177" s="321">
        <v>3537.0097990328482</v>
      </c>
      <c r="D177" s="321">
        <v>27139.233235345557</v>
      </c>
      <c r="E177" s="288">
        <v>59.58</v>
      </c>
      <c r="F177" s="326">
        <f>B177*(E177/100)*'Project Emission-2'!$D$15/1000</f>
        <v>52.48403602793546</v>
      </c>
      <c r="G177" s="307"/>
    </row>
    <row r="178" spans="1:7">
      <c r="A178" s="320">
        <f t="shared" si="2"/>
        <v>43636</v>
      </c>
      <c r="B178" s="321">
        <v>25270.22343631271</v>
      </c>
      <c r="C178" s="321">
        <v>3204.9762254631282</v>
      </c>
      <c r="D178" s="321">
        <v>28475.199661775838</v>
      </c>
      <c r="E178" s="288">
        <v>59.66</v>
      </c>
      <c r="F178" s="326">
        <f>B178*(E178/100)*'Project Emission-2'!$D$15/1000</f>
        <v>56.268603867385544</v>
      </c>
      <c r="G178" s="307"/>
    </row>
    <row r="179" spans="1:7">
      <c r="A179" s="320">
        <f t="shared" si="2"/>
        <v>43637</v>
      </c>
      <c r="B179" s="321">
        <v>26786.22343631271</v>
      </c>
      <c r="C179" s="321">
        <v>3241.9799670958982</v>
      </c>
      <c r="D179" s="321">
        <v>30028.20340340861</v>
      </c>
      <c r="E179" s="288">
        <v>60.67</v>
      </c>
      <c r="F179" s="326">
        <f>B179*(E179/100)*'Project Emission-2'!$D$15/1000</f>
        <v>60.653978190923361</v>
      </c>
      <c r="G179" s="307"/>
    </row>
    <row r="180" spans="1:7">
      <c r="A180" s="320">
        <f t="shared" si="2"/>
        <v>43638</v>
      </c>
      <c r="B180" s="321">
        <v>28687.22343631271</v>
      </c>
      <c r="C180" s="321">
        <v>3503.0063607757083</v>
      </c>
      <c r="D180" s="321">
        <v>32190.229797088417</v>
      </c>
      <c r="E180" s="288">
        <v>60.95</v>
      </c>
      <c r="F180" s="326">
        <f>B180*(E180/100)*'Project Emission-2'!$D$15/1000</f>
        <v>65.258341855111027</v>
      </c>
      <c r="G180" s="307"/>
    </row>
    <row r="181" spans="1:7">
      <c r="A181" s="320">
        <f t="shared" si="2"/>
        <v>43639</v>
      </c>
      <c r="B181" s="321">
        <v>31921.22343631271</v>
      </c>
      <c r="C181" s="321">
        <v>3509.0069675269683</v>
      </c>
      <c r="D181" s="321">
        <v>35430.230403839676</v>
      </c>
      <c r="E181" s="288">
        <v>62.04</v>
      </c>
      <c r="F181" s="326">
        <f>B181*(E181/100)*'Project Emission-2'!$D$15/1000</f>
        <v>73.913731143464588</v>
      </c>
      <c r="G181" s="307"/>
    </row>
    <row r="182" spans="1:7">
      <c r="A182" s="320">
        <f t="shared" si="2"/>
        <v>43640</v>
      </c>
      <c r="B182" s="321">
        <v>32445.22343631271</v>
      </c>
      <c r="C182" s="321">
        <v>3610.0171811731784</v>
      </c>
      <c r="D182" s="321">
        <v>36055.240617485892</v>
      </c>
      <c r="E182" s="288">
        <v>62.27</v>
      </c>
      <c r="F182" s="326">
        <f>B182*(E182/100)*'Project Emission-2'!$D$15/1000</f>
        <v>75.405572865703661</v>
      </c>
      <c r="G182" s="307"/>
    </row>
    <row r="183" spans="1:7">
      <c r="A183" s="320">
        <f t="shared" si="2"/>
        <v>43641</v>
      </c>
      <c r="B183" s="321">
        <v>29575.22343631271</v>
      </c>
      <c r="C183" s="321">
        <v>3115.9672253194385</v>
      </c>
      <c r="D183" s="321">
        <v>32691.19066163215</v>
      </c>
      <c r="E183" s="288">
        <v>62.23</v>
      </c>
      <c r="F183" s="326">
        <f>B183*(E183/100)*'Project Emission-2'!$D$15/1000</f>
        <v>68.691285511927461</v>
      </c>
      <c r="G183" s="307"/>
    </row>
    <row r="184" spans="1:7">
      <c r="A184" s="320">
        <f t="shared" si="2"/>
        <v>43642</v>
      </c>
      <c r="B184" s="321">
        <v>28563.22343631271</v>
      </c>
      <c r="C184" s="321">
        <v>3749.0312375773683</v>
      </c>
      <c r="D184" s="321">
        <v>32312.254673890078</v>
      </c>
      <c r="E184" s="288">
        <v>63.37</v>
      </c>
      <c r="F184" s="326">
        <f>B184*(E184/100)*'Project Emission-2'!$D$15/1000</f>
        <v>67.556125364885006</v>
      </c>
      <c r="G184" s="307"/>
    </row>
    <row r="185" spans="1:7">
      <c r="A185" s="320">
        <f t="shared" si="2"/>
        <v>43643</v>
      </c>
      <c r="B185" s="321">
        <v>33240.223436312714</v>
      </c>
      <c r="C185" s="321">
        <v>2587.9138312085583</v>
      </c>
      <c r="D185" s="321">
        <v>35828.13726752127</v>
      </c>
      <c r="E185" s="288">
        <v>61.17</v>
      </c>
      <c r="F185" s="326">
        <f>B185*(E185/100)*'Project Emission-2'!$D$15/1000</f>
        <v>75.888544529580457</v>
      </c>
      <c r="G185" s="307"/>
    </row>
    <row r="186" spans="1:7">
      <c r="A186" s="320">
        <f t="shared" si="2"/>
        <v>43644</v>
      </c>
      <c r="B186" s="321">
        <v>26557.22343631271</v>
      </c>
      <c r="C186" s="321">
        <v>1971.8515380791985</v>
      </c>
      <c r="D186" s="321">
        <v>28529.074974391908</v>
      </c>
      <c r="E186" s="288">
        <v>61.09</v>
      </c>
      <c r="F186" s="326">
        <f>B186*(E186/100)*'Project Emission-2'!$D$15/1000</f>
        <v>60.551736352311245</v>
      </c>
      <c r="G186" s="307"/>
    </row>
    <row r="187" spans="1:7">
      <c r="A187" s="320">
        <f t="shared" si="2"/>
        <v>43645</v>
      </c>
      <c r="B187" s="321">
        <v>25641.22343631271</v>
      </c>
      <c r="C187" s="321">
        <v>3593.0154620446083</v>
      </c>
      <c r="D187" s="321">
        <v>29234.238898357318</v>
      </c>
      <c r="E187" s="288">
        <v>60.43</v>
      </c>
      <c r="F187" s="326">
        <f>B187*(E187/100)*'Project Emission-2'!$D$15/1000</f>
        <v>57.831591761377283</v>
      </c>
      <c r="G187" s="307"/>
    </row>
    <row r="188" spans="1:7">
      <c r="A188" s="317" t="s">
        <v>321</v>
      </c>
      <c r="B188" s="322">
        <f>SUM(B158:B187)</f>
        <v>802871.70308938157</v>
      </c>
      <c r="C188" s="322">
        <f>SUM(C158:C187)</f>
        <v>103203.23571632899</v>
      </c>
      <c r="D188" s="322">
        <v>906074.93880571052</v>
      </c>
      <c r="E188" s="323">
        <f>+AVERAGE(E158:E187)</f>
        <v>60.723000000000006</v>
      </c>
      <c r="F188" s="327">
        <f>SUM(F158:F187)</f>
        <v>1820.1464754865451</v>
      </c>
      <c r="G188" s="307"/>
    </row>
    <row r="189" spans="1:7">
      <c r="A189" s="320">
        <f>A187+1</f>
        <v>43646</v>
      </c>
      <c r="B189" s="321">
        <v>30275.585990792602</v>
      </c>
      <c r="C189" s="321">
        <v>4253.0519979305609</v>
      </c>
      <c r="D189" s="321">
        <v>34528.63798872316</v>
      </c>
      <c r="E189" s="288">
        <v>60.48</v>
      </c>
      <c r="F189" s="326">
        <f>B189*(E189/100)*'Project Emission-2'!$D$15/1000</f>
        <v>68.340499529837373</v>
      </c>
      <c r="G189" s="307"/>
    </row>
    <row r="190" spans="1:7">
      <c r="A190" s="320">
        <f t="shared" si="2"/>
        <v>43647</v>
      </c>
      <c r="B190" s="321">
        <v>29109.585990792602</v>
      </c>
      <c r="C190" s="321">
        <v>4016.0280312557916</v>
      </c>
      <c r="D190" s="321">
        <v>33125.614022048394</v>
      </c>
      <c r="E190" s="288">
        <v>64.010000000000005</v>
      </c>
      <c r="F190" s="326">
        <f>B190*(E190/100)*'Project Emission-2'!$D$15/1000</f>
        <v>69.543679418006036</v>
      </c>
      <c r="G190" s="307"/>
    </row>
    <row r="191" spans="1:7">
      <c r="A191" s="320">
        <f t="shared" si="2"/>
        <v>43648</v>
      </c>
      <c r="B191" s="321">
        <v>28934.585990792602</v>
      </c>
      <c r="C191" s="356">
        <v>3616.2232975007914</v>
      </c>
      <c r="D191" s="356">
        <v>32550.809288293392</v>
      </c>
      <c r="E191" s="288">
        <v>62.36</v>
      </c>
      <c r="F191" s="326">
        <f>B191*(E191/100)*'Project Emission-2'!$D$15/1000</f>
        <v>67.343733200562426</v>
      </c>
      <c r="G191" s="307"/>
    </row>
    <row r="192" spans="1:7">
      <c r="A192" s="320">
        <f t="shared" si="2"/>
        <v>43649</v>
      </c>
      <c r="B192" s="321">
        <v>29106.585990792602</v>
      </c>
      <c r="C192" s="321">
        <v>3831.0093230919415</v>
      </c>
      <c r="D192" s="321">
        <v>32937.595313884543</v>
      </c>
      <c r="E192" s="288">
        <v>61.45</v>
      </c>
      <c r="F192" s="326">
        <f>B192*(E192/100)*'Project Emission-2'!$D$15/1000</f>
        <v>66.755486369677399</v>
      </c>
      <c r="G192" s="307"/>
    </row>
    <row r="193" spans="1:7">
      <c r="A193" s="320">
        <f t="shared" si="2"/>
        <v>43650</v>
      </c>
      <c r="B193" s="321">
        <v>31317.585990792602</v>
      </c>
      <c r="C193" s="321">
        <v>3662.9923340566615</v>
      </c>
      <c r="D193" s="321">
        <v>34980.578324849266</v>
      </c>
      <c r="E193" s="288">
        <v>60.92</v>
      </c>
      <c r="F193" s="326">
        <f>B193*(E193/100)*'Project Emission-2'!$D$15/1000</f>
        <v>71.206884057911552</v>
      </c>
      <c r="G193" s="307"/>
    </row>
    <row r="194" spans="1:7">
      <c r="A194" s="320">
        <f t="shared" si="2"/>
        <v>43651</v>
      </c>
      <c r="B194" s="321">
        <v>31463.585990792602</v>
      </c>
      <c r="C194" s="321">
        <v>4407.0675712129014</v>
      </c>
      <c r="D194" s="321">
        <v>35870.653562005507</v>
      </c>
      <c r="E194" s="288">
        <v>61.69</v>
      </c>
      <c r="F194" s="326">
        <f>B194*(E194/100)*'Project Emission-2'!$D$15/1000</f>
        <v>72.443061848427334</v>
      </c>
      <c r="G194" s="307"/>
    </row>
    <row r="195" spans="1:7">
      <c r="A195" s="320">
        <f t="shared" si="2"/>
        <v>43652</v>
      </c>
      <c r="B195" s="321">
        <v>31163.585990792602</v>
      </c>
      <c r="C195" s="321">
        <v>4317.0584699440014</v>
      </c>
      <c r="D195" s="321">
        <v>35480.644460736607</v>
      </c>
      <c r="E195" s="288">
        <v>61.57</v>
      </c>
      <c r="F195" s="326">
        <f>B195*(E195/100)*'Project Emission-2'!$D$15/1000</f>
        <v>71.612756096145205</v>
      </c>
      <c r="G195" s="307"/>
    </row>
    <row r="196" spans="1:7">
      <c r="A196" s="320">
        <f t="shared" ref="A196:A259" si="3">A195+1</f>
        <v>43653</v>
      </c>
      <c r="B196" s="321">
        <v>28017.585990792602</v>
      </c>
      <c r="C196" s="321">
        <v>3757.0018398264015</v>
      </c>
      <c r="D196" s="321">
        <v>31774.587830619002</v>
      </c>
      <c r="E196" s="288">
        <v>60.32</v>
      </c>
      <c r="F196" s="326">
        <f>B196*(E196/100)*'Project Emission-2'!$D$15/1000</f>
        <v>63.076248437554831</v>
      </c>
      <c r="G196" s="307"/>
    </row>
    <row r="197" spans="1:7">
      <c r="A197" s="320">
        <f t="shared" si="3"/>
        <v>43654</v>
      </c>
      <c r="B197" s="321">
        <v>30522.585990792602</v>
      </c>
      <c r="C197" s="321">
        <v>3780.0041657062316</v>
      </c>
      <c r="D197" s="321">
        <v>34302.590156498831</v>
      </c>
      <c r="E197" s="288">
        <v>62.05</v>
      </c>
      <c r="F197" s="326">
        <f>B197*(E197/100)*'Project Emission-2'!$D$15/1000</f>
        <v>70.686571952728784</v>
      </c>
      <c r="G197" s="307"/>
    </row>
    <row r="198" spans="1:7">
      <c r="A198" s="320">
        <f t="shared" si="3"/>
        <v>43655</v>
      </c>
      <c r="B198" s="321">
        <v>26967.585990792602</v>
      </c>
      <c r="C198" s="321">
        <v>3563.9823226608714</v>
      </c>
      <c r="D198" s="321">
        <v>30531.568313453474</v>
      </c>
      <c r="E198" s="288">
        <v>62.59</v>
      </c>
      <c r="F198" s="326">
        <f>B198*(E198/100)*'Project Emission-2'!$D$15/1000</f>
        <v>62.99713985904738</v>
      </c>
      <c r="G198" s="307"/>
    </row>
    <row r="199" spans="1:7">
      <c r="A199" s="320">
        <f t="shared" si="3"/>
        <v>43656</v>
      </c>
      <c r="B199" s="321">
        <v>26108.585990792602</v>
      </c>
      <c r="C199" s="321">
        <v>4210.0476495465309</v>
      </c>
      <c r="D199" s="321">
        <v>30318.633640339132</v>
      </c>
      <c r="E199" s="288">
        <v>60.94</v>
      </c>
      <c r="F199" s="326">
        <f>B199*(E199/100)*'Project Emission-2'!$D$15/1000</f>
        <v>59.382654881831002</v>
      </c>
      <c r="G199" s="307"/>
    </row>
    <row r="200" spans="1:7">
      <c r="A200" s="320">
        <f t="shared" si="3"/>
        <v>43657</v>
      </c>
      <c r="B200" s="321">
        <v>28231.585990792602</v>
      </c>
      <c r="C200" s="321">
        <v>3771.0032555793414</v>
      </c>
      <c r="D200" s="321">
        <v>32002.589246371943</v>
      </c>
      <c r="E200" s="288">
        <v>59.29</v>
      </c>
      <c r="F200" s="326">
        <f>B200*(E200/100)*'Project Emission-2'!$D$15/1000</f>
        <v>62.472737330395994</v>
      </c>
      <c r="G200" s="307"/>
    </row>
    <row r="201" spans="1:7">
      <c r="A201" s="320">
        <f t="shared" si="3"/>
        <v>43658</v>
      </c>
      <c r="B201" s="321">
        <v>26549.585990792602</v>
      </c>
      <c r="C201" s="321">
        <v>3572.9832327877616</v>
      </c>
      <c r="D201" s="321">
        <v>30122.569223580365</v>
      </c>
      <c r="E201" s="288">
        <v>60.62</v>
      </c>
      <c r="F201" s="326">
        <f>B201*(E201/100)*'Project Emission-2'!$D$15/1000</f>
        <v>60.068597753320105</v>
      </c>
      <c r="G201" s="307"/>
    </row>
    <row r="202" spans="1:7">
      <c r="A202" s="320">
        <f t="shared" si="3"/>
        <v>43659</v>
      </c>
      <c r="B202" s="321">
        <v>25078.585990792602</v>
      </c>
      <c r="C202" s="321">
        <v>3725.9987049448914</v>
      </c>
      <c r="D202" s="321">
        <v>28804.584695737492</v>
      </c>
      <c r="E202" s="288">
        <v>61.04</v>
      </c>
      <c r="F202" s="326">
        <f>B202*(E202/100)*'Project Emission-2'!$D$15/1000</f>
        <v>57.133572329442295</v>
      </c>
      <c r="G202" s="307"/>
    </row>
    <row r="203" spans="1:7">
      <c r="A203" s="320">
        <f t="shared" si="3"/>
        <v>43660</v>
      </c>
      <c r="B203" s="321">
        <v>23088.585990792602</v>
      </c>
      <c r="C203" s="321">
        <v>4003.0267166280614</v>
      </c>
      <c r="D203" s="321">
        <v>27091.612707420663</v>
      </c>
      <c r="E203" s="288">
        <v>61.36</v>
      </c>
      <c r="F203" s="326">
        <f>B203*(E203/100)*'Project Emission-2'!$D$15/1000</f>
        <v>52.875744568278535</v>
      </c>
      <c r="G203" s="307"/>
    </row>
    <row r="204" spans="1:7">
      <c r="A204" s="320">
        <f t="shared" si="3"/>
        <v>43661</v>
      </c>
      <c r="B204" s="321">
        <v>23479.585990792602</v>
      </c>
      <c r="C204" s="321">
        <v>3765.0026488280814</v>
      </c>
      <c r="D204" s="321">
        <v>27244.588639620684</v>
      </c>
      <c r="E204" s="288">
        <v>60.61</v>
      </c>
      <c r="F204" s="326">
        <f>B204*(E204/100)*'Project Emission-2'!$D$15/1000</f>
        <v>53.113941085116998</v>
      </c>
      <c r="G204" s="307"/>
    </row>
    <row r="205" spans="1:7">
      <c r="A205" s="320">
        <f t="shared" si="3"/>
        <v>43662</v>
      </c>
      <c r="B205" s="321">
        <v>20001.585990792602</v>
      </c>
      <c r="C205" s="321">
        <v>3473.9732213919715</v>
      </c>
      <c r="D205" s="321">
        <v>23475.559212184573</v>
      </c>
      <c r="E205" s="288">
        <v>58.61</v>
      </c>
      <c r="F205" s="326">
        <f>B205*(E205/100)*'Project Emission-2'!$D$15/1000</f>
        <v>43.753214301558756</v>
      </c>
      <c r="G205" s="307"/>
    </row>
    <row r="206" spans="1:7">
      <c r="A206" s="320">
        <f t="shared" si="3"/>
        <v>43663</v>
      </c>
      <c r="B206" s="321">
        <v>22344.585990792602</v>
      </c>
      <c r="C206" s="321">
        <v>3886.0148849784914</v>
      </c>
      <c r="D206" s="321">
        <v>26230.600875771095</v>
      </c>
      <c r="E206" s="288">
        <v>60.35</v>
      </c>
      <c r="F206" s="326">
        <f>B206*(E206/100)*'Project Emission-2'!$D$15/1000</f>
        <v>50.329590332530046</v>
      </c>
      <c r="G206" s="307"/>
    </row>
    <row r="207" spans="1:7">
      <c r="A207" s="320">
        <f t="shared" si="3"/>
        <v>43664</v>
      </c>
      <c r="B207" s="321">
        <v>24990.585990792602</v>
      </c>
      <c r="C207" s="321">
        <v>3680.9941543104414</v>
      </c>
      <c r="D207" s="321">
        <v>28671.580145103042</v>
      </c>
      <c r="E207" s="288">
        <v>60.75</v>
      </c>
      <c r="F207" s="326">
        <f>B207*(E207/100)*'Project Emission-2'!$D$15/1000</f>
        <v>56.662604199814787</v>
      </c>
      <c r="G207" s="307"/>
    </row>
    <row r="208" spans="1:7">
      <c r="A208" s="320">
        <f t="shared" si="3"/>
        <v>43665</v>
      </c>
      <c r="B208" s="321">
        <v>23873.585990792602</v>
      </c>
      <c r="C208" s="321">
        <v>3292.9549177289614</v>
      </c>
      <c r="D208" s="321">
        <v>27166.540908521565</v>
      </c>
      <c r="E208" s="288">
        <v>60.29</v>
      </c>
      <c r="F208" s="326">
        <f>B208*(E208/100)*'Project Emission-2'!$D$15/1000</f>
        <v>53.720092364070794</v>
      </c>
      <c r="G208" s="307"/>
    </row>
    <row r="209" spans="1:7">
      <c r="A209" s="320">
        <f t="shared" si="3"/>
        <v>43666</v>
      </c>
      <c r="B209" s="321">
        <v>26257.585990792602</v>
      </c>
      <c r="C209" s="321">
        <v>3222.9478389642613</v>
      </c>
      <c r="D209" s="321">
        <v>29480.533829756863</v>
      </c>
      <c r="E209" s="288">
        <v>62.91</v>
      </c>
      <c r="F209" s="326">
        <f>B209*(E209/100)*'Project Emission-2'!$D$15/1000</f>
        <v>61.652159070243002</v>
      </c>
      <c r="G209" s="307"/>
    </row>
    <row r="210" spans="1:7">
      <c r="A210" s="320">
        <f t="shared" si="3"/>
        <v>43667</v>
      </c>
      <c r="B210" s="321">
        <v>24599.585990792602</v>
      </c>
      <c r="C210" s="321">
        <v>3326.9583559861017</v>
      </c>
      <c r="D210" s="321">
        <v>27926.544346778704</v>
      </c>
      <c r="E210" s="288">
        <v>62.44</v>
      </c>
      <c r="F210" s="326">
        <f>B210*(E210/100)*'Project Emission-2'!$D$15/1000</f>
        <v>57.327697747837284</v>
      </c>
      <c r="G210" s="307"/>
    </row>
    <row r="211" spans="1:7">
      <c r="A211" s="320">
        <f t="shared" si="3"/>
        <v>43668</v>
      </c>
      <c r="B211" s="321">
        <v>24778.585990792602</v>
      </c>
      <c r="C211" s="321">
        <v>2613.8862537113714</v>
      </c>
      <c r="D211" s="321">
        <v>27392.472244503973</v>
      </c>
      <c r="E211" s="288">
        <v>62.31</v>
      </c>
      <c r="F211" s="326">
        <f>B211*(E211/100)*'Project Emission-2'!$D$15/1000</f>
        <v>57.624620639195889</v>
      </c>
      <c r="G211" s="307"/>
    </row>
    <row r="212" spans="1:7">
      <c r="A212" s="320">
        <f t="shared" si="3"/>
        <v>43669</v>
      </c>
      <c r="B212" s="321">
        <v>25532.585990792602</v>
      </c>
      <c r="C212" s="321">
        <v>2740.8990966130414</v>
      </c>
      <c r="D212" s="321">
        <v>28273.485087405643</v>
      </c>
      <c r="E212" s="288">
        <v>60.67</v>
      </c>
      <c r="F212" s="326">
        <f>B212*(E212/100)*'Project Emission-2'!$D$15/1000</f>
        <v>57.815276480669553</v>
      </c>
      <c r="G212" s="307"/>
    </row>
    <row r="213" spans="1:7">
      <c r="A213" s="320">
        <f t="shared" si="3"/>
        <v>43670</v>
      </c>
      <c r="B213" s="321">
        <v>23756.585990792602</v>
      </c>
      <c r="C213" s="321">
        <v>4046.0310650120914</v>
      </c>
      <c r="D213" s="321">
        <v>27802.617055804694</v>
      </c>
      <c r="E213" s="288">
        <v>61.91</v>
      </c>
      <c r="F213" s="326">
        <f>B213*(E213/100)*'Project Emission-2'!$D$15/1000</f>
        <v>54.893211779242492</v>
      </c>
      <c r="G213" s="307"/>
    </row>
    <row r="214" spans="1:7">
      <c r="A214" s="320">
        <f t="shared" si="3"/>
        <v>43671</v>
      </c>
      <c r="B214" s="321">
        <v>26793.585990792602</v>
      </c>
      <c r="C214" s="321">
        <v>4090.0355145213316</v>
      </c>
      <c r="D214" s="321">
        <v>30883.621505313935</v>
      </c>
      <c r="E214" s="288">
        <v>61.35</v>
      </c>
      <c r="F214" s="326">
        <f>B214*(E214/100)*'Project Emission-2'!$D$15/1000</f>
        <v>61.350657036754953</v>
      </c>
      <c r="G214" s="307"/>
    </row>
    <row r="215" spans="1:7">
      <c r="A215" s="320">
        <f t="shared" si="3"/>
        <v>43672</v>
      </c>
      <c r="B215" s="321">
        <v>28188.585990792602</v>
      </c>
      <c r="C215" s="321">
        <v>3845.0107388448814</v>
      </c>
      <c r="D215" s="321">
        <v>32033.596729637484</v>
      </c>
      <c r="E215" s="288">
        <v>62.66</v>
      </c>
      <c r="F215" s="326">
        <f>B215*(E215/100)*'Project Emission-2'!$D$15/1000</f>
        <v>65.923080068591887</v>
      </c>
      <c r="G215" s="307"/>
    </row>
    <row r="216" spans="1:7">
      <c r="A216" s="320">
        <f t="shared" si="3"/>
        <v>43673</v>
      </c>
      <c r="B216" s="321">
        <v>27193.585990792602</v>
      </c>
      <c r="C216" s="321">
        <v>3968.0231772457114</v>
      </c>
      <c r="D216" s="321">
        <v>31161.609168038314</v>
      </c>
      <c r="E216" s="288">
        <v>62.14</v>
      </c>
      <c r="F216" s="326">
        <f>B216*(E216/100)*'Project Emission-2'!$D$15/1000</f>
        <v>63.068360140693365</v>
      </c>
      <c r="G216" s="307"/>
    </row>
    <row r="217" spans="1:7">
      <c r="A217" s="320">
        <f t="shared" si="3"/>
        <v>43674</v>
      </c>
      <c r="B217" s="321">
        <v>26377.585990792602</v>
      </c>
      <c r="C217" s="321">
        <v>3901.0164018566416</v>
      </c>
      <c r="D217" s="321">
        <v>30278.602392649245</v>
      </c>
      <c r="E217" s="288">
        <v>62.83</v>
      </c>
      <c r="F217" s="326">
        <f>B217*(E217/100)*'Project Emission-2'!$D$15/1000</f>
        <v>61.855157331554281</v>
      </c>
      <c r="G217" s="307"/>
    </row>
    <row r="218" spans="1:7">
      <c r="A218" s="320">
        <f t="shared" si="3"/>
        <v>43675</v>
      </c>
      <c r="B218" s="321">
        <v>26352.585990792602</v>
      </c>
      <c r="C218" s="321">
        <v>3478.9737270180217</v>
      </c>
      <c r="D218" s="321">
        <v>29831.559717810625</v>
      </c>
      <c r="E218" s="288">
        <v>60.86</v>
      </c>
      <c r="F218" s="326">
        <f>B218*(E218/100)*'Project Emission-2'!$D$15/1000</f>
        <v>59.858936399077294</v>
      </c>
      <c r="G218" s="307"/>
    </row>
    <row r="219" spans="1:7">
      <c r="A219" s="320">
        <f t="shared" si="3"/>
        <v>43676</v>
      </c>
      <c r="B219" s="321">
        <v>25673.585990792602</v>
      </c>
      <c r="C219" s="321">
        <v>4083.0348066448614</v>
      </c>
      <c r="D219" s="321">
        <v>29756.620797437463</v>
      </c>
      <c r="E219" s="288">
        <v>61.55</v>
      </c>
      <c r="F219" s="326">
        <f>B219*(E219/100)*'Project Emission-2'!$D$15/1000</f>
        <v>58.977777060410837</v>
      </c>
      <c r="G219" s="307"/>
    </row>
    <row r="220" spans="1:7">
      <c r="A220" s="317" t="s">
        <v>321</v>
      </c>
      <c r="B220" s="322">
        <f>SUM(B189:B219)</f>
        <v>826130.16571457067</v>
      </c>
      <c r="C220" s="322">
        <f>SUM(C189:C219)</f>
        <v>115903.23571632899</v>
      </c>
      <c r="D220" s="322">
        <v>942033.40143089963</v>
      </c>
      <c r="E220" s="323">
        <f>+AVERAGE(E189:E219)</f>
        <v>61.384838709677425</v>
      </c>
      <c r="F220" s="327">
        <f>SUM(F189:F219)</f>
        <v>1893.8657436705275</v>
      </c>
      <c r="G220" s="307"/>
    </row>
    <row r="221" spans="1:7">
      <c r="A221" s="320">
        <f>A219+1</f>
        <v>43677</v>
      </c>
      <c r="B221" s="321">
        <v>25621.755043804202</v>
      </c>
      <c r="C221" s="321">
        <v>5166.1378630201634</v>
      </c>
      <c r="D221" s="321">
        <v>30787.892906824367</v>
      </c>
      <c r="E221" s="288">
        <v>61.49</v>
      </c>
      <c r="F221" s="326">
        <f>B221*(E221/100)*'Project Emission-2'!$D$15/1000</f>
        <v>58.801333686192876</v>
      </c>
      <c r="G221" s="307"/>
    </row>
    <row r="222" spans="1:7">
      <c r="A222" s="320">
        <f t="shared" si="3"/>
        <v>43678</v>
      </c>
      <c r="B222" s="321">
        <v>26790.755043804202</v>
      </c>
      <c r="C222" s="321">
        <v>4728.0935701781837</v>
      </c>
      <c r="D222" s="321">
        <v>31518.848613982387</v>
      </c>
      <c r="E222" s="288">
        <v>61.17</v>
      </c>
      <c r="F222" s="326">
        <f>B222*(E222/100)*'Project Emission-2'!$D$15/1000</f>
        <v>61.164191962132826</v>
      </c>
      <c r="G222" s="307"/>
    </row>
    <row r="223" spans="1:7">
      <c r="A223" s="320">
        <f t="shared" si="3"/>
        <v>43679</v>
      </c>
      <c r="B223" s="321">
        <v>25052.755043804202</v>
      </c>
      <c r="C223" s="321">
        <v>4658.0864914134836</v>
      </c>
      <c r="D223" s="321">
        <v>29710.841535217685</v>
      </c>
      <c r="E223" s="288">
        <v>61.68</v>
      </c>
      <c r="F223" s="326">
        <f>B223*(E223/100)*'Project Emission-2'!$D$15/1000</f>
        <v>57.673149116910345</v>
      </c>
      <c r="G223" s="307"/>
    </row>
    <row r="224" spans="1:7">
      <c r="A224" s="320">
        <f t="shared" si="3"/>
        <v>43680</v>
      </c>
      <c r="B224" s="321">
        <v>25978.755043804202</v>
      </c>
      <c r="C224" s="321">
        <v>4798.1006489428837</v>
      </c>
      <c r="D224" s="321">
        <v>30776.855692747085</v>
      </c>
      <c r="E224" s="288">
        <v>61.62</v>
      </c>
      <c r="F224" s="326">
        <f>B224*(E224/100)*'Project Emission-2'!$D$15/1000</f>
        <v>59.746688273324743</v>
      </c>
      <c r="G224" s="307"/>
    </row>
    <row r="225" spans="1:7">
      <c r="A225" s="320">
        <f t="shared" si="3"/>
        <v>43681</v>
      </c>
      <c r="B225" s="321">
        <v>26925.755043804202</v>
      </c>
      <c r="C225" s="321">
        <v>4482.0686933765237</v>
      </c>
      <c r="D225" s="321">
        <v>31407.823737180726</v>
      </c>
      <c r="E225" s="288">
        <v>60.92</v>
      </c>
      <c r="F225" s="326">
        <f>B225*(E225/100)*'Project Emission-2'!$D$15/1000</f>
        <v>61.221165582161426</v>
      </c>
      <c r="G225" s="307"/>
    </row>
    <row r="226" spans="1:7">
      <c r="A226" s="320">
        <f t="shared" si="3"/>
        <v>43682</v>
      </c>
      <c r="B226" s="321">
        <v>26467.755043804202</v>
      </c>
      <c r="C226" s="321">
        <v>5243.1456496613337</v>
      </c>
      <c r="D226" s="321">
        <v>31710.900693465534</v>
      </c>
      <c r="E226" s="288">
        <v>60.06</v>
      </c>
      <c r="F226" s="326">
        <f>B226*(E226/100)*'Project Emission-2'!$D$15/1000</f>
        <v>59.330258857522381</v>
      </c>
      <c r="G226" s="307"/>
    </row>
    <row r="227" spans="1:7">
      <c r="A227" s="320">
        <f t="shared" si="3"/>
        <v>43683</v>
      </c>
      <c r="B227" s="321">
        <v>21896.755043804202</v>
      </c>
      <c r="C227" s="356">
        <v>4313.2873195450338</v>
      </c>
      <c r="D227" s="356">
        <v>26210.042363349236</v>
      </c>
      <c r="E227" s="288">
        <v>61.68</v>
      </c>
      <c r="F227" s="326">
        <f>B227*(E227/100)*'Project Emission-2'!$D$15/1000</f>
        <v>50.407822078238659</v>
      </c>
      <c r="G227" s="307"/>
    </row>
    <row r="228" spans="1:7">
      <c r="A228" s="320">
        <f t="shared" si="3"/>
        <v>43684</v>
      </c>
      <c r="B228" s="321">
        <v>17150.755043804202</v>
      </c>
      <c r="C228" s="321">
        <v>4847.1056040781741</v>
      </c>
      <c r="D228" s="321">
        <v>21997.860647882375</v>
      </c>
      <c r="E228" s="288">
        <v>61.51</v>
      </c>
      <c r="F228" s="326">
        <f>B228*(E228/100)*'Project Emission-2'!$D$15/1000</f>
        <v>39.37338739099436</v>
      </c>
      <c r="G228" s="307"/>
    </row>
    <row r="229" spans="1:7">
      <c r="A229" s="320">
        <f t="shared" si="3"/>
        <v>43685</v>
      </c>
      <c r="B229" s="321">
        <v>21832.755043804202</v>
      </c>
      <c r="C229" s="321">
        <v>5534.175077097444</v>
      </c>
      <c r="D229" s="321">
        <v>27366.930120901645</v>
      </c>
      <c r="E229" s="288">
        <v>60.35</v>
      </c>
      <c r="F229" s="326">
        <f>B229*(E229/100)*'Project Emission-2'!$D$15/1000</f>
        <v>49.176727536501872</v>
      </c>
      <c r="G229" s="307"/>
    </row>
    <row r="230" spans="1:7">
      <c r="A230" s="320">
        <f t="shared" si="3"/>
        <v>43686</v>
      </c>
      <c r="B230" s="321">
        <v>21453.755043804202</v>
      </c>
      <c r="C230" s="321">
        <v>4465.066974247954</v>
      </c>
      <c r="D230" s="321">
        <v>25918.822018052157</v>
      </c>
      <c r="E230" s="288">
        <v>59.59</v>
      </c>
      <c r="F230" s="326">
        <f>B230*(E230/100)*'Project Emission-2'!$D$15/1000</f>
        <v>47.714514773195965</v>
      </c>
      <c r="G230" s="307"/>
    </row>
    <row r="231" spans="1:7">
      <c r="A231" s="320">
        <f t="shared" si="3"/>
        <v>43687</v>
      </c>
      <c r="B231" s="321">
        <v>23294.755043804202</v>
      </c>
      <c r="C231" s="321">
        <v>4225.0427041975536</v>
      </c>
      <c r="D231" s="321">
        <v>27519.797748001754</v>
      </c>
      <c r="E231" s="288">
        <v>59.03</v>
      </c>
      <c r="F231" s="326">
        <f>B231*(E231/100)*'Project Emission-2'!$D$15/1000</f>
        <v>51.322137970941441</v>
      </c>
      <c r="G231" s="307"/>
    </row>
    <row r="232" spans="1:7">
      <c r="A232" s="320">
        <f t="shared" si="3"/>
        <v>43688</v>
      </c>
      <c r="B232" s="321">
        <v>22970.755043804202</v>
      </c>
      <c r="C232" s="321">
        <v>3760.995782100113</v>
      </c>
      <c r="D232" s="321">
        <v>26731.750825904313</v>
      </c>
      <c r="E232" s="288">
        <v>59.27</v>
      </c>
      <c r="F232" s="326">
        <f>B232*(E232/100)*'Project Emission-2'!$D$15/1000</f>
        <v>50.814072922023662</v>
      </c>
      <c r="G232" s="307"/>
    </row>
    <row r="233" spans="1:7">
      <c r="A233" s="320">
        <f t="shared" si="3"/>
        <v>43689</v>
      </c>
      <c r="B233" s="321">
        <v>21424.755043804202</v>
      </c>
      <c r="C233" s="321">
        <v>3658.9854673286932</v>
      </c>
      <c r="D233" s="321">
        <v>25083.740511132895</v>
      </c>
      <c r="E233" s="288">
        <v>60.5</v>
      </c>
      <c r="F233" s="326">
        <f>B233*(E233/100)*'Project Emission-2'!$D$15/1000</f>
        <v>48.377681226145455</v>
      </c>
      <c r="G233" s="307"/>
    </row>
    <row r="234" spans="1:7">
      <c r="A234" s="320">
        <f t="shared" si="3"/>
        <v>43690</v>
      </c>
      <c r="B234" s="321">
        <v>16804.755043804202</v>
      </c>
      <c r="C234" s="321">
        <v>2558.8742295976931</v>
      </c>
      <c r="D234" s="321">
        <v>19363.629273401893</v>
      </c>
      <c r="E234" s="288">
        <v>59.62</v>
      </c>
      <c r="F234" s="326">
        <f>B234*(E234/100)*'Project Emission-2'!$D$15/1000</f>
        <v>37.393659290114741</v>
      </c>
      <c r="G234" s="307"/>
    </row>
    <row r="235" spans="1:7">
      <c r="A235" s="320">
        <f t="shared" si="3"/>
        <v>43691</v>
      </c>
      <c r="B235" s="321">
        <v>21231.755043804202</v>
      </c>
      <c r="C235" s="321">
        <v>3260.9452194951132</v>
      </c>
      <c r="D235" s="321">
        <v>24492.700263299314</v>
      </c>
      <c r="E235" s="288">
        <v>58.92</v>
      </c>
      <c r="F235" s="326">
        <f>B235*(E235/100)*'Project Emission-2'!$D$15/1000</f>
        <v>46.689846036650856</v>
      </c>
      <c r="G235" s="307"/>
    </row>
    <row r="236" spans="1:7">
      <c r="A236" s="320">
        <f t="shared" si="3"/>
        <v>43692</v>
      </c>
      <c r="B236" s="321">
        <v>27477.755043804202</v>
      </c>
      <c r="C236" s="321">
        <v>4564.0769856437437</v>
      </c>
      <c r="D236" s="321">
        <v>32041.832029447945</v>
      </c>
      <c r="E236" s="288">
        <v>60.2</v>
      </c>
      <c r="F236" s="326">
        <f>B236*(E236/100)*'Project Emission-2'!$D$15/1000</f>
        <v>61.737856578133865</v>
      </c>
      <c r="G236" s="307"/>
    </row>
    <row r="237" spans="1:7">
      <c r="A237" s="320">
        <f t="shared" si="3"/>
        <v>43693</v>
      </c>
      <c r="B237" s="321">
        <v>24446.755043804202</v>
      </c>
      <c r="C237" s="321">
        <v>3806.000332734563</v>
      </c>
      <c r="D237" s="321">
        <v>28252.755376538764</v>
      </c>
      <c r="E237" s="288">
        <v>59.88</v>
      </c>
      <c r="F237" s="326">
        <f>B237*(E237/100)*'Project Emission-2'!$D$15/1000</f>
        <v>54.63573894412685</v>
      </c>
      <c r="G237" s="307"/>
    </row>
    <row r="238" spans="1:7">
      <c r="A238" s="320">
        <f t="shared" si="3"/>
        <v>43694</v>
      </c>
      <c r="B238" s="321">
        <v>22400.755043804202</v>
      </c>
      <c r="C238" s="321">
        <v>3724.9921415925533</v>
      </c>
      <c r="D238" s="321">
        <v>26125.747185396755</v>
      </c>
      <c r="E238" s="288">
        <v>60.52</v>
      </c>
      <c r="F238" s="326">
        <f>B238*(E238/100)*'Project Emission-2'!$D$15/1000</f>
        <v>50.598237007762577</v>
      </c>
      <c r="G238" s="307"/>
    </row>
    <row r="239" spans="1:7">
      <c r="A239" s="320">
        <f t="shared" si="3"/>
        <v>43695</v>
      </c>
      <c r="B239" s="321">
        <v>22949.755043804202</v>
      </c>
      <c r="C239" s="321">
        <v>3933.013175636233</v>
      </c>
      <c r="D239" s="321">
        <v>26882.768219440433</v>
      </c>
      <c r="E239" s="288">
        <v>60.46</v>
      </c>
      <c r="F239" s="326">
        <f>B239*(E239/100)*'Project Emission-2'!$D$15/1000</f>
        <v>51.786910886444062</v>
      </c>
      <c r="G239" s="307"/>
    </row>
    <row r="240" spans="1:7">
      <c r="A240" s="320">
        <f t="shared" si="3"/>
        <v>43696</v>
      </c>
      <c r="B240" s="321">
        <v>22895.755043804202</v>
      </c>
      <c r="C240" s="321">
        <v>3490.9684782934132</v>
      </c>
      <c r="D240" s="321">
        <v>26386.723522097614</v>
      </c>
      <c r="E240" s="288">
        <v>60.96</v>
      </c>
      <c r="F240" s="326">
        <f>B240*(E240/100)*'Project Emission-2'!$D$15/1000</f>
        <v>52.092324471700834</v>
      </c>
      <c r="G240" s="307"/>
    </row>
    <row r="241" spans="1:7">
      <c r="A241" s="320">
        <f t="shared" si="3"/>
        <v>43697</v>
      </c>
      <c r="B241" s="321">
        <v>15817.755043804202</v>
      </c>
      <c r="C241" s="321">
        <v>2655.8840387430632</v>
      </c>
      <c r="D241" s="321">
        <v>18473.639082547266</v>
      </c>
      <c r="E241" s="288">
        <v>59.78</v>
      </c>
      <c r="F241" s="326">
        <f>B241*(E241/100)*'Project Emission-2'!$D$15/1000</f>
        <v>35.29186140772655</v>
      </c>
      <c r="G241" s="307"/>
    </row>
    <row r="242" spans="1:7">
      <c r="A242" s="320">
        <f t="shared" si="3"/>
        <v>43698</v>
      </c>
      <c r="B242" s="321">
        <v>18796.755043804202</v>
      </c>
      <c r="C242" s="321">
        <v>3648.9844560765932</v>
      </c>
      <c r="D242" s="321">
        <v>22445.739499880794</v>
      </c>
      <c r="E242" s="288">
        <v>60.28</v>
      </c>
      <c r="F242" s="326">
        <f>B242*(E242/100)*'Project Emission-2'!$D$15/1000</f>
        <v>42.289245239169702</v>
      </c>
      <c r="G242" s="307"/>
    </row>
    <row r="243" spans="1:7">
      <c r="A243" s="320">
        <f t="shared" si="3"/>
        <v>43699</v>
      </c>
      <c r="B243" s="321">
        <v>26085.755043804202</v>
      </c>
      <c r="C243" s="321">
        <v>3585.9780851883634</v>
      </c>
      <c r="D243" s="321">
        <v>29671.733128992564</v>
      </c>
      <c r="E243" s="288">
        <v>57.95</v>
      </c>
      <c r="F243" s="326">
        <f>B243*(E243/100)*'Project Emission-2'!$D$15/1000</f>
        <v>56.419685470714086</v>
      </c>
      <c r="G243" s="307"/>
    </row>
    <row r="244" spans="1:7">
      <c r="A244" s="320">
        <f t="shared" si="3"/>
        <v>43700</v>
      </c>
      <c r="B244" s="321">
        <v>26321.755043804202</v>
      </c>
      <c r="C244" s="321">
        <v>3459.9653434119032</v>
      </c>
      <c r="D244" s="321">
        <v>29781.720387216104</v>
      </c>
      <c r="E244" s="288">
        <v>59.37</v>
      </c>
      <c r="F244" s="326">
        <f>B244*(E244/100)*'Project Emission-2'!$D$15/1000</f>
        <v>58.325128024774145</v>
      </c>
      <c r="G244" s="307"/>
    </row>
    <row r="245" spans="1:7">
      <c r="A245" s="320">
        <f t="shared" si="3"/>
        <v>43701</v>
      </c>
      <c r="B245" s="321">
        <v>24396.755043804202</v>
      </c>
      <c r="C245" s="321">
        <v>3189.9380396052029</v>
      </c>
      <c r="D245" s="321">
        <v>27586.693083409406</v>
      </c>
      <c r="E245" s="288">
        <v>61.22</v>
      </c>
      <c r="F245" s="326">
        <f>B245*(E245/100)*'Project Emission-2'!$D$15/1000</f>
        <v>55.744137417561021</v>
      </c>
      <c r="G245" s="307"/>
    </row>
    <row r="246" spans="1:7">
      <c r="A246" s="320">
        <f t="shared" si="3"/>
        <v>43702</v>
      </c>
      <c r="B246" s="321">
        <v>23051.755043804202</v>
      </c>
      <c r="C246" s="321">
        <v>2684.8869713741533</v>
      </c>
      <c r="D246" s="321">
        <v>25736.642015178353</v>
      </c>
      <c r="E246" s="288">
        <v>58.78</v>
      </c>
      <c r="F246" s="326">
        <f>B246*(E246/100)*'Project Emission-2'!$D$15/1000</f>
        <v>50.571680599943981</v>
      </c>
      <c r="G246" s="307"/>
    </row>
    <row r="247" spans="1:7">
      <c r="A247" s="320">
        <f t="shared" si="3"/>
        <v>43703</v>
      </c>
      <c r="B247" s="321">
        <v>22906.755043804202</v>
      </c>
      <c r="C247" s="321">
        <v>2531.871499217023</v>
      </c>
      <c r="D247" s="321">
        <v>25438.626543021226</v>
      </c>
      <c r="E247" s="288">
        <v>63.41</v>
      </c>
      <c r="F247" s="326">
        <f>B247*(E247/100)*'Project Emission-2'!$D$15/1000</f>
        <v>54.211963033713531</v>
      </c>
      <c r="G247" s="307"/>
    </row>
    <row r="248" spans="1:7">
      <c r="A248" s="320">
        <f t="shared" si="3"/>
        <v>43704</v>
      </c>
      <c r="B248" s="321">
        <v>17107.755043804202</v>
      </c>
      <c r="C248" s="321">
        <v>1864.804048701953</v>
      </c>
      <c r="D248" s="321">
        <v>18972.559092506155</v>
      </c>
      <c r="E248" s="288">
        <v>60.76</v>
      </c>
      <c r="F248" s="326">
        <f>B248*(E248/100)*'Project Emission-2'!$D$15/1000</f>
        <v>38.795789751472405</v>
      </c>
      <c r="G248" s="307"/>
    </row>
    <row r="249" spans="1:7">
      <c r="A249" s="320">
        <f t="shared" si="3"/>
        <v>43705</v>
      </c>
      <c r="B249" s="321">
        <v>21667.755043804202</v>
      </c>
      <c r="C249" s="321">
        <v>3055.9244888270632</v>
      </c>
      <c r="D249" s="321">
        <v>24723.679532631264</v>
      </c>
      <c r="E249" s="288">
        <v>65.349999999999994</v>
      </c>
      <c r="F249" s="326">
        <f>B249*(E249/100)*'Project Emission-2'!$D$15/1000</f>
        <v>52.848579407271934</v>
      </c>
      <c r="G249" s="307"/>
    </row>
    <row r="250" spans="1:7">
      <c r="A250" s="320">
        <f t="shared" si="3"/>
        <v>43706</v>
      </c>
      <c r="B250" s="321">
        <v>21701.755043804202</v>
      </c>
      <c r="C250" s="321">
        <v>3114.9304552144531</v>
      </c>
      <c r="D250" s="321">
        <v>24816.685499018655</v>
      </c>
      <c r="E250" s="288">
        <v>60.42</v>
      </c>
      <c r="F250" s="326">
        <f>B250*(E250/100)*'Project Emission-2'!$D$15/1000</f>
        <v>48.93835722098261</v>
      </c>
      <c r="G250" s="307"/>
    </row>
    <row r="251" spans="1:7">
      <c r="A251" s="320">
        <f t="shared" si="3"/>
        <v>43707</v>
      </c>
      <c r="B251" s="321">
        <v>22193.755043804202</v>
      </c>
      <c r="C251" s="321">
        <v>2871.9058817884229</v>
      </c>
      <c r="D251" s="321">
        <v>25065.660925592623</v>
      </c>
      <c r="E251" s="288">
        <v>59.39</v>
      </c>
      <c r="F251" s="326">
        <f>B251*(E251/100)*'Project Emission-2'!$D$15/1000</f>
        <v>49.194655345882794</v>
      </c>
      <c r="G251" s="307"/>
    </row>
    <row r="252" spans="1:7">
      <c r="A252" s="317" t="s">
        <v>321</v>
      </c>
      <c r="B252" s="322">
        <f>SUM(B221:B251)</f>
        <v>705117.40635792993</v>
      </c>
      <c r="C252" s="322">
        <f>SUM(C221:C251)</f>
        <v>117884.23571632906</v>
      </c>
      <c r="D252" s="322">
        <v>823001.642074259</v>
      </c>
      <c r="E252" s="323">
        <f>+AVERAGE(E221:E251)</f>
        <v>60.520645161290325</v>
      </c>
      <c r="F252" s="327">
        <f>SUM(F221:F251)</f>
        <v>1592.6887875104328</v>
      </c>
      <c r="G252" s="307"/>
    </row>
    <row r="253" spans="1:7">
      <c r="A253" s="320">
        <f>A251+1</f>
        <v>43708</v>
      </c>
      <c r="B253" s="321">
        <v>21929.633236087288</v>
      </c>
      <c r="C253" s="321">
        <v>2968.0236868950228</v>
      </c>
      <c r="D253" s="321">
        <v>24897.656922982311</v>
      </c>
      <c r="E253" s="288">
        <v>60.73</v>
      </c>
      <c r="F253" s="326">
        <f>B253*(E253/100)*'Project Emission-2'!$D$15/1000</f>
        <v>49.705959099613267</v>
      </c>
      <c r="G253" s="307"/>
    </row>
    <row r="254" spans="1:7">
      <c r="A254" s="320">
        <f t="shared" si="3"/>
        <v>43709</v>
      </c>
      <c r="B254" s="321">
        <v>23336.633236087288</v>
      </c>
      <c r="C254" s="321">
        <v>3137.0407770555125</v>
      </c>
      <c r="D254" s="321">
        <v>26473.674013142801</v>
      </c>
      <c r="E254" s="288">
        <v>62.73</v>
      </c>
      <c r="F254" s="326">
        <f>B254*(E254/100)*'Project Emission-2'!$D$15/1000</f>
        <v>54.637056843677094</v>
      </c>
      <c r="G254" s="307"/>
    </row>
    <row r="255" spans="1:7">
      <c r="A255" s="320">
        <f t="shared" si="3"/>
        <v>43710</v>
      </c>
      <c r="B255" s="321">
        <v>23374.633236087288</v>
      </c>
      <c r="C255" s="321">
        <v>2600.9865739429529</v>
      </c>
      <c r="D255" s="321">
        <v>25975.619810030239</v>
      </c>
      <c r="E255" s="288">
        <v>64.349999999999994</v>
      </c>
      <c r="F255" s="326">
        <f>B255*(E255/100)*'Project Emission-2'!$D$15/1000</f>
        <v>56.139322233850834</v>
      </c>
      <c r="G255" s="307"/>
    </row>
    <row r="256" spans="1:7">
      <c r="A256" s="320">
        <f t="shared" si="3"/>
        <v>43711</v>
      </c>
      <c r="B256" s="321">
        <v>22411.633236087288</v>
      </c>
      <c r="C256" s="321">
        <v>2881.0148890017526</v>
      </c>
      <c r="D256" s="321">
        <v>25292.648125089039</v>
      </c>
      <c r="E256" s="288">
        <v>60.38</v>
      </c>
      <c r="F256" s="326">
        <f>B256*(E256/100)*'Project Emission-2'!$D$15/1000</f>
        <v>50.505703406282478</v>
      </c>
      <c r="G256" s="307"/>
    </row>
    <row r="257" spans="1:7">
      <c r="A257" s="320">
        <f t="shared" si="3"/>
        <v>43712</v>
      </c>
      <c r="B257" s="321">
        <v>24365.633236087288</v>
      </c>
      <c r="C257" s="321">
        <v>3614.0890137806828</v>
      </c>
      <c r="D257" s="321">
        <v>27979.722249867969</v>
      </c>
      <c r="E257" s="288">
        <v>62.93</v>
      </c>
      <c r="F257" s="326">
        <f>B257*(E257/100)*'Project Emission-2'!$D$15/1000</f>
        <v>57.228088897365808</v>
      </c>
      <c r="G257" s="307"/>
    </row>
    <row r="258" spans="1:7">
      <c r="A258" s="320">
        <f t="shared" si="3"/>
        <v>43713</v>
      </c>
      <c r="B258" s="321">
        <v>25021.633236087288</v>
      </c>
      <c r="C258" s="321">
        <v>3912.1191490932629</v>
      </c>
      <c r="D258" s="321">
        <v>28933.752385180549</v>
      </c>
      <c r="E258" s="288">
        <v>64.02</v>
      </c>
      <c r="F258" s="326">
        <f>B258*(E258/100)*'Project Emission-2'!$D$15/1000</f>
        <v>59.786775683737588</v>
      </c>
      <c r="G258" s="307"/>
    </row>
    <row r="259" spans="1:7">
      <c r="A259" s="320">
        <f t="shared" si="3"/>
        <v>43714</v>
      </c>
      <c r="B259" s="321">
        <v>25991.633236087288</v>
      </c>
      <c r="C259" s="321">
        <v>3712.0989240512627</v>
      </c>
      <c r="D259" s="321">
        <v>29703.732160138548</v>
      </c>
      <c r="E259" s="288">
        <v>61.28</v>
      </c>
      <c r="F259" s="326">
        <f>B259*(E259/100)*'Project Emission-2'!$D$15/1000</f>
        <v>59.446478841161884</v>
      </c>
      <c r="G259" s="307"/>
    </row>
    <row r="260" spans="1:7">
      <c r="A260" s="320">
        <f t="shared" ref="A260:A323" si="4">A259+1</f>
        <v>43715</v>
      </c>
      <c r="B260" s="321">
        <v>30853.633236087288</v>
      </c>
      <c r="C260" s="356">
        <v>3855.3491012852924</v>
      </c>
      <c r="D260" s="356">
        <v>34708.982337372581</v>
      </c>
      <c r="E260" s="288">
        <v>59.12</v>
      </c>
      <c r="F260" s="326">
        <f>B260*(E260/100)*'Project Emission-2'!$D$15/1000</f>
        <v>68.079216147221985</v>
      </c>
      <c r="G260" s="307"/>
    </row>
    <row r="261" spans="1:7">
      <c r="A261" s="320">
        <f t="shared" si="4"/>
        <v>43716</v>
      </c>
      <c r="B261" s="321">
        <v>28977.633236087288</v>
      </c>
      <c r="C261" s="321">
        <v>3773.1050926890725</v>
      </c>
      <c r="D261" s="321">
        <v>32750.738328776359</v>
      </c>
      <c r="E261" s="288">
        <v>59.3</v>
      </c>
      <c r="F261" s="326">
        <f>B261*(E261/100)*'Project Emission-2'!$D$15/1000</f>
        <v>64.134455711274484</v>
      </c>
      <c r="G261" s="307"/>
    </row>
    <row r="262" spans="1:7">
      <c r="A262" s="320">
        <f t="shared" si="4"/>
        <v>43717</v>
      </c>
      <c r="B262" s="321">
        <v>27363.633236087288</v>
      </c>
      <c r="C262" s="321">
        <v>2466.9730231648127</v>
      </c>
      <c r="D262" s="321">
        <v>29830.606259252101</v>
      </c>
      <c r="E262" s="288">
        <v>59.94</v>
      </c>
      <c r="F262" s="326">
        <f>B262*(E262/100)*'Project Emission-2'!$D$15/1000</f>
        <v>61.21590974945309</v>
      </c>
      <c r="G262" s="307"/>
    </row>
    <row r="263" spans="1:7">
      <c r="A263" s="320">
        <f t="shared" si="4"/>
        <v>43718</v>
      </c>
      <c r="B263" s="321">
        <v>17153.633236087288</v>
      </c>
      <c r="C263" s="321">
        <v>1318.8569314237325</v>
      </c>
      <c r="D263" s="321">
        <v>18472.49016751102</v>
      </c>
      <c r="E263" s="288">
        <v>57.62</v>
      </c>
      <c r="F263" s="326">
        <f>B263*(E263/100)*'Project Emission-2'!$D$15/1000</f>
        <v>36.889535157209444</v>
      </c>
      <c r="G263" s="307"/>
    </row>
    <row r="264" spans="1:7">
      <c r="A264" s="320">
        <f t="shared" si="4"/>
        <v>43719</v>
      </c>
      <c r="B264" s="321">
        <v>17794.633236087288</v>
      </c>
      <c r="C264" s="321">
        <v>2402.9665511513726</v>
      </c>
      <c r="D264" s="321">
        <v>20197.599787238662</v>
      </c>
      <c r="E264" s="288">
        <v>58.2</v>
      </c>
      <c r="F264" s="326">
        <f>B264*(E264/100)*'Project Emission-2'!$D$15/1000</f>
        <v>38.653233879014053</v>
      </c>
      <c r="G264" s="307"/>
    </row>
    <row r="265" spans="1:7">
      <c r="A265" s="320">
        <f t="shared" si="4"/>
        <v>43720</v>
      </c>
      <c r="B265" s="321">
        <v>18977.633236087288</v>
      </c>
      <c r="C265" s="321">
        <v>2752.0018438496627</v>
      </c>
      <c r="D265" s="321">
        <v>21729.63507993695</v>
      </c>
      <c r="E265" s="288">
        <v>59.93</v>
      </c>
      <c r="F265" s="326">
        <f>B265*(E265/100)*'Project Emission-2'!$D$15/1000</f>
        <v>42.448283728278</v>
      </c>
      <c r="G265" s="307"/>
    </row>
    <row r="266" spans="1:7">
      <c r="A266" s="320">
        <f t="shared" si="4"/>
        <v>43721</v>
      </c>
      <c r="B266" s="321">
        <v>20787.633236087288</v>
      </c>
      <c r="C266" s="321">
        <v>2957.0225745177127</v>
      </c>
      <c r="D266" s="321">
        <v>23744.655810605</v>
      </c>
      <c r="E266" s="288">
        <v>60.41</v>
      </c>
      <c r="F266" s="326">
        <f>B266*(E266/100)*'Project Emission-2'!$D$15/1000</f>
        <v>46.869216132255239</v>
      </c>
      <c r="G266" s="307"/>
    </row>
    <row r="267" spans="1:7">
      <c r="A267" s="320">
        <f t="shared" si="4"/>
        <v>43722</v>
      </c>
      <c r="B267" s="321">
        <v>18159.633236087288</v>
      </c>
      <c r="C267" s="321">
        <v>2549.9814165572425</v>
      </c>
      <c r="D267" s="321">
        <v>20709.61465264453</v>
      </c>
      <c r="E267" s="288">
        <v>60.56</v>
      </c>
      <c r="F267" s="326">
        <f>B267*(E267/100)*'Project Emission-2'!$D$15/1000</f>
        <v>41.045613194893214</v>
      </c>
      <c r="G267" s="307"/>
    </row>
    <row r="268" spans="1:7">
      <c r="A268" s="320">
        <f t="shared" si="4"/>
        <v>43723</v>
      </c>
      <c r="B268" s="321">
        <v>23378.633236087288</v>
      </c>
      <c r="C268" s="321">
        <v>2836.0103383673027</v>
      </c>
      <c r="D268" s="321">
        <v>26214.643574454589</v>
      </c>
      <c r="E268" s="288">
        <v>58.09</v>
      </c>
      <c r="F268" s="326">
        <f>B268*(E268/100)*'Project Emission-2'!$D$15/1000</f>
        <v>50.686733367594243</v>
      </c>
      <c r="G268" s="307"/>
    </row>
    <row r="269" spans="1:7">
      <c r="A269" s="320">
        <f t="shared" si="4"/>
        <v>43724</v>
      </c>
      <c r="B269" s="321">
        <v>25083.633236087288</v>
      </c>
      <c r="C269" s="321">
        <v>2295.9557307539026</v>
      </c>
      <c r="D269" s="321">
        <v>27379.588966841191</v>
      </c>
      <c r="E269" s="288">
        <v>57.42</v>
      </c>
      <c r="F269" s="326">
        <f>B269*(E269/100)*'Project Emission-2'!$D$15/1000</f>
        <v>53.756061097509011</v>
      </c>
      <c r="G269" s="307"/>
    </row>
    <row r="270" spans="1:7">
      <c r="A270" s="320">
        <f t="shared" si="4"/>
        <v>43725</v>
      </c>
      <c r="B270" s="321">
        <v>24671.633236087288</v>
      </c>
      <c r="C270" s="321">
        <v>1447.8699765758226</v>
      </c>
      <c r="D270" s="321">
        <v>26119.503212663109</v>
      </c>
      <c r="E270" s="288">
        <v>57.13</v>
      </c>
      <c r="F270" s="326">
        <f>B270*(E270/100)*'Project Emission-2'!$D$15/1000</f>
        <v>52.606079022222154</v>
      </c>
      <c r="G270" s="307"/>
    </row>
    <row r="271" spans="1:7">
      <c r="A271" s="320">
        <f t="shared" si="4"/>
        <v>43726</v>
      </c>
      <c r="B271" s="321">
        <v>25258.633236087288</v>
      </c>
      <c r="C271" s="321">
        <v>2991.0260127748525</v>
      </c>
      <c r="D271" s="321">
        <v>28249.659248862139</v>
      </c>
      <c r="E271" s="288">
        <v>63.51</v>
      </c>
      <c r="F271" s="326">
        <f>B271*(E271/100)*'Project Emission-2'!$D$15/1000</f>
        <v>59.872276056268376</v>
      </c>
      <c r="G271" s="307"/>
    </row>
    <row r="272" spans="1:7">
      <c r="A272" s="320">
        <f t="shared" si="4"/>
        <v>43727</v>
      </c>
      <c r="B272" s="321">
        <v>18825.633236087288</v>
      </c>
      <c r="C272" s="321">
        <v>3069.0339005412325</v>
      </c>
      <c r="D272" s="321">
        <v>21894.667136628519</v>
      </c>
      <c r="E272" s="288">
        <v>61.03</v>
      </c>
      <c r="F272" s="326">
        <f>B272*(E272/100)*'Project Emission-2'!$D$15/1000</f>
        <v>42.881184377825647</v>
      </c>
      <c r="G272" s="307"/>
    </row>
    <row r="273" spans="1:7">
      <c r="A273" s="320">
        <f t="shared" si="4"/>
        <v>43728</v>
      </c>
      <c r="B273" s="321">
        <v>26635.633236087288</v>
      </c>
      <c r="C273" s="321">
        <v>2646.9912257026126</v>
      </c>
      <c r="D273" s="321">
        <v>29282.624461789899</v>
      </c>
      <c r="E273" s="288">
        <v>60.37</v>
      </c>
      <c r="F273" s="326">
        <f>B273*(E273/100)*'Project Emission-2'!$D$15/1000</f>
        <v>60.014751293543526</v>
      </c>
      <c r="G273" s="307"/>
    </row>
    <row r="274" spans="1:7">
      <c r="A274" s="320">
        <f t="shared" si="4"/>
        <v>43729</v>
      </c>
      <c r="B274" s="321">
        <v>19236.633236087288</v>
      </c>
      <c r="C274" s="321">
        <v>2800.0066978597429</v>
      </c>
      <c r="D274" s="321">
        <v>22036.63993394703</v>
      </c>
      <c r="E274" s="288">
        <v>63.34</v>
      </c>
      <c r="F274" s="326">
        <f>B274*(E274/100)*'Project Emission-2'!$D$15/1000</f>
        <v>45.475861228222051</v>
      </c>
      <c r="G274" s="307"/>
    </row>
    <row r="275" spans="1:7">
      <c r="A275" s="320">
        <f t="shared" si="4"/>
        <v>43730</v>
      </c>
      <c r="B275" s="321">
        <v>24592.633236087288</v>
      </c>
      <c r="C275" s="321">
        <v>2803.0070012353726</v>
      </c>
      <c r="D275" s="321">
        <v>27395.640237322659</v>
      </c>
      <c r="E275" s="288">
        <v>59.89</v>
      </c>
      <c r="F275" s="326">
        <f>B275*(E275/100)*'Project Emission-2'!$D$15/1000</f>
        <v>54.970938893618111</v>
      </c>
      <c r="G275" s="307"/>
    </row>
    <row r="276" spans="1:7">
      <c r="A276" s="320">
        <f t="shared" si="4"/>
        <v>43731</v>
      </c>
      <c r="B276" s="321">
        <v>25201.633236087288</v>
      </c>
      <c r="C276" s="321">
        <v>1649.8904038682426</v>
      </c>
      <c r="D276" s="321">
        <v>26851.523639955529</v>
      </c>
      <c r="E276" s="288">
        <v>59.05</v>
      </c>
      <c r="F276" s="326">
        <f>B276*(E276/100)*'Project Emission-2'!$D$15/1000</f>
        <v>55.542112979217755</v>
      </c>
      <c r="G276" s="307"/>
    </row>
    <row r="277" spans="1:7">
      <c r="A277" s="320">
        <f t="shared" si="4"/>
        <v>43732</v>
      </c>
      <c r="B277" s="321">
        <v>17416.633236087288</v>
      </c>
      <c r="C277" s="321">
        <v>1223.8473245287826</v>
      </c>
      <c r="D277" s="321">
        <v>18640.48056061607</v>
      </c>
      <c r="E277" s="288">
        <v>58.38</v>
      </c>
      <c r="F277" s="326">
        <f>B277*(E277/100)*'Project Emission-2'!$D$15/1000</f>
        <v>37.949154624477863</v>
      </c>
      <c r="G277" s="307"/>
    </row>
    <row r="278" spans="1:7">
      <c r="A278" s="320">
        <f t="shared" si="4"/>
        <v>43733</v>
      </c>
      <c r="B278" s="321">
        <v>24453.633236087288</v>
      </c>
      <c r="C278" s="321">
        <v>2554.9819221832927</v>
      </c>
      <c r="D278" s="321">
        <v>27008.615158270579</v>
      </c>
      <c r="E278" s="288">
        <v>60.12</v>
      </c>
      <c r="F278" s="326">
        <f>B278*(E278/100)*'Project Emission-2'!$D$15/1000</f>
        <v>54.870153456510877</v>
      </c>
      <c r="G278" s="307"/>
    </row>
    <row r="279" spans="1:7">
      <c r="A279" s="320">
        <f t="shared" si="4"/>
        <v>43734</v>
      </c>
      <c r="B279" s="321">
        <v>26695.633236087288</v>
      </c>
      <c r="C279" s="321">
        <v>2528.9792929278328</v>
      </c>
      <c r="D279" s="321">
        <v>29224.612529015121</v>
      </c>
      <c r="E279" s="288">
        <v>59.09</v>
      </c>
      <c r="F279" s="326">
        <f>B279*(E279/100)*'Project Emission-2'!$D$15/1000</f>
        <v>58.874607614634805</v>
      </c>
      <c r="G279" s="307"/>
    </row>
    <row r="280" spans="1:7">
      <c r="A280" s="320">
        <f t="shared" si="4"/>
        <v>43735</v>
      </c>
      <c r="B280" s="321">
        <v>26682.633236087288</v>
      </c>
      <c r="C280" s="321">
        <v>2917.0185295093129</v>
      </c>
      <c r="D280" s="321">
        <v>29599.651765596602</v>
      </c>
      <c r="E280" s="288">
        <v>59.2</v>
      </c>
      <c r="F280" s="326">
        <f>B280*(E280/100)*'Project Emission-2'!$D$15/1000</f>
        <v>58.955483047421446</v>
      </c>
      <c r="G280" s="307"/>
    </row>
    <row r="281" spans="1:7">
      <c r="A281" s="320">
        <f t="shared" si="4"/>
        <v>43736</v>
      </c>
      <c r="B281" s="321">
        <v>18707.633236087288</v>
      </c>
      <c r="C281" s="321">
        <v>2428.9691804068325</v>
      </c>
      <c r="D281" s="321">
        <v>21136.602416494119</v>
      </c>
      <c r="E281" s="288">
        <v>58.08</v>
      </c>
      <c r="F281" s="326">
        <f>B281*(E281/100)*'Project Emission-2'!$D$15/1000</f>
        <v>40.552652234625562</v>
      </c>
      <c r="G281" s="307"/>
    </row>
    <row r="282" spans="1:7">
      <c r="A282" s="320">
        <f t="shared" si="4"/>
        <v>43737</v>
      </c>
      <c r="B282" s="321">
        <v>20940.633236087288</v>
      </c>
      <c r="C282" s="321">
        <v>2918.0186306345227</v>
      </c>
      <c r="D282" s="321">
        <v>23858.651866721812</v>
      </c>
      <c r="E282" s="288">
        <v>61.62</v>
      </c>
      <c r="F282" s="326">
        <f>B282*(E282/100)*'Project Emission-2'!$D$15/1000</f>
        <v>48.159870790302534</v>
      </c>
      <c r="G282" s="307"/>
    </row>
    <row r="283" spans="1:7">
      <c r="A283" s="317" t="s">
        <v>321</v>
      </c>
      <c r="B283" s="322">
        <f>SUM(B253:B282)</f>
        <v>694280.99708261841</v>
      </c>
      <c r="C283" s="322">
        <f>SUM(C253:C282)</f>
        <v>82013.235716329014</v>
      </c>
      <c r="D283" s="322">
        <v>776294.23279894749</v>
      </c>
      <c r="E283" s="323">
        <f>+AVERAGE(E253:E282)</f>
        <v>60.260666666666658</v>
      </c>
      <c r="F283" s="327">
        <f>SUM(F253:F282)</f>
        <v>1561.9527687892823</v>
      </c>
      <c r="G283" s="307"/>
    </row>
    <row r="284" spans="1:7">
      <c r="A284" s="320">
        <f>A282+1</f>
        <v>43738</v>
      </c>
      <c r="B284" s="321">
        <v>22727.370507606363</v>
      </c>
      <c r="C284" s="321">
        <v>2419.9925265207708</v>
      </c>
      <c r="D284" s="321">
        <v>25147.363034127135</v>
      </c>
      <c r="E284" s="288">
        <v>60.28</v>
      </c>
      <c r="F284" s="326">
        <f>B284*(E284/100)*'Project Emission-2'!$D$15/1000</f>
        <v>51.132407843684931</v>
      </c>
      <c r="G284" s="307"/>
    </row>
    <row r="285" spans="1:7">
      <c r="A285" s="320">
        <f t="shared" si="4"/>
        <v>43739</v>
      </c>
      <c r="B285" s="321">
        <v>16443.370507606363</v>
      </c>
      <c r="C285" s="321">
        <v>1349.8843225460705</v>
      </c>
      <c r="D285" s="321">
        <v>17793.254830152433</v>
      </c>
      <c r="E285" s="288">
        <v>56.88</v>
      </c>
      <c r="F285" s="326">
        <f>B285*(E285/100)*'Project Emission-2'!$D$15/1000</f>
        <v>34.907941457105657</v>
      </c>
      <c r="G285" s="307"/>
    </row>
    <row r="286" spans="1:7">
      <c r="A286" s="320">
        <f t="shared" si="4"/>
        <v>43740</v>
      </c>
      <c r="B286" s="321">
        <v>17391.370507606363</v>
      </c>
      <c r="C286" s="321">
        <v>2904.0414711224107</v>
      </c>
      <c r="D286" s="321">
        <v>20295.411978728775</v>
      </c>
      <c r="E286" s="288">
        <v>61.96</v>
      </c>
      <c r="F286" s="326">
        <f>B286*(E286/100)*'Project Emission-2'!$D$15/1000</f>
        <v>40.217866223917817</v>
      </c>
      <c r="G286" s="307"/>
    </row>
    <row r="287" spans="1:7">
      <c r="A287" s="320">
        <f t="shared" si="4"/>
        <v>43741</v>
      </c>
      <c r="B287" s="321">
        <v>22143.370507606363</v>
      </c>
      <c r="C287" s="321">
        <v>2999.0510780173609</v>
      </c>
      <c r="D287" s="321">
        <v>25142.421585623724</v>
      </c>
      <c r="E287" s="288">
        <v>59.69</v>
      </c>
      <c r="F287" s="326">
        <f>B287*(E287/100)*'Project Emission-2'!$D$15/1000</f>
        <v>49.330908576270339</v>
      </c>
      <c r="G287" s="307"/>
    </row>
    <row r="288" spans="1:7">
      <c r="A288" s="320">
        <f t="shared" si="4"/>
        <v>43742</v>
      </c>
      <c r="B288" s="321">
        <v>23526.370507606363</v>
      </c>
      <c r="C288" s="321">
        <v>2781.0290327215807</v>
      </c>
      <c r="D288" s="321">
        <v>26307.399540327944</v>
      </c>
      <c r="E288" s="288">
        <v>57.81</v>
      </c>
      <c r="F288" s="326">
        <f>B288*(E288/100)*'Project Emission-2'!$D$15/1000</f>
        <v>50.76118012971687</v>
      </c>
      <c r="G288" s="307"/>
    </row>
    <row r="289" spans="1:7">
      <c r="A289" s="320">
        <f t="shared" si="4"/>
        <v>43743</v>
      </c>
      <c r="B289" s="321">
        <v>23530.370507606363</v>
      </c>
      <c r="C289" s="321">
        <v>3000.0511791425706</v>
      </c>
      <c r="D289" s="321">
        <v>26530.421686748934</v>
      </c>
      <c r="E289" s="288">
        <v>58.48</v>
      </c>
      <c r="F289" s="326">
        <f>B289*(E289/100)*'Project Emission-2'!$D$15/1000</f>
        <v>51.358217031137364</v>
      </c>
      <c r="G289" s="307"/>
    </row>
    <row r="290" spans="1:7">
      <c r="A290" s="320">
        <f t="shared" si="4"/>
        <v>43744</v>
      </c>
      <c r="B290" s="321">
        <v>23763.370507606363</v>
      </c>
      <c r="C290" s="321">
        <v>2592.0099200568907</v>
      </c>
      <c r="D290" s="321">
        <v>26355.380427663255</v>
      </c>
      <c r="E290" s="288">
        <v>59.28</v>
      </c>
      <c r="F290" s="326">
        <f>B290*(E290/100)*'Project Emission-2'!$D$15/1000</f>
        <v>52.576302805211711</v>
      </c>
      <c r="G290" s="307"/>
    </row>
    <row r="291" spans="1:7">
      <c r="A291" s="320">
        <f t="shared" si="4"/>
        <v>43745</v>
      </c>
      <c r="B291" s="321">
        <v>24416.370507606363</v>
      </c>
      <c r="C291" s="321">
        <v>1587.9083903460505</v>
      </c>
      <c r="D291" s="321">
        <v>26004.278897952412</v>
      </c>
      <c r="E291" s="288">
        <v>54.47</v>
      </c>
      <c r="F291" s="326">
        <f>B291*(E291/100)*'Project Emission-2'!$D$15/1000</f>
        <v>49.637773211968067</v>
      </c>
      <c r="G291" s="307"/>
    </row>
    <row r="292" spans="1:7">
      <c r="A292" s="320">
        <f t="shared" si="4"/>
        <v>43746</v>
      </c>
      <c r="B292" s="321">
        <v>24128.370507606363</v>
      </c>
      <c r="C292" s="321">
        <v>1316.8809854141405</v>
      </c>
      <c r="D292" s="321">
        <v>25445.251493020503</v>
      </c>
      <c r="E292" s="288">
        <v>56.12</v>
      </c>
      <c r="F292" s="326">
        <f>B292*(E292/100)*'Project Emission-2'!$D$15/1000</f>
        <v>50.538164436575471</v>
      </c>
      <c r="G292" s="307"/>
    </row>
    <row r="293" spans="1:7">
      <c r="A293" s="320">
        <f t="shared" si="4"/>
        <v>43747</v>
      </c>
      <c r="B293" s="321">
        <v>23497.370507606363</v>
      </c>
      <c r="C293" s="356">
        <v>2522.2385576211905</v>
      </c>
      <c r="D293" s="356">
        <v>26019.609065227552</v>
      </c>
      <c r="E293" s="288">
        <v>59.57</v>
      </c>
      <c r="F293" s="326">
        <f>B293*(E293/100)*'Project Emission-2'!$D$15/1000</f>
        <v>52.242105715929398</v>
      </c>
      <c r="G293" s="307"/>
    </row>
    <row r="294" spans="1:7">
      <c r="A294" s="320">
        <f t="shared" si="4"/>
        <v>43748</v>
      </c>
      <c r="B294" s="321">
        <v>23345.370507606363</v>
      </c>
      <c r="C294" s="321">
        <v>2936.0447071291305</v>
      </c>
      <c r="D294" s="321">
        <v>26281.415214735494</v>
      </c>
      <c r="E294" s="288">
        <v>60.39</v>
      </c>
      <c r="F294" s="326">
        <f>B294*(E294/100)*'Project Emission-2'!$D$15/1000</f>
        <v>52.618638811000984</v>
      </c>
      <c r="G294" s="307"/>
    </row>
    <row r="295" spans="1:7">
      <c r="A295" s="320">
        <f t="shared" si="4"/>
        <v>43749</v>
      </c>
      <c r="B295" s="321">
        <v>23479.370507606363</v>
      </c>
      <c r="C295" s="321">
        <v>2760.0269090921706</v>
      </c>
      <c r="D295" s="321">
        <v>26239.397416698535</v>
      </c>
      <c r="E295" s="288">
        <v>59.77</v>
      </c>
      <c r="F295" s="326">
        <f>B295*(E295/100)*'Project Emission-2'!$D$15/1000</f>
        <v>52.377349012977781</v>
      </c>
      <c r="G295" s="307"/>
    </row>
    <row r="296" spans="1:7">
      <c r="A296" s="320">
        <f t="shared" si="4"/>
        <v>43750</v>
      </c>
      <c r="B296" s="321">
        <v>22568.370507606363</v>
      </c>
      <c r="C296" s="321">
        <v>2881.0391452425806</v>
      </c>
      <c r="D296" s="321">
        <v>25449.409652848943</v>
      </c>
      <c r="E296" s="288">
        <v>58.49</v>
      </c>
      <c r="F296" s="326">
        <f>B296*(E296/100)*'Project Emission-2'!$D$15/1000</f>
        <v>49.266945023058405</v>
      </c>
      <c r="G296" s="307"/>
    </row>
    <row r="297" spans="1:7">
      <c r="A297" s="320">
        <f t="shared" si="4"/>
        <v>43751</v>
      </c>
      <c r="B297" s="321">
        <v>19750.370507606363</v>
      </c>
      <c r="C297" s="321">
        <v>2546.0052682972305</v>
      </c>
      <c r="D297" s="321">
        <v>22296.375775903594</v>
      </c>
      <c r="E297" s="288">
        <v>59.07</v>
      </c>
      <c r="F297" s="326">
        <f>B297*(E297/100)*'Project Emission-2'!$D$15/1000</f>
        <v>43.542767315288984</v>
      </c>
      <c r="G297" s="307"/>
    </row>
    <row r="298" spans="1:7">
      <c r="A298" s="320">
        <f t="shared" si="4"/>
        <v>43752</v>
      </c>
      <c r="B298" s="321">
        <v>22200.370507606363</v>
      </c>
      <c r="C298" s="321">
        <v>1914.9414582897207</v>
      </c>
      <c r="D298" s="321">
        <v>24115.311965896086</v>
      </c>
      <c r="E298" s="288">
        <v>56.1</v>
      </c>
      <c r="F298" s="326">
        <f>B298*(E298/100)*'Project Emission-2'!$D$15/1000</f>
        <v>46.483293581310193</v>
      </c>
      <c r="G298" s="307"/>
    </row>
    <row r="299" spans="1:7">
      <c r="A299" s="320">
        <f t="shared" si="4"/>
        <v>43753</v>
      </c>
      <c r="B299" s="321">
        <v>19794.370507606363</v>
      </c>
      <c r="C299" s="321">
        <v>1473.8968620721105</v>
      </c>
      <c r="D299" s="321">
        <v>21268.267369678473</v>
      </c>
      <c r="E299" s="288">
        <v>56.33</v>
      </c>
      <c r="F299" s="326">
        <f>B299*(E299/100)*'Project Emission-2'!$D$15/1000</f>
        <v>41.615513224408524</v>
      </c>
      <c r="G299" s="307"/>
    </row>
    <row r="300" spans="1:7">
      <c r="A300" s="320">
        <f t="shared" si="4"/>
        <v>43754</v>
      </c>
      <c r="B300" s="321">
        <v>24645.370507606363</v>
      </c>
      <c r="C300" s="321">
        <v>2780.0289315963705</v>
      </c>
      <c r="D300" s="321">
        <v>27425.399439202734</v>
      </c>
      <c r="E300" s="288">
        <v>58.26</v>
      </c>
      <c r="F300" s="326">
        <f>B300*(E300/100)*'Project Emission-2'!$D$15/1000</f>
        <v>53.589492037250807</v>
      </c>
      <c r="G300" s="307"/>
    </row>
    <row r="301" spans="1:7">
      <c r="A301" s="320">
        <f t="shared" si="4"/>
        <v>43755</v>
      </c>
      <c r="B301" s="321">
        <v>25510.370507606363</v>
      </c>
      <c r="C301" s="321">
        <v>2987.0498645148405</v>
      </c>
      <c r="D301" s="321">
        <v>28497.420372121203</v>
      </c>
      <c r="E301" s="288">
        <v>58.52</v>
      </c>
      <c r="F301" s="326">
        <f>B301*(E301/100)*'Project Emission-2'!$D$15/1000</f>
        <v>55.717919605584463</v>
      </c>
      <c r="G301" s="307"/>
    </row>
    <row r="302" spans="1:7">
      <c r="A302" s="320">
        <f t="shared" si="4"/>
        <v>43756</v>
      </c>
      <c r="B302" s="321">
        <v>25221.370507606363</v>
      </c>
      <c r="C302" s="321">
        <v>2670.0178078232707</v>
      </c>
      <c r="D302" s="321">
        <v>27891.388315429635</v>
      </c>
      <c r="E302" s="288">
        <v>56.69</v>
      </c>
      <c r="F302" s="326">
        <f>B302*(E302/100)*'Project Emission-2'!$D$15/1000</f>
        <v>53.364070311952602</v>
      </c>
      <c r="G302" s="307"/>
    </row>
    <row r="303" spans="1:7">
      <c r="A303" s="320">
        <f t="shared" si="4"/>
        <v>43757</v>
      </c>
      <c r="B303" s="321">
        <v>24902.370507606363</v>
      </c>
      <c r="C303" s="321">
        <v>3099.0611905383607</v>
      </c>
      <c r="D303" s="321">
        <v>28001.431698144723</v>
      </c>
      <c r="E303" s="288">
        <v>59.96</v>
      </c>
      <c r="F303" s="326">
        <f>B303*(E303/100)*'Project Emission-2'!$D$15/1000</f>
        <v>55.728342119456087</v>
      </c>
      <c r="G303" s="307"/>
    </row>
    <row r="304" spans="1:7">
      <c r="A304" s="320">
        <f t="shared" si="4"/>
        <v>43758</v>
      </c>
      <c r="B304" s="321">
        <v>25005.370507606363</v>
      </c>
      <c r="C304" s="321">
        <v>2722.0230663341908</v>
      </c>
      <c r="D304" s="321">
        <v>27727.393573940553</v>
      </c>
      <c r="E304" s="288">
        <v>57.91</v>
      </c>
      <c r="F304" s="326">
        <f>B304*(E304/100)*'Project Emission-2'!$D$15/1000</f>
        <v>54.04564043100558</v>
      </c>
      <c r="G304" s="307"/>
    </row>
    <row r="305" spans="1:7">
      <c r="A305" s="320">
        <f t="shared" si="4"/>
        <v>43759</v>
      </c>
      <c r="B305" s="321">
        <v>24244.370507606363</v>
      </c>
      <c r="C305" s="321">
        <v>2187.9690654720507</v>
      </c>
      <c r="D305" s="321">
        <v>26432.339573078414</v>
      </c>
      <c r="E305" s="288">
        <v>56.72</v>
      </c>
      <c r="F305" s="326">
        <f>B305*(E305/100)*'Project Emission-2'!$D$15/1000</f>
        <v>51.324052813738007</v>
      </c>
      <c r="G305" s="307"/>
    </row>
    <row r="306" spans="1:7">
      <c r="A306" s="320">
        <f t="shared" si="4"/>
        <v>43760</v>
      </c>
      <c r="B306" s="321">
        <v>24470.370507606363</v>
      </c>
      <c r="C306" s="321">
        <v>1337.8831090435506</v>
      </c>
      <c r="D306" s="321">
        <v>25808.253616649912</v>
      </c>
      <c r="E306" s="288">
        <v>55.69</v>
      </c>
      <c r="F306" s="326">
        <f>B306*(E306/100)*'Project Emission-2'!$D$15/1000</f>
        <v>50.861781945097725</v>
      </c>
      <c r="G306" s="307"/>
    </row>
    <row r="307" spans="1:7">
      <c r="A307" s="320">
        <f t="shared" si="4"/>
        <v>43761</v>
      </c>
      <c r="B307" s="321">
        <v>24203.370507606363</v>
      </c>
      <c r="C307" s="321">
        <v>2561.0067851753806</v>
      </c>
      <c r="D307" s="321">
        <v>26764.377292781744</v>
      </c>
      <c r="E307" s="288">
        <v>57.79</v>
      </c>
      <c r="F307" s="326">
        <f>B307*(E307/100)*'Project Emission-2'!$D$15/1000</f>
        <v>52.20382825327529</v>
      </c>
      <c r="G307" s="307"/>
    </row>
    <row r="308" spans="1:7">
      <c r="A308" s="320">
        <f t="shared" si="4"/>
        <v>43762</v>
      </c>
      <c r="B308" s="321">
        <v>24361.370507606363</v>
      </c>
      <c r="C308" s="321">
        <v>3189.0702918072607</v>
      </c>
      <c r="D308" s="321">
        <v>27550.440799413624</v>
      </c>
      <c r="E308" s="288">
        <v>58.62</v>
      </c>
      <c r="F308" s="326">
        <f>B308*(E308/100)*'Project Emission-2'!$D$15/1000</f>
        <v>53.299279674656866</v>
      </c>
      <c r="G308" s="307"/>
    </row>
    <row r="309" spans="1:7">
      <c r="A309" s="320">
        <f t="shared" si="4"/>
        <v>43763</v>
      </c>
      <c r="B309" s="321">
        <v>23726.370507606363</v>
      </c>
      <c r="C309" s="321">
        <v>3097.0609882879407</v>
      </c>
      <c r="D309" s="321">
        <v>26823.431495894303</v>
      </c>
      <c r="E309" s="288">
        <v>57.54</v>
      </c>
      <c r="F309" s="326">
        <f>B309*(E309/100)*'Project Emission-2'!$D$15/1000</f>
        <v>50.953611825211638</v>
      </c>
      <c r="G309" s="307"/>
    </row>
    <row r="310" spans="1:7">
      <c r="A310" s="320">
        <f t="shared" si="4"/>
        <v>43764</v>
      </c>
      <c r="B310" s="321">
        <v>23525.370507606363</v>
      </c>
      <c r="C310" s="321">
        <v>2992.0503701408907</v>
      </c>
      <c r="D310" s="321">
        <v>26517.420877747252</v>
      </c>
      <c r="E310" s="288">
        <v>57.65</v>
      </c>
      <c r="F310" s="326">
        <f>B310*(E310/100)*'Project Emission-2'!$D$15/1000</f>
        <v>50.618537401214766</v>
      </c>
      <c r="G310" s="307"/>
    </row>
    <row r="311" spans="1:7">
      <c r="A311" s="320">
        <f t="shared" si="4"/>
        <v>43765</v>
      </c>
      <c r="B311" s="321">
        <v>24199.370507606363</v>
      </c>
      <c r="C311" s="321">
        <v>2927.0437970022408</v>
      </c>
      <c r="D311" s="321">
        <v>27126.414304608603</v>
      </c>
      <c r="E311" s="288">
        <v>53.45</v>
      </c>
      <c r="F311" s="326">
        <f>B311*(E311/100)*'Project Emission-2'!$D$15/1000</f>
        <v>48.275367341092085</v>
      </c>
      <c r="G311" s="307"/>
    </row>
    <row r="312" spans="1:7">
      <c r="A312" s="320">
        <f t="shared" si="4"/>
        <v>43766</v>
      </c>
      <c r="B312" s="321">
        <v>26020.370507606363</v>
      </c>
      <c r="C312" s="321">
        <v>2307.9812004972505</v>
      </c>
      <c r="D312" s="321">
        <v>28328.351708103615</v>
      </c>
      <c r="E312" s="288">
        <v>57.84</v>
      </c>
      <c r="F312" s="326">
        <f>B312*(E312/100)*'Project Emission-2'!$D$15/1000</f>
        <v>56.171441511746416</v>
      </c>
      <c r="G312" s="307"/>
    </row>
    <row r="313" spans="1:7">
      <c r="A313" s="320">
        <f t="shared" si="4"/>
        <v>43767</v>
      </c>
      <c r="B313" s="321">
        <v>25389.370507606363</v>
      </c>
      <c r="C313" s="321">
        <v>1549.9045475880705</v>
      </c>
      <c r="D313" s="321">
        <v>26939.275055194434</v>
      </c>
      <c r="E313" s="288">
        <v>55.34</v>
      </c>
      <c r="F313" s="326">
        <f>B313*(E313/100)*'Project Emission-2'!$D$15/1000</f>
        <v>52.440267306411215</v>
      </c>
      <c r="G313" s="307"/>
    </row>
    <row r="314" spans="1:7">
      <c r="A314" s="320">
        <f t="shared" si="4"/>
        <v>43768</v>
      </c>
      <c r="B314" s="321">
        <v>26093.370507606363</v>
      </c>
      <c r="C314" s="321">
        <v>2918.0428868753506</v>
      </c>
      <c r="D314" s="321">
        <v>29011.413394481715</v>
      </c>
      <c r="E314" s="288">
        <v>57.41</v>
      </c>
      <c r="F314" s="326">
        <f>B314*(E314/100)*'Project Emission-2'!$D$15/1000</f>
        <v>55.910263173581924</v>
      </c>
      <c r="G314" s="307"/>
    </row>
    <row r="315" spans="1:7">
      <c r="A315" s="317" t="s">
        <v>321</v>
      </c>
      <c r="B315" s="322">
        <f>SUM(B284:B314)</f>
        <v>724224.48573579686</v>
      </c>
      <c r="C315" s="322">
        <f>SUM(C284:C314)</f>
        <v>77311.235716329014</v>
      </c>
      <c r="D315" s="322">
        <v>801535.72145212581</v>
      </c>
      <c r="E315" s="323">
        <f>+AVERAGE(E284:E314)</f>
        <v>57.87354838709679</v>
      </c>
      <c r="F315" s="327">
        <f>SUM(F284:F314)</f>
        <v>1563.111270150838</v>
      </c>
      <c r="G315" s="307"/>
    </row>
    <row r="316" spans="1:7">
      <c r="A316" s="320">
        <f>A314+1</f>
        <v>43769</v>
      </c>
      <c r="B316" s="321">
        <v>25282.080353400277</v>
      </c>
      <c r="C316" s="321">
        <v>3083.034358975518</v>
      </c>
      <c r="D316" s="321">
        <v>28365.114712375795</v>
      </c>
      <c r="E316" s="288">
        <v>57.14</v>
      </c>
      <c r="F316" s="326">
        <f>B316*(E316/100)*'Project Emission-2'!$D$15/1000</f>
        <v>53.917140588693094</v>
      </c>
      <c r="G316" s="307"/>
    </row>
    <row r="317" spans="1:7">
      <c r="A317" s="320">
        <f t="shared" si="4"/>
        <v>43770</v>
      </c>
      <c r="B317" s="321">
        <v>26942.080353400277</v>
      </c>
      <c r="C317" s="321">
        <v>3179.0440669956779</v>
      </c>
      <c r="D317" s="321">
        <v>30121.124420395954</v>
      </c>
      <c r="E317" s="288">
        <v>57.05</v>
      </c>
      <c r="F317" s="326">
        <f>B317*(E317/100)*'Project Emission-2'!$D$15/1000</f>
        <v>57.366794646456349</v>
      </c>
      <c r="G317" s="307"/>
    </row>
    <row r="318" spans="1:7">
      <c r="A318" s="320">
        <f t="shared" si="4"/>
        <v>43771</v>
      </c>
      <c r="B318" s="321">
        <v>32329.080353400277</v>
      </c>
      <c r="C318" s="321">
        <v>2910.0168643141878</v>
      </c>
      <c r="D318" s="321">
        <v>35239.097217714465</v>
      </c>
      <c r="E318" s="288">
        <v>58.27</v>
      </c>
      <c r="F318" s="326">
        <f>B318*(E318/100)*'Project Emission-2'!$D$15/1000</f>
        <v>70.309203398023342</v>
      </c>
      <c r="G318" s="307"/>
    </row>
    <row r="319" spans="1:7">
      <c r="A319" s="320">
        <f t="shared" si="4"/>
        <v>43772</v>
      </c>
      <c r="B319" s="321">
        <v>27385.080353400277</v>
      </c>
      <c r="C319" s="321">
        <v>2919.017774441078</v>
      </c>
      <c r="D319" s="321">
        <v>30304.098127841356</v>
      </c>
      <c r="E319" s="288">
        <v>60.23</v>
      </c>
      <c r="F319" s="326">
        <f>B319*(E319/100)*'Project Emission-2'!$D$15/1000</f>
        <v>61.560294869742101</v>
      </c>
      <c r="G319" s="307"/>
    </row>
    <row r="320" spans="1:7">
      <c r="A320" s="320">
        <f t="shared" si="4"/>
        <v>43773</v>
      </c>
      <c r="B320" s="321">
        <v>24606.080353400277</v>
      </c>
      <c r="C320" s="321">
        <v>2331.958413942808</v>
      </c>
      <c r="D320" s="321">
        <v>26938.038767343085</v>
      </c>
      <c r="E320" s="288">
        <v>56.52</v>
      </c>
      <c r="F320" s="326">
        <f>B320*(E320/100)*'Project Emission-2'!$D$15/1000</f>
        <v>51.906100077014834</v>
      </c>
      <c r="G320" s="307"/>
    </row>
    <row r="321" spans="1:7">
      <c r="A321" s="320">
        <f t="shared" si="4"/>
        <v>43774</v>
      </c>
      <c r="B321" s="321">
        <v>24064.080353400277</v>
      </c>
      <c r="C321" s="321">
        <v>1885.9133120991476</v>
      </c>
      <c r="D321" s="321">
        <v>25949.993665499424</v>
      </c>
      <c r="E321" s="288">
        <v>55.53</v>
      </c>
      <c r="F321" s="326">
        <f>B321*(E321/100)*'Project Emission-2'!$D$15/1000</f>
        <v>49.873603837551315</v>
      </c>
      <c r="G321" s="307"/>
    </row>
    <row r="322" spans="1:7">
      <c r="A322" s="320">
        <f t="shared" si="4"/>
        <v>43775</v>
      </c>
      <c r="B322" s="321">
        <v>18202.080353400277</v>
      </c>
      <c r="C322" s="321">
        <v>2753.0009876562176</v>
      </c>
      <c r="D322" s="321">
        <v>20955.081341056495</v>
      </c>
      <c r="E322" s="288">
        <v>57.21</v>
      </c>
      <c r="F322" s="326">
        <f>B322*(E322/100)*'Project Emission-2'!$D$15/1000</f>
        <v>38.865725915488838</v>
      </c>
      <c r="G322" s="307"/>
    </row>
    <row r="323" spans="1:7">
      <c r="A323" s="320">
        <f t="shared" si="4"/>
        <v>43776</v>
      </c>
      <c r="B323" s="321">
        <v>24574.080353400277</v>
      </c>
      <c r="C323" s="321">
        <v>2663.9919875125279</v>
      </c>
      <c r="D323" s="321">
        <v>27238.072340912804</v>
      </c>
      <c r="E323" s="288">
        <v>57.28</v>
      </c>
      <c r="F323" s="326">
        <f>B323*(E323/100)*'Project Emission-2'!$D$15/1000</f>
        <v>52.535647824787453</v>
      </c>
      <c r="G323" s="307"/>
    </row>
    <row r="324" spans="1:7">
      <c r="A324" s="320">
        <f t="shared" ref="A324:A377" si="5">A323+1</f>
        <v>43777</v>
      </c>
      <c r="B324" s="321">
        <v>25824.080353400277</v>
      </c>
      <c r="C324" s="321">
        <v>2641.989762757908</v>
      </c>
      <c r="D324" s="321">
        <v>28466.070116158186</v>
      </c>
      <c r="E324" s="288">
        <v>57.73</v>
      </c>
      <c r="F324" s="326">
        <f>B324*(E324/100)*'Project Emission-2'!$D$15/1000</f>
        <v>55.64167952406379</v>
      </c>
      <c r="G324" s="307"/>
    </row>
    <row r="325" spans="1:7">
      <c r="A325" s="320">
        <f t="shared" si="5"/>
        <v>43778</v>
      </c>
      <c r="B325" s="321">
        <v>29262.080353400277</v>
      </c>
      <c r="C325" s="321">
        <v>2625.9881447545476</v>
      </c>
      <c r="D325" s="321">
        <v>31888.068498154826</v>
      </c>
      <c r="E325" s="288">
        <v>56.95</v>
      </c>
      <c r="F325" s="326">
        <f>B325*(E325/100)*'Project Emission-2'!$D$15/1000</f>
        <v>62.197472337614769</v>
      </c>
      <c r="G325" s="307"/>
    </row>
    <row r="326" spans="1:7">
      <c r="A326" s="320">
        <f t="shared" si="5"/>
        <v>43779</v>
      </c>
      <c r="B326" s="321">
        <v>27553.080353400277</v>
      </c>
      <c r="C326" s="321">
        <v>3155.041639990638</v>
      </c>
      <c r="D326" s="321">
        <v>30708.121993390916</v>
      </c>
      <c r="E326" s="288">
        <v>59.35</v>
      </c>
      <c r="F326" s="326">
        <f>B326*(E326/100)*'Project Emission-2'!$D$15/1000</f>
        <v>61.032996208694009</v>
      </c>
      <c r="G326" s="307"/>
    </row>
    <row r="327" spans="1:7">
      <c r="A327" s="320">
        <f t="shared" si="5"/>
        <v>43780</v>
      </c>
      <c r="B327" s="321">
        <v>24832.080353400277</v>
      </c>
      <c r="C327" s="321">
        <v>1806.9053232075576</v>
      </c>
      <c r="D327" s="321">
        <v>26638.985676607834</v>
      </c>
      <c r="E327" s="288">
        <v>57.93</v>
      </c>
      <c r="F327" s="326">
        <f>B327*(E327/100)*'Project Emission-2'!$D$15/1000</f>
        <v>53.689633833709678</v>
      </c>
      <c r="G327" s="307"/>
    </row>
    <row r="328" spans="1:7">
      <c r="A328" s="320">
        <f t="shared" si="5"/>
        <v>43781</v>
      </c>
      <c r="B328" s="321">
        <v>25536.080353400277</v>
      </c>
      <c r="C328" s="321">
        <v>1628.8873229201774</v>
      </c>
      <c r="D328" s="321">
        <v>27164.967676320455</v>
      </c>
      <c r="E328" s="288">
        <v>57.2</v>
      </c>
      <c r="F328" s="326">
        <f>B328*(E328/100)*'Project Emission-2'!$D$15/1000</f>
        <v>54.516011403176222</v>
      </c>
      <c r="G328" s="307"/>
    </row>
    <row r="329" spans="1:7">
      <c r="A329" s="320">
        <f t="shared" si="5"/>
        <v>43782</v>
      </c>
      <c r="B329" s="321">
        <v>27427.080353400277</v>
      </c>
      <c r="C329" s="356">
        <v>2965.2581425297376</v>
      </c>
      <c r="D329" s="356">
        <v>30392.338495930017</v>
      </c>
      <c r="E329" s="288">
        <v>58.94</v>
      </c>
      <c r="F329" s="326">
        <f>B329*(E329/100)*'Project Emission-2'!$D$15/1000</f>
        <v>60.334194507787089</v>
      </c>
      <c r="G329" s="307"/>
    </row>
    <row r="330" spans="1:7">
      <c r="A330" s="320">
        <f t="shared" si="5"/>
        <v>43783</v>
      </c>
      <c r="B330" s="321">
        <v>29657.080353400277</v>
      </c>
      <c r="C330" s="321">
        <v>3280.054280641888</v>
      </c>
      <c r="D330" s="321">
        <v>32937.134634042166</v>
      </c>
      <c r="E330" s="288">
        <v>58.97</v>
      </c>
      <c r="F330" s="326">
        <f>B330*(E330/100)*'Project Emission-2'!$D$15/1000</f>
        <v>65.272963421350781</v>
      </c>
      <c r="G330" s="307"/>
    </row>
    <row r="331" spans="1:7">
      <c r="A331" s="320">
        <f t="shared" si="5"/>
        <v>43784</v>
      </c>
      <c r="B331" s="321">
        <v>28679.080353400277</v>
      </c>
      <c r="C331" s="321">
        <v>2757.001392157058</v>
      </c>
      <c r="D331" s="321">
        <v>31436.081745557334</v>
      </c>
      <c r="E331" s="288">
        <v>58.21</v>
      </c>
      <c r="F331" s="326">
        <f>B331*(E331/100)*'Project Emission-2'!$D$15/1000</f>
        <v>62.306969538405916</v>
      </c>
      <c r="G331" s="307"/>
    </row>
    <row r="332" spans="1:7">
      <c r="A332" s="320">
        <f t="shared" si="5"/>
        <v>43785</v>
      </c>
      <c r="B332" s="321">
        <v>35312.080353400277</v>
      </c>
      <c r="C332" s="321">
        <v>3041.0301117166978</v>
      </c>
      <c r="D332" s="321">
        <v>38353.110465116974</v>
      </c>
      <c r="E332" s="288">
        <v>57.71</v>
      </c>
      <c r="F332" s="326">
        <f>B332*(E332/100)*'Project Emission-2'!$D$15/1000</f>
        <v>76.058575461120114</v>
      </c>
      <c r="G332" s="307"/>
    </row>
    <row r="333" spans="1:7">
      <c r="A333" s="320">
        <f t="shared" si="5"/>
        <v>43786</v>
      </c>
      <c r="B333" s="321">
        <v>56507.080353400277</v>
      </c>
      <c r="C333" s="321">
        <v>3111.0371904813978</v>
      </c>
      <c r="D333" s="321">
        <v>59618.117543881672</v>
      </c>
      <c r="E333" s="288">
        <v>58.97</v>
      </c>
      <c r="F333" s="326">
        <f>B333*(E333/100)*'Project Emission-2'!$D$15/1000</f>
        <v>124.3677578845667</v>
      </c>
      <c r="G333" s="307"/>
    </row>
    <row r="334" spans="1:7">
      <c r="A334" s="320">
        <f t="shared" si="5"/>
        <v>43787</v>
      </c>
      <c r="B334" s="321">
        <v>36212.080353400277</v>
      </c>
      <c r="C334" s="321">
        <v>2818.0075607948679</v>
      </c>
      <c r="D334" s="321">
        <v>39030.087914195145</v>
      </c>
      <c r="E334" s="288">
        <v>60.27</v>
      </c>
      <c r="F334" s="326">
        <f>B334*(E334/100)*'Project Emission-2'!$D$15/1000</f>
        <v>81.457012042851531</v>
      </c>
      <c r="G334" s="307"/>
    </row>
    <row r="335" spans="1:7">
      <c r="A335" s="320">
        <f t="shared" si="5"/>
        <v>43788</v>
      </c>
      <c r="B335" s="321">
        <v>24817.080353400277</v>
      </c>
      <c r="C335" s="321">
        <v>2350.9603353217976</v>
      </c>
      <c r="D335" s="321">
        <v>27168.040688722074</v>
      </c>
      <c r="E335" s="288">
        <v>57.63</v>
      </c>
      <c r="F335" s="326">
        <f>B335*(E335/100)*'Project Emission-2'!$D$15/1000</f>
        <v>53.37932960083603</v>
      </c>
      <c r="G335" s="307"/>
    </row>
    <row r="336" spans="1:7">
      <c r="A336" s="320">
        <f t="shared" si="5"/>
        <v>43789</v>
      </c>
      <c r="B336" s="321">
        <v>25628.080353400277</v>
      </c>
      <c r="C336" s="321">
        <v>3241.050336758698</v>
      </c>
      <c r="D336" s="321">
        <v>28869.130690158974</v>
      </c>
      <c r="E336" s="288">
        <v>60.05</v>
      </c>
      <c r="F336" s="326">
        <f>B336*(E336/100)*'Project Emission-2'!$D$15/1000</f>
        <v>57.438474548846962</v>
      </c>
      <c r="G336" s="307"/>
    </row>
    <row r="337" spans="1:7">
      <c r="A337" s="320">
        <f t="shared" si="5"/>
        <v>43790</v>
      </c>
      <c r="B337" s="321">
        <v>23801.080353400277</v>
      </c>
      <c r="C337" s="321">
        <v>2730.9987629015977</v>
      </c>
      <c r="D337" s="321">
        <v>26532.079116301873</v>
      </c>
      <c r="E337" s="288">
        <v>58.04</v>
      </c>
      <c r="F337" s="326">
        <f>B337*(E337/100)*'Project Emission-2'!$D$15/1000</f>
        <v>51.558216158446058</v>
      </c>
      <c r="G337" s="307"/>
    </row>
    <row r="338" spans="1:7">
      <c r="A338" s="320">
        <f t="shared" si="5"/>
        <v>43791</v>
      </c>
      <c r="B338" s="321">
        <v>25053.080353400277</v>
      </c>
      <c r="C338" s="321">
        <v>2815.0072574192377</v>
      </c>
      <c r="D338" s="321">
        <v>27868.087610819515</v>
      </c>
      <c r="E338" s="288">
        <v>58.98</v>
      </c>
      <c r="F338" s="326">
        <f>B338*(E338/100)*'Project Emission-2'!$D$15/1000</f>
        <v>55.149262388848186</v>
      </c>
      <c r="G338" s="307"/>
    </row>
    <row r="339" spans="1:7">
      <c r="A339" s="320">
        <f t="shared" si="5"/>
        <v>43792</v>
      </c>
      <c r="B339" s="321">
        <v>23927.080353400277</v>
      </c>
      <c r="C339" s="321">
        <v>3219.0481120040777</v>
      </c>
      <c r="D339" s="321">
        <v>27146.128465404356</v>
      </c>
      <c r="E339" s="288">
        <v>60.54</v>
      </c>
      <c r="F339" s="326">
        <f>B339*(E339/100)*'Project Emission-2'!$D$15/1000</f>
        <v>54.063721015205815</v>
      </c>
      <c r="G339" s="307"/>
    </row>
    <row r="340" spans="1:7">
      <c r="A340" s="320">
        <f t="shared" si="5"/>
        <v>43793</v>
      </c>
      <c r="B340" s="321">
        <v>21232.080353400277</v>
      </c>
      <c r="C340" s="321">
        <v>3110.0370893561876</v>
      </c>
      <c r="D340" s="321">
        <v>24342.117442756466</v>
      </c>
      <c r="E340" s="288">
        <v>57.96</v>
      </c>
      <c r="F340" s="326">
        <f>B340*(E340/100)*'Project Emission-2'!$D$15/1000</f>
        <v>45.929819066311012</v>
      </c>
      <c r="G340" s="307"/>
    </row>
    <row r="341" spans="1:7">
      <c r="A341" s="320">
        <f t="shared" si="5"/>
        <v>43794</v>
      </c>
      <c r="B341" s="321">
        <v>23060.080353400277</v>
      </c>
      <c r="C341" s="321">
        <v>2511.9766164806078</v>
      </c>
      <c r="D341" s="321">
        <v>25572.056969880883</v>
      </c>
      <c r="E341" s="288">
        <v>58.48</v>
      </c>
      <c r="F341" s="326">
        <f>B341*(E341/100)*'Project Emission-2'!$D$15/1000</f>
        <v>50.331745144538061</v>
      </c>
      <c r="G341" s="307"/>
    </row>
    <row r="342" spans="1:7">
      <c r="A342" s="320">
        <f t="shared" si="5"/>
        <v>43795</v>
      </c>
      <c r="B342" s="321">
        <v>18019.080353400277</v>
      </c>
      <c r="C342" s="321">
        <v>1879.9127053478876</v>
      </c>
      <c r="D342" s="321">
        <v>19898.993058748165</v>
      </c>
      <c r="E342" s="288">
        <v>58.03</v>
      </c>
      <c r="F342" s="326">
        <f>B342*(E342/100)*'Project Emission-2'!$D$15/1000</f>
        <v>39.026445798572574</v>
      </c>
      <c r="G342" s="307"/>
    </row>
    <row r="343" spans="1:7">
      <c r="A343" s="320">
        <f t="shared" si="5"/>
        <v>43796</v>
      </c>
      <c r="B343" s="321">
        <v>18334.080353400277</v>
      </c>
      <c r="C343" s="321">
        <v>3253.0515502612179</v>
      </c>
      <c r="D343" s="321">
        <v>21587.131903661495</v>
      </c>
      <c r="E343" s="288">
        <v>60.19</v>
      </c>
      <c r="F343" s="326">
        <f>B343*(E343/100)*'Project Emission-2'!$D$15/1000</f>
        <v>41.186727123696812</v>
      </c>
      <c r="G343" s="307"/>
    </row>
    <row r="344" spans="1:7">
      <c r="A344" s="320">
        <f t="shared" si="5"/>
        <v>43797</v>
      </c>
      <c r="B344" s="321">
        <v>23495.080353400277</v>
      </c>
      <c r="C344" s="321">
        <v>2821.0078641704977</v>
      </c>
      <c r="D344" s="321">
        <v>26316.088217570774</v>
      </c>
      <c r="E344" s="288">
        <v>59.78</v>
      </c>
      <c r="F344" s="326">
        <f>B344*(E344/100)*'Project Emission-2'!$D$15/1000</f>
        <v>52.421163262380432</v>
      </c>
      <c r="G344" s="307"/>
    </row>
    <row r="345" spans="1:7">
      <c r="A345" s="320">
        <f t="shared" si="5"/>
        <v>43798</v>
      </c>
      <c r="B345" s="321">
        <v>19015.080353400277</v>
      </c>
      <c r="C345" s="321">
        <v>2807.0064484175577</v>
      </c>
      <c r="D345" s="321">
        <v>21822.086801817833</v>
      </c>
      <c r="E345" s="288">
        <v>58.52</v>
      </c>
      <c r="F345" s="326">
        <f>B345*(E345/100)*'Project Emission-2'!$D$15/1000</f>
        <v>41.531373215790126</v>
      </c>
      <c r="G345" s="307"/>
    </row>
    <row r="346" spans="1:7">
      <c r="A346" s="317" t="s">
        <v>321</v>
      </c>
      <c r="B346" s="322">
        <f>SUM(B316:B345)</f>
        <v>796568.41060200857</v>
      </c>
      <c r="C346" s="322">
        <f>SUM(C316:C345)</f>
        <v>82297.235716329014</v>
      </c>
      <c r="D346" s="322">
        <v>878865.64631833765</v>
      </c>
      <c r="E346" s="323">
        <f>AVERAGE(E316:E345)</f>
        <v>58.32200000000001</v>
      </c>
      <c r="F346" s="327">
        <f>SUM(F316:F345)</f>
        <v>1735.2260546445698</v>
      </c>
      <c r="G346" s="307"/>
    </row>
    <row r="347" spans="1:7">
      <c r="A347" s="320">
        <f>A345+1</f>
        <v>43799</v>
      </c>
      <c r="B347" s="321">
        <v>23428.657754439155</v>
      </c>
      <c r="C347" s="321">
        <v>3154.0457249054384</v>
      </c>
      <c r="D347" s="321">
        <v>26582.703479344593</v>
      </c>
      <c r="E347" s="288">
        <v>59.87</v>
      </c>
      <c r="F347" s="326">
        <f>B347*(E347/100)*'Project Emission-2'!$D$15/1000</f>
        <v>52.351662161939814</v>
      </c>
      <c r="G347" s="307"/>
    </row>
    <row r="348" spans="1:7">
      <c r="A348" s="320">
        <f t="shared" si="5"/>
        <v>43800</v>
      </c>
      <c r="B348" s="321">
        <v>24936.657754439155</v>
      </c>
      <c r="C348" s="321">
        <v>3109.0411742709884</v>
      </c>
      <c r="D348" s="321">
        <v>28045.698928710142</v>
      </c>
      <c r="E348" s="288">
        <v>62.76</v>
      </c>
      <c r="F348" s="326">
        <f>B348*(E348/100)*'Project Emission-2'!$D$15/1000</f>
        <v>58.411046661152611</v>
      </c>
      <c r="G348" s="307"/>
    </row>
    <row r="349" spans="1:7">
      <c r="A349" s="320">
        <f t="shared" si="5"/>
        <v>43801</v>
      </c>
      <c r="B349" s="321">
        <v>21737.657754439155</v>
      </c>
      <c r="C349" s="321">
        <v>1525.8810930635584</v>
      </c>
      <c r="D349" s="321">
        <v>23263.538847502714</v>
      </c>
      <c r="E349" s="288">
        <v>58.43</v>
      </c>
      <c r="F349" s="326">
        <f>B349*(E349/100)*'Project Emission-2'!$D$15/1000</f>
        <v>47.404813438740362</v>
      </c>
      <c r="G349" s="307"/>
    </row>
    <row r="350" spans="1:7">
      <c r="A350" s="320">
        <f t="shared" si="5"/>
        <v>43802</v>
      </c>
      <c r="B350" s="321">
        <v>17966.657754439155</v>
      </c>
      <c r="C350" s="321">
        <v>1621.8908010837183</v>
      </c>
      <c r="D350" s="321">
        <v>19588.548555522873</v>
      </c>
      <c r="E350" s="288">
        <v>57.83</v>
      </c>
      <c r="F350" s="326">
        <f>B350*(E350/100)*'Project Emission-2'!$D$15/1000</f>
        <v>38.778793765962064</v>
      </c>
      <c r="G350" s="307"/>
    </row>
    <row r="351" spans="1:7">
      <c r="A351" s="320">
        <f t="shared" si="5"/>
        <v>43803</v>
      </c>
      <c r="B351" s="321">
        <v>21085.657754439155</v>
      </c>
      <c r="C351" s="321">
        <v>2965.0266122407484</v>
      </c>
      <c r="D351" s="321">
        <v>24050.684366679903</v>
      </c>
      <c r="E351" s="288">
        <v>65.989999999999995</v>
      </c>
      <c r="F351" s="326">
        <f>B351*(E351/100)*'Project Emission-2'!$D$15/1000</f>
        <v>51.93248330216727</v>
      </c>
      <c r="G351" s="307"/>
    </row>
    <row r="352" spans="1:7">
      <c r="A352" s="320">
        <f t="shared" si="5"/>
        <v>43804</v>
      </c>
      <c r="B352" s="321">
        <v>22839.657754439155</v>
      </c>
      <c r="C352" s="321">
        <v>3380.0685792028985</v>
      </c>
      <c r="D352" s="321">
        <v>26219.726333642055</v>
      </c>
      <c r="E352" s="288">
        <v>61.59</v>
      </c>
      <c r="F352" s="326">
        <f>B352*(E352/100)*'Project Emission-2'!$D$15/1000</f>
        <v>52.501728838351106</v>
      </c>
      <c r="G352" s="307"/>
    </row>
    <row r="353" spans="1:7">
      <c r="A353" s="320">
        <f t="shared" si="5"/>
        <v>43805</v>
      </c>
      <c r="B353" s="321">
        <v>23993.657754439155</v>
      </c>
      <c r="C353" s="321">
        <v>2975.0276234928483</v>
      </c>
      <c r="D353" s="321">
        <v>26968.685377932004</v>
      </c>
      <c r="E353" s="288">
        <v>59.29</v>
      </c>
      <c r="F353" s="326">
        <f>B353*(E353/100)*'Project Emission-2'!$D$15/1000</f>
        <v>53.094766938611272</v>
      </c>
      <c r="G353" s="307"/>
    </row>
    <row r="354" spans="1:7">
      <c r="A354" s="320">
        <f t="shared" si="5"/>
        <v>43806</v>
      </c>
      <c r="B354" s="321">
        <v>23798.657754439155</v>
      </c>
      <c r="C354" s="321">
        <v>3286.0590734331586</v>
      </c>
      <c r="D354" s="321">
        <v>27084.716827872315</v>
      </c>
      <c r="E354" s="288">
        <v>60.11</v>
      </c>
      <c r="F354" s="326">
        <f>B354*(E354/100)*'Project Emission-2'!$D$15/1000</f>
        <v>53.391607926559885</v>
      </c>
      <c r="G354" s="307"/>
    </row>
    <row r="355" spans="1:7">
      <c r="A355" s="320">
        <f t="shared" si="5"/>
        <v>43807</v>
      </c>
      <c r="B355" s="321">
        <v>23855.657754439155</v>
      </c>
      <c r="C355" s="321">
        <v>3118.0420843978786</v>
      </c>
      <c r="D355" s="321">
        <v>26973.699838837034</v>
      </c>
      <c r="E355" s="288">
        <v>59.75</v>
      </c>
      <c r="F355" s="326">
        <f>B355*(E355/100)*'Project Emission-2'!$D$15/1000</f>
        <v>53.198956518343586</v>
      </c>
      <c r="G355" s="307"/>
    </row>
    <row r="356" spans="1:7">
      <c r="A356" s="320">
        <f t="shared" si="5"/>
        <v>43808</v>
      </c>
      <c r="B356" s="321">
        <v>22907.657754439155</v>
      </c>
      <c r="C356" s="321">
        <v>2189.9482402029985</v>
      </c>
      <c r="D356" s="321">
        <v>25097.605994642152</v>
      </c>
      <c r="E356" s="288">
        <v>60.27</v>
      </c>
      <c r="F356" s="326">
        <f>B356*(E356/100)*'Project Emission-2'!$D$15/1000</f>
        <v>51.529471252862088</v>
      </c>
      <c r="G356" s="307"/>
    </row>
    <row r="357" spans="1:7">
      <c r="A357" s="320">
        <f t="shared" si="5"/>
        <v>43809</v>
      </c>
      <c r="B357" s="321">
        <v>20087.657754439155</v>
      </c>
      <c r="C357" s="321">
        <v>1499.8784638080983</v>
      </c>
      <c r="D357" s="321">
        <v>21587.536218247253</v>
      </c>
      <c r="E357" s="288">
        <v>57.39</v>
      </c>
      <c r="F357" s="326">
        <f>B357*(E357/100)*'Project Emission-2'!$D$15/1000</f>
        <v>43.02682833613175</v>
      </c>
      <c r="G357" s="307"/>
    </row>
    <row r="358" spans="1:7">
      <c r="A358" s="320">
        <f t="shared" si="5"/>
        <v>43810</v>
      </c>
      <c r="B358" s="321">
        <v>17375.657754439155</v>
      </c>
      <c r="C358" s="321">
        <v>2892.0192301004186</v>
      </c>
      <c r="D358" s="321">
        <v>20267.676984539572</v>
      </c>
      <c r="E358" s="288">
        <v>58.95</v>
      </c>
      <c r="F358" s="326">
        <f>B358*(E358/100)*'Project Emission-2'!$D$15/1000</f>
        <v>38.229522349596756</v>
      </c>
      <c r="G358" s="307"/>
    </row>
    <row r="359" spans="1:7">
      <c r="A359" s="320">
        <f t="shared" si="5"/>
        <v>43811</v>
      </c>
      <c r="B359" s="321">
        <v>16908.657754439155</v>
      </c>
      <c r="C359" s="321">
        <v>3011.0312640004086</v>
      </c>
      <c r="D359" s="321">
        <v>19919.689018439563</v>
      </c>
      <c r="E359" s="288">
        <v>62.39</v>
      </c>
      <c r="F359" s="326">
        <f>B359*(E359/100)*'Project Emission-2'!$D$15/1000</f>
        <v>39.372947525604211</v>
      </c>
      <c r="G359" s="307"/>
    </row>
    <row r="360" spans="1:7">
      <c r="A360" s="320">
        <f t="shared" si="5"/>
        <v>43812</v>
      </c>
      <c r="B360" s="321">
        <v>15979.657754439155</v>
      </c>
      <c r="C360" s="321">
        <v>2735.0033534424483</v>
      </c>
      <c r="D360" s="321">
        <v>18714.661107881602</v>
      </c>
      <c r="E360" s="288">
        <v>59.57</v>
      </c>
      <c r="F360" s="326">
        <f>B360*(E360/100)*'Project Emission-2'!$D$15/1000</f>
        <v>35.527846379302041</v>
      </c>
      <c r="G360" s="307"/>
    </row>
    <row r="361" spans="1:7">
      <c r="A361" s="320">
        <f t="shared" si="5"/>
        <v>43813</v>
      </c>
      <c r="B361" s="321">
        <v>14781.657754439155</v>
      </c>
      <c r="C361" s="321">
        <v>3012.0313651256183</v>
      </c>
      <c r="D361" s="321">
        <v>17793.689119564773</v>
      </c>
      <c r="E361" s="288">
        <v>61.35</v>
      </c>
      <c r="F361" s="326">
        <f>B361*(E361/100)*'Project Emission-2'!$D$15/1000</f>
        <v>33.846324849496547</v>
      </c>
      <c r="G361" s="307"/>
    </row>
    <row r="362" spans="1:7">
      <c r="A362" s="320">
        <f t="shared" si="5"/>
        <v>43814</v>
      </c>
      <c r="B362" s="321">
        <v>18110.657754439155</v>
      </c>
      <c r="C362" s="356">
        <v>2908.2565644327783</v>
      </c>
      <c r="D362" s="356">
        <v>21018.914318871932</v>
      </c>
      <c r="E362" s="288">
        <v>59.44</v>
      </c>
      <c r="F362" s="326">
        <f>B362*(E362/100)*'Project Emission-2'!$D$15/1000</f>
        <v>40.177862948260547</v>
      </c>
      <c r="G362" s="307"/>
    </row>
    <row r="363" spans="1:7">
      <c r="A363" s="320">
        <f t="shared" si="5"/>
        <v>43815</v>
      </c>
      <c r="B363" s="321">
        <v>18906.657754439155</v>
      </c>
      <c r="C363" s="321">
        <v>2344.9639146105483</v>
      </c>
      <c r="D363" s="321">
        <v>21251.621669049702</v>
      </c>
      <c r="E363" s="288">
        <v>59.37</v>
      </c>
      <c r="F363" s="326">
        <f>B363*(E363/100)*'Project Emission-2'!$D$15/1000</f>
        <v>41.894365790316925</v>
      </c>
      <c r="G363" s="307"/>
    </row>
    <row r="364" spans="1:7">
      <c r="A364" s="320">
        <f t="shared" si="5"/>
        <v>43816</v>
      </c>
      <c r="B364" s="321">
        <v>18668.657754439155</v>
      </c>
      <c r="C364" s="321">
        <v>1293.8576320148384</v>
      </c>
      <c r="D364" s="321">
        <v>19962.515386453993</v>
      </c>
      <c r="E364" s="288">
        <v>56.44</v>
      </c>
      <c r="F364" s="326">
        <f>B364*(E364/100)*'Project Emission-2'!$D$15/1000</f>
        <v>39.325468727385996</v>
      </c>
      <c r="G364" s="307"/>
    </row>
    <row r="365" spans="1:7">
      <c r="A365" s="320">
        <f t="shared" si="5"/>
        <v>43817</v>
      </c>
      <c r="B365" s="321">
        <v>35426.657754439155</v>
      </c>
      <c r="C365" s="321">
        <v>2778.0077018264783</v>
      </c>
      <c r="D365" s="321">
        <v>38204.665456265633</v>
      </c>
      <c r="E365" s="288">
        <v>60.19</v>
      </c>
      <c r="F365" s="326">
        <f>B365*(E365/100)*'Project Emission-2'!$D$15/1000</f>
        <v>79.584470980355107</v>
      </c>
      <c r="G365" s="307"/>
    </row>
    <row r="366" spans="1:7">
      <c r="A366" s="320">
        <f t="shared" si="5"/>
        <v>43818</v>
      </c>
      <c r="B366" s="321">
        <v>19787.657754439155</v>
      </c>
      <c r="C366" s="321">
        <v>2915.0215559802486</v>
      </c>
      <c r="D366" s="321">
        <v>22702.679310419404</v>
      </c>
      <c r="E366" s="288">
        <v>59.98</v>
      </c>
      <c r="F366" s="326">
        <f>B366*(E366/100)*'Project Emission-2'!$D$15/1000</f>
        <v>44.297035246002636</v>
      </c>
      <c r="G366" s="307"/>
    </row>
    <row r="367" spans="1:7">
      <c r="A367" s="320">
        <f t="shared" si="5"/>
        <v>43819</v>
      </c>
      <c r="B367" s="321">
        <v>20366.657754439155</v>
      </c>
      <c r="C367" s="321">
        <v>3339.0644330692885</v>
      </c>
      <c r="D367" s="321">
        <v>23705.722187508443</v>
      </c>
      <c r="E367" s="288">
        <v>59.35</v>
      </c>
      <c r="F367" s="326">
        <f>B367*(E367/100)*'Project Emission-2'!$D$15/1000</f>
        <v>45.114307713222786</v>
      </c>
      <c r="G367" s="307"/>
    </row>
    <row r="368" spans="1:7">
      <c r="A368" s="320">
        <f t="shared" si="5"/>
        <v>43820</v>
      </c>
      <c r="B368" s="321">
        <v>20360.657754439155</v>
      </c>
      <c r="C368" s="321">
        <v>3409.0715118339886</v>
      </c>
      <c r="D368" s="321">
        <v>23769.729266273142</v>
      </c>
      <c r="E368" s="288">
        <v>59.29</v>
      </c>
      <c r="F368" s="326">
        <f>B368*(E368/100)*'Project Emission-2'!$D$15/1000</f>
        <v>45.055422114152954</v>
      </c>
      <c r="G368" s="307"/>
    </row>
    <row r="369" spans="1:7">
      <c r="A369" s="320">
        <f t="shared" si="5"/>
        <v>43821</v>
      </c>
      <c r="B369" s="321">
        <v>24710.657754439155</v>
      </c>
      <c r="C369" s="321">
        <v>2854.0153873424383</v>
      </c>
      <c r="D369" s="321">
        <v>27564.673141781594</v>
      </c>
      <c r="E369" s="288">
        <v>57.25</v>
      </c>
      <c r="F369" s="326">
        <f>B369*(E369/100)*'Project Emission-2'!$D$15/1000</f>
        <v>52.799961442428533</v>
      </c>
      <c r="G369" s="307"/>
    </row>
    <row r="370" spans="1:7">
      <c r="A370" s="320">
        <f t="shared" si="5"/>
        <v>43822</v>
      </c>
      <c r="B370" s="321">
        <v>23756.657754439155</v>
      </c>
      <c r="C370" s="321">
        <v>1956.9246780290684</v>
      </c>
      <c r="D370" s="321">
        <v>25713.582432468222</v>
      </c>
      <c r="E370" s="288">
        <v>58.04</v>
      </c>
      <c r="F370" s="326">
        <f>B370*(E370/100)*'Project Emission-2'!$D$15/1000</f>
        <v>51.461987334982993</v>
      </c>
      <c r="G370" s="307"/>
    </row>
    <row r="371" spans="1:7">
      <c r="A371" s="320">
        <f t="shared" si="5"/>
        <v>43823</v>
      </c>
      <c r="B371" s="321">
        <v>23099.657754439155</v>
      </c>
      <c r="C371" s="321">
        <v>1720.9008124795084</v>
      </c>
      <c r="D371" s="321">
        <v>24820.558566918662</v>
      </c>
      <c r="E371" s="288">
        <v>58.37</v>
      </c>
      <c r="F371" s="326">
        <f>B371*(E371/100)*'Project Emission-2'!$D$15/1000</f>
        <v>50.323292436274613</v>
      </c>
      <c r="G371" s="307"/>
    </row>
    <row r="372" spans="1:7">
      <c r="A372" s="320">
        <f t="shared" si="5"/>
        <v>43824</v>
      </c>
      <c r="B372" s="321">
        <v>23634.657754439155</v>
      </c>
      <c r="C372" s="321">
        <v>3561.0868828659086</v>
      </c>
      <c r="D372" s="321">
        <v>27195.744637305062</v>
      </c>
      <c r="E372" s="288">
        <v>59.95</v>
      </c>
      <c r="F372" s="326">
        <f>B372*(E372/100)*'Project Emission-2'!$D$15/1000</f>
        <v>52.882540893855833</v>
      </c>
      <c r="G372" s="307"/>
    </row>
    <row r="373" spans="1:7">
      <c r="A373" s="320">
        <f t="shared" si="5"/>
        <v>43825</v>
      </c>
      <c r="B373" s="321">
        <v>23418.657754439155</v>
      </c>
      <c r="C373" s="321">
        <v>3171.0474440340085</v>
      </c>
      <c r="D373" s="321">
        <v>26589.705198473162</v>
      </c>
      <c r="E373" s="288">
        <v>58.68</v>
      </c>
      <c r="F373" s="326">
        <f>B373*(E373/100)*'Project Emission-2'!$D$15/1000</f>
        <v>51.289198645186097</v>
      </c>
      <c r="G373" s="307"/>
    </row>
    <row r="374" spans="1:7">
      <c r="A374" s="320">
        <f t="shared" si="5"/>
        <v>43826</v>
      </c>
      <c r="B374" s="321">
        <v>24239.657754439155</v>
      </c>
      <c r="C374" s="321">
        <v>3396.0701972062584</v>
      </c>
      <c r="D374" s="321">
        <v>27635.727951645415</v>
      </c>
      <c r="E374" s="288">
        <v>60.36</v>
      </c>
      <c r="F374" s="326">
        <f>B374*(E374/100)*'Project Emission-2'!$D$15/1000</f>
        <v>54.607151573688121</v>
      </c>
      <c r="G374" s="307"/>
    </row>
    <row r="375" spans="1:7">
      <c r="A375" s="320">
        <f t="shared" si="5"/>
        <v>43827</v>
      </c>
      <c r="B375" s="321">
        <v>24179.657754439155</v>
      </c>
      <c r="C375" s="321">
        <v>2712.0010275626182</v>
      </c>
      <c r="D375" s="321">
        <v>26891.658782001774</v>
      </c>
      <c r="E375" s="288">
        <v>58.44</v>
      </c>
      <c r="F375" s="326">
        <f>B375*(E375/100)*'Project Emission-2'!$D$15/1000</f>
        <v>52.739276221487884</v>
      </c>
      <c r="G375" s="307"/>
    </row>
    <row r="376" spans="1:7">
      <c r="A376" s="320">
        <f t="shared" si="5"/>
        <v>43828</v>
      </c>
      <c r="B376" s="321">
        <v>23084.657754439155</v>
      </c>
      <c r="C376" s="321">
        <v>2852.0151850920183</v>
      </c>
      <c r="D376" s="321">
        <v>25936.672939531174</v>
      </c>
      <c r="E376" s="288">
        <v>58.3</v>
      </c>
      <c r="F376" s="326">
        <f>B376*(E376/100)*'Project Emission-2'!$D$15/1000</f>
        <v>50.230303661778649</v>
      </c>
      <c r="G376" s="307"/>
    </row>
    <row r="377" spans="1:7">
      <c r="A377" s="320">
        <f t="shared" si="5"/>
        <v>43829</v>
      </c>
      <c r="B377" s="321">
        <v>22428.657754439155</v>
      </c>
      <c r="C377" s="321">
        <v>2069.9361051777983</v>
      </c>
      <c r="D377" s="321">
        <v>24498.593859616954</v>
      </c>
      <c r="E377" s="288">
        <v>59.63</v>
      </c>
      <c r="F377" s="326">
        <f>B377*(E377/100)*'Project Emission-2'!$D$15/1000</f>
        <v>49.916244345202536</v>
      </c>
      <c r="G377" s="307"/>
    </row>
    <row r="378" spans="1:7">
      <c r="A378" s="317" t="s">
        <v>321</v>
      </c>
      <c r="B378" s="322">
        <f>SUM(B347:B377)</f>
        <v>675864.39038761391</v>
      </c>
      <c r="C378" s="322">
        <f>SUM(C347:C377)</f>
        <v>83757.235716329</v>
      </c>
      <c r="D378" s="322">
        <v>759621.62610394286</v>
      </c>
      <c r="E378" s="323">
        <f>AVERAGE(E347:E377)</f>
        <v>59.632903225806459</v>
      </c>
      <c r="F378" s="327">
        <f>SUM(F347:F377)</f>
        <v>1504.2976903194037</v>
      </c>
      <c r="G378" s="307"/>
    </row>
  </sheetData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44BDD-AB87-4793-B16F-3AD24C39C001}">
  <dimension ref="A1:G340"/>
  <sheetViews>
    <sheetView showGridLines="0" tabSelected="1" zoomScaleNormal="100" workbookViewId="0">
      <selection activeCell="D2" sqref="D2"/>
    </sheetView>
  </sheetViews>
  <sheetFormatPr defaultColWidth="9.23046875" defaultRowHeight="14.5"/>
  <cols>
    <col min="1" max="1" width="17.3828125" style="283" bestFit="1" customWidth="1"/>
    <col min="2" max="4" width="11.84375" style="324" customWidth="1"/>
    <col min="5" max="5" width="8.15234375" style="283" bestFit="1" customWidth="1"/>
    <col min="6" max="6" width="9.23046875" style="283"/>
    <col min="7" max="10" width="8.15234375" style="283" bestFit="1" customWidth="1"/>
    <col min="11" max="12" width="8" style="283" bestFit="1" customWidth="1"/>
    <col min="13" max="16384" width="9.23046875" style="283"/>
  </cols>
  <sheetData>
    <row r="1" spans="1:7" ht="34.5">
      <c r="A1" s="317" t="s">
        <v>322</v>
      </c>
      <c r="B1" s="317" t="s">
        <v>323</v>
      </c>
      <c r="C1" s="357" t="s">
        <v>324</v>
      </c>
      <c r="D1" s="357" t="s">
        <v>362</v>
      </c>
      <c r="E1" s="318" t="s">
        <v>325</v>
      </c>
      <c r="F1" s="319" t="s">
        <v>327</v>
      </c>
    </row>
    <row r="2" spans="1:7">
      <c r="A2" s="320">
        <v>43830</v>
      </c>
      <c r="B2" s="321">
        <v>25095.317716304486</v>
      </c>
      <c r="C2" s="321">
        <v>1452.8189532530646</v>
      </c>
      <c r="D2" s="321">
        <v>26548.136669557549</v>
      </c>
      <c r="E2" s="288">
        <v>58.16</v>
      </c>
      <c r="F2" s="326">
        <f>B2*(E2/100)*'Project Emission-2'!$D$15/1000</f>
        <v>54.474205508635748</v>
      </c>
      <c r="G2" s="307"/>
    </row>
    <row r="3" spans="1:7">
      <c r="A3" s="320">
        <f>A2+1</f>
        <v>43831</v>
      </c>
      <c r="B3" s="321">
        <v>18824.317716304486</v>
      </c>
      <c r="C3" s="321">
        <v>2502.9251347235645</v>
      </c>
      <c r="D3" s="321">
        <v>21327.242851028052</v>
      </c>
      <c r="E3" s="288">
        <v>57.49</v>
      </c>
      <c r="F3" s="326">
        <f>B3*(E3/100)*'Project Emission-2'!$D$15/1000</f>
        <v>40.391070309440231</v>
      </c>
      <c r="G3" s="307"/>
    </row>
    <row r="4" spans="1:7">
      <c r="A4" s="320">
        <f t="shared" ref="A4:A67" si="0">A3+1</f>
        <v>43832</v>
      </c>
      <c r="B4" s="321">
        <v>25955.317716304486</v>
      </c>
      <c r="C4" s="321">
        <v>3508.0267655596149</v>
      </c>
      <c r="D4" s="321">
        <v>29463.3444818641</v>
      </c>
      <c r="E4" s="288">
        <v>59.56</v>
      </c>
      <c r="F4" s="326">
        <f>B4*(E4/100)*'Project Emission-2'!$D$15/1000</f>
        <v>57.697214540141417</v>
      </c>
      <c r="G4" s="307"/>
    </row>
    <row r="5" spans="1:7">
      <c r="A5" s="320">
        <f t="shared" si="0"/>
        <v>43833</v>
      </c>
      <c r="B5" s="321">
        <v>25293.317716304486</v>
      </c>
      <c r="C5" s="321">
        <v>3225.9982482503947</v>
      </c>
      <c r="D5" s="321">
        <v>28519.31596455488</v>
      </c>
      <c r="E5" s="288">
        <v>59.79</v>
      </c>
      <c r="F5" s="326">
        <f>B5*(E5/100)*'Project Emission-2'!$D$15/1000</f>
        <v>56.44274950132769</v>
      </c>
      <c r="G5" s="307"/>
    </row>
    <row r="6" spans="1:7">
      <c r="A6" s="320">
        <f t="shared" si="0"/>
        <v>43834</v>
      </c>
      <c r="B6" s="321">
        <v>24164.317716304486</v>
      </c>
      <c r="C6" s="321">
        <v>3846.0609458805948</v>
      </c>
      <c r="D6" s="321">
        <v>28010.378662185081</v>
      </c>
      <c r="E6" s="288">
        <v>62.1</v>
      </c>
      <c r="F6" s="326">
        <f>B6*(E6/100)*'Project Emission-2'!$D$15/1000</f>
        <v>56.006695096227169</v>
      </c>
      <c r="G6" s="307"/>
    </row>
    <row r="7" spans="1:7">
      <c r="A7" s="320">
        <f t="shared" si="0"/>
        <v>43835</v>
      </c>
      <c r="B7" s="321">
        <v>24408.317716304486</v>
      </c>
      <c r="C7" s="321">
        <v>4102.0868339343551</v>
      </c>
      <c r="D7" s="321">
        <v>28510.40455023884</v>
      </c>
      <c r="E7" s="288">
        <v>61.27</v>
      </c>
      <c r="F7" s="326">
        <f>B7*(E7/100)*'Project Emission-2'!$D$15/1000</f>
        <v>55.816106259214749</v>
      </c>
      <c r="G7" s="307"/>
    </row>
    <row r="8" spans="1:7">
      <c r="A8" s="320">
        <f t="shared" si="0"/>
        <v>43836</v>
      </c>
      <c r="B8" s="321">
        <v>21999.317716304486</v>
      </c>
      <c r="C8" s="321">
        <v>2595.9345393680946</v>
      </c>
      <c r="D8" s="321">
        <v>24595.252255672582</v>
      </c>
      <c r="E8" s="288">
        <v>59.58</v>
      </c>
      <c r="F8" s="326">
        <f>B8*(E8/100)*'Project Emission-2'!$D$15/1000</f>
        <v>48.919670078036702</v>
      </c>
      <c r="G8" s="307"/>
    </row>
    <row r="9" spans="1:7">
      <c r="A9" s="320">
        <f t="shared" si="0"/>
        <v>43837</v>
      </c>
      <c r="B9" s="321">
        <v>25665.317716304486</v>
      </c>
      <c r="C9" s="321">
        <v>2370.9117861958448</v>
      </c>
      <c r="D9" s="321">
        <v>28036.22950250033</v>
      </c>
      <c r="E9" s="288">
        <v>58.14</v>
      </c>
      <c r="F9" s="326">
        <f>B9*(E9/100)*'Project Emission-2'!$D$15/1000</f>
        <v>55.692341938644134</v>
      </c>
      <c r="G9" s="307"/>
    </row>
    <row r="10" spans="1:7">
      <c r="A10" s="320">
        <f t="shared" si="0"/>
        <v>43838</v>
      </c>
      <c r="B10" s="321">
        <v>25667.317716304486</v>
      </c>
      <c r="C10" s="321">
        <v>3635.0396084612848</v>
      </c>
      <c r="D10" s="321">
        <v>29302.35732476577</v>
      </c>
      <c r="E10" s="288">
        <v>60.98</v>
      </c>
      <c r="F10" s="326">
        <f>B10*(E10/100)*'Project Emission-2'!$D$15/1000</f>
        <v>58.417331578563093</v>
      </c>
      <c r="G10" s="307"/>
    </row>
    <row r="11" spans="1:7">
      <c r="A11" s="320">
        <f t="shared" si="0"/>
        <v>43839</v>
      </c>
      <c r="B11" s="321">
        <v>23591.317716304486</v>
      </c>
      <c r="C11" s="321">
        <v>3430.0188777932349</v>
      </c>
      <c r="D11" s="321">
        <v>27021.33659409772</v>
      </c>
      <c r="E11" s="288">
        <v>61.87</v>
      </c>
      <c r="F11" s="326">
        <f>B11*(E11/100)*'Project Emission-2'!$D$15/1000</f>
        <v>54.47611452056465</v>
      </c>
      <c r="G11" s="307"/>
    </row>
    <row r="12" spans="1:7">
      <c r="A12" s="320">
        <f t="shared" si="0"/>
        <v>43840</v>
      </c>
      <c r="B12" s="321">
        <v>24425.317716304486</v>
      </c>
      <c r="C12" s="321">
        <v>3667.0428444680047</v>
      </c>
      <c r="D12" s="321">
        <v>28092.360560772489</v>
      </c>
      <c r="E12" s="288">
        <v>60.77</v>
      </c>
      <c r="F12" s="326">
        <f>B12*(E12/100)*'Project Emission-2'!$D$15/1000</f>
        <v>55.399171083005825</v>
      </c>
      <c r="G12" s="307"/>
    </row>
    <row r="13" spans="1:7">
      <c r="A13" s="320">
        <f t="shared" si="0"/>
        <v>43841</v>
      </c>
      <c r="B13" s="321">
        <v>24487.317716304486</v>
      </c>
      <c r="C13" s="321">
        <v>3899.0663055167247</v>
      </c>
      <c r="D13" s="321">
        <v>28386.38402182121</v>
      </c>
      <c r="E13" s="288">
        <v>58.37</v>
      </c>
      <c r="F13" s="326">
        <f>B13*(E13/100)*'Project Emission-2'!$D$15/1000</f>
        <v>53.346350994345194</v>
      </c>
      <c r="G13" s="307"/>
    </row>
    <row r="14" spans="1:7">
      <c r="A14" s="320">
        <f t="shared" si="0"/>
        <v>43842</v>
      </c>
      <c r="B14" s="321">
        <v>24783.317716304486</v>
      </c>
      <c r="C14" s="413">
        <v>4009.3131456188244</v>
      </c>
      <c r="D14" s="356">
        <v>28792.63086192331</v>
      </c>
      <c r="E14" s="288">
        <v>60.96</v>
      </c>
      <c r="F14" s="326">
        <f>B14*(E14/100)*'Project Emission-2'!$D$15/1000</f>
        <v>56.38689903403499</v>
      </c>
      <c r="G14" s="307"/>
    </row>
    <row r="15" spans="1:7">
      <c r="A15" s="320">
        <f t="shared" si="0"/>
        <v>43843</v>
      </c>
      <c r="B15" s="321">
        <v>24406.317716304486</v>
      </c>
      <c r="C15" s="321">
        <v>3288.0045180134148</v>
      </c>
      <c r="D15" s="321">
        <v>27694.3222343179</v>
      </c>
      <c r="E15" s="288">
        <v>60.61</v>
      </c>
      <c r="F15" s="326">
        <f>B15*(E15/100)*'Project Emission-2'!$D$15/1000</f>
        <v>55.210331297868159</v>
      </c>
      <c r="G15" s="307"/>
    </row>
    <row r="16" spans="1:7">
      <c r="A16" s="320">
        <f t="shared" si="0"/>
        <v>43844</v>
      </c>
      <c r="B16" s="321">
        <v>22776.317716304486</v>
      </c>
      <c r="C16" s="321">
        <v>2584.9334269907845</v>
      </c>
      <c r="D16" s="321">
        <v>25361.251143295271</v>
      </c>
      <c r="E16" s="288">
        <v>57.33</v>
      </c>
      <c r="F16" s="326">
        <f>B16*(E16/100)*'Project Emission-2'!$D$15/1000</f>
        <v>48.734808376103672</v>
      </c>
      <c r="G16" s="307"/>
    </row>
    <row r="17" spans="1:7">
      <c r="A17" s="320">
        <f t="shared" si="0"/>
        <v>43845</v>
      </c>
      <c r="B17" s="321">
        <v>21418.317716304486</v>
      </c>
      <c r="C17" s="321">
        <v>3673.0434512192646</v>
      </c>
      <c r="D17" s="321">
        <v>25091.361167523752</v>
      </c>
      <c r="E17" s="288">
        <v>58.21</v>
      </c>
      <c r="F17" s="326">
        <f>B17*(E17/100)*'Project Emission-2'!$D$15/1000</f>
        <v>46.532540551128925</v>
      </c>
      <c r="G17" s="307"/>
    </row>
    <row r="18" spans="1:7">
      <c r="A18" s="320">
        <f t="shared" si="0"/>
        <v>43846</v>
      </c>
      <c r="B18" s="321">
        <v>26103.317716304486</v>
      </c>
      <c r="C18" s="321">
        <v>3967.0731820310048</v>
      </c>
      <c r="D18" s="321">
        <v>30070.390898335492</v>
      </c>
      <c r="E18" s="288">
        <v>58.07</v>
      </c>
      <c r="F18" s="326">
        <f>B18*(E18/100)*'Project Emission-2'!$D$15/1000</f>
        <v>56.574580729805689</v>
      </c>
      <c r="G18" s="307"/>
    </row>
    <row r="19" spans="1:7">
      <c r="A19" s="320">
        <f t="shared" si="0"/>
        <v>43847</v>
      </c>
      <c r="B19" s="321">
        <v>26139.317716304486</v>
      </c>
      <c r="C19" s="321">
        <v>3762.0524513629548</v>
      </c>
      <c r="D19" s="321">
        <v>29901.370167667439</v>
      </c>
      <c r="E19" s="288">
        <v>57.83</v>
      </c>
      <c r="F19" s="326">
        <f>B19*(E19/100)*'Project Emission-2'!$D$15/1000</f>
        <v>56.418462730113497</v>
      </c>
      <c r="G19" s="307"/>
    </row>
    <row r="20" spans="1:7">
      <c r="A20" s="320">
        <f t="shared" si="0"/>
        <v>43848</v>
      </c>
      <c r="B20" s="321">
        <v>26151.317716304486</v>
      </c>
      <c r="C20" s="321">
        <v>3361.0119001537446</v>
      </c>
      <c r="D20" s="321">
        <v>29512.329616458232</v>
      </c>
      <c r="E20" s="288">
        <v>58.13</v>
      </c>
      <c r="F20" s="326">
        <f>B20*(E20/100)*'Project Emission-2'!$D$15/1000</f>
        <v>56.73717508057284</v>
      </c>
      <c r="G20" s="307"/>
    </row>
    <row r="21" spans="1:7">
      <c r="A21" s="320">
        <f t="shared" si="0"/>
        <v>43849</v>
      </c>
      <c r="B21" s="321">
        <v>22802.317716304486</v>
      </c>
      <c r="C21" s="321">
        <v>3355.0112934024846</v>
      </c>
      <c r="D21" s="321">
        <v>26157.329009706969</v>
      </c>
      <c r="E21" s="288">
        <v>59.39</v>
      </c>
      <c r="F21" s="326">
        <f>B21*(E21/100)*'Project Emission-2'!$D$15/1000</f>
        <v>50.543594760187922</v>
      </c>
      <c r="G21" s="307"/>
    </row>
    <row r="22" spans="1:7">
      <c r="A22" s="320">
        <f t="shared" si="0"/>
        <v>43850</v>
      </c>
      <c r="B22" s="321">
        <v>26112.317716304486</v>
      </c>
      <c r="C22" s="321">
        <v>3109.9865177260344</v>
      </c>
      <c r="D22" s="321">
        <v>29222.304234030518</v>
      </c>
      <c r="E22" s="288">
        <v>61.05</v>
      </c>
      <c r="F22" s="326">
        <f>B22*(E22/100)*'Project Emission-2'!$D$15/1000</f>
        <v>59.498346730617172</v>
      </c>
      <c r="G22" s="307"/>
    </row>
    <row r="23" spans="1:7">
      <c r="A23" s="320">
        <f t="shared" si="0"/>
        <v>43851</v>
      </c>
      <c r="B23" s="321">
        <v>27620.317716304486</v>
      </c>
      <c r="C23" s="321">
        <v>2786.9538542832047</v>
      </c>
      <c r="D23" s="321">
        <v>30407.271570587691</v>
      </c>
      <c r="E23" s="288">
        <v>57.6</v>
      </c>
      <c r="F23" s="326">
        <f>B23*(E23/100)*'Project Emission-2'!$D$15/1000</f>
        <v>59.377917510014498</v>
      </c>
      <c r="G23" s="307"/>
    </row>
    <row r="24" spans="1:7">
      <c r="A24" s="320">
        <f t="shared" si="0"/>
        <v>43852</v>
      </c>
      <c r="B24" s="321">
        <v>26860.317716304486</v>
      </c>
      <c r="C24" s="321">
        <v>3430.0188777932349</v>
      </c>
      <c r="D24" s="321">
        <v>30290.33659409772</v>
      </c>
      <c r="E24" s="288">
        <v>60.25</v>
      </c>
      <c r="F24" s="326">
        <f>B24*(E24/100)*'Project Emission-2'!$D$15/1000</f>
        <v>60.400704659262011</v>
      </c>
      <c r="G24" s="307"/>
    </row>
    <row r="25" spans="1:7">
      <c r="A25" s="320">
        <f t="shared" si="0"/>
        <v>43853</v>
      </c>
      <c r="B25" s="321">
        <v>28375.317716304486</v>
      </c>
      <c r="C25" s="321">
        <v>3199.9956189949348</v>
      </c>
      <c r="D25" s="321">
        <v>31575.313335299419</v>
      </c>
      <c r="E25" s="288">
        <v>59.59</v>
      </c>
      <c r="F25" s="326">
        <f>B25*(E25/100)*'Project Emission-2'!$D$15/1000</f>
        <v>63.10851007687566</v>
      </c>
      <c r="G25" s="307"/>
    </row>
    <row r="26" spans="1:7">
      <c r="A26" s="320">
        <f t="shared" si="0"/>
        <v>43854</v>
      </c>
      <c r="B26" s="321">
        <v>21765.317716304486</v>
      </c>
      <c r="C26" s="321">
        <v>3308.0065405176147</v>
      </c>
      <c r="D26" s="321">
        <v>25073.324256822099</v>
      </c>
      <c r="E26" s="288">
        <v>59.94</v>
      </c>
      <c r="F26" s="326">
        <f>B26*(E26/100)*'Project Emission-2'!$D$15/1000</f>
        <v>48.691769601425364</v>
      </c>
      <c r="G26" s="307"/>
    </row>
    <row r="27" spans="1:7">
      <c r="A27" s="320">
        <f t="shared" si="0"/>
        <v>43855</v>
      </c>
      <c r="B27" s="321">
        <v>26422.317716304486</v>
      </c>
      <c r="C27" s="321">
        <v>3452.0211025478548</v>
      </c>
      <c r="D27" s="321">
        <v>29874.338818852339</v>
      </c>
      <c r="E27" s="288">
        <v>59.78</v>
      </c>
      <c r="F27" s="326">
        <f>B27*(E27/100)*'Project Emission-2'!$D$15/1000</f>
        <v>58.952283198998728</v>
      </c>
      <c r="G27" s="307"/>
    </row>
    <row r="28" spans="1:7">
      <c r="A28" s="320">
        <f t="shared" si="0"/>
        <v>43856</v>
      </c>
      <c r="B28" s="321">
        <v>28508.317716304486</v>
      </c>
      <c r="C28" s="321">
        <v>3357.0114956529046</v>
      </c>
      <c r="D28" s="321">
        <v>31865.329211957389</v>
      </c>
      <c r="E28" s="288">
        <v>59.54</v>
      </c>
      <c r="F28" s="326">
        <f>B28*(E28/100)*'Project Emission-2'!$D$15/1000</f>
        <v>63.351110068145751</v>
      </c>
      <c r="G28" s="307"/>
    </row>
    <row r="29" spans="1:7">
      <c r="A29" s="320">
        <f t="shared" si="0"/>
        <v>43857</v>
      </c>
      <c r="B29" s="321">
        <v>31208.317716304489</v>
      </c>
      <c r="C29" s="321">
        <v>2659.9410113815347</v>
      </c>
      <c r="D29" s="321">
        <v>33868.258727686021</v>
      </c>
      <c r="E29" s="288">
        <v>60.45</v>
      </c>
      <c r="F29" s="326">
        <f>B29*(E29/100)*'Project Emission-2'!$D$15/1000</f>
        <v>70.410993541651706</v>
      </c>
      <c r="G29" s="307"/>
    </row>
    <row r="30" spans="1:7">
      <c r="A30" s="320">
        <f t="shared" si="0"/>
        <v>43858</v>
      </c>
      <c r="B30" s="321">
        <v>31084.317716304489</v>
      </c>
      <c r="C30" s="321">
        <v>2322.9069321857646</v>
      </c>
      <c r="D30" s="321">
        <v>33407.224648490257</v>
      </c>
      <c r="E30" s="288">
        <v>57.85</v>
      </c>
      <c r="F30" s="326">
        <f>B30*(E30/100)*'Project Emission-2'!$D$15/1000</f>
        <v>67.114832590468552</v>
      </c>
      <c r="G30" s="307"/>
    </row>
    <row r="31" spans="1:7">
      <c r="A31" s="320">
        <f t="shared" si="0"/>
        <v>43859</v>
      </c>
      <c r="B31" s="321">
        <v>27702.317716304486</v>
      </c>
      <c r="C31" s="321">
        <v>3305.0062371419845</v>
      </c>
      <c r="D31" s="321">
        <v>31007.32395344647</v>
      </c>
      <c r="E31" s="288">
        <v>59.5</v>
      </c>
      <c r="F31" s="326">
        <f>B31*(E31/100)*'Project Emission-2'!$D$15/1000</f>
        <v>61.518661864289967</v>
      </c>
      <c r="G31" s="307"/>
    </row>
    <row r="32" spans="1:7">
      <c r="A32" s="320">
        <f t="shared" si="0"/>
        <v>43860</v>
      </c>
      <c r="B32" s="321">
        <v>28039.317716304486</v>
      </c>
      <c r="C32" s="321">
        <v>3375.0133159066845</v>
      </c>
      <c r="D32" s="321">
        <v>31414.331032211172</v>
      </c>
      <c r="E32" s="288">
        <v>58.68</v>
      </c>
      <c r="F32" s="326">
        <f>B32*(E32/100)*'Project Emission-2'!$D$15/1000</f>
        <v>61.408905297077609</v>
      </c>
      <c r="G32" s="307"/>
    </row>
    <row r="33" spans="1:7">
      <c r="A33" s="317" t="s">
        <v>321</v>
      </c>
      <c r="B33" s="322">
        <f>SUM(B2:B32)</f>
        <v>787855.84920543886</v>
      </c>
      <c r="C33" s="322">
        <f>SUM(C2:C32)</f>
        <v>100543.23571632901</v>
      </c>
      <c r="D33" s="322">
        <v>888399.08492176794</v>
      </c>
      <c r="E33" s="325">
        <f>+AVERAGE(E2:E32)</f>
        <v>59.446451612903232</v>
      </c>
      <c r="F33" s="327">
        <f>SUM(F2:F32)</f>
        <v>1748.0514491067893</v>
      </c>
      <c r="G33" s="307"/>
    </row>
    <row r="34" spans="1:7">
      <c r="A34" s="320">
        <f>A32+1</f>
        <v>43861</v>
      </c>
      <c r="B34" s="321">
        <v>35022.056918620117</v>
      </c>
      <c r="C34" s="321">
        <v>3172.0209887116889</v>
      </c>
      <c r="D34" s="321">
        <v>38194.077907331804</v>
      </c>
      <c r="E34" s="288">
        <v>59.21</v>
      </c>
      <c r="F34" s="326">
        <f>B34*(E34/100)*'Project Emission-2'!$D$15/1000</f>
        <v>77.39457491747325</v>
      </c>
      <c r="G34" s="307"/>
    </row>
    <row r="35" spans="1:7">
      <c r="A35" s="320">
        <f t="shared" si="0"/>
        <v>43862</v>
      </c>
      <c r="B35" s="321">
        <v>34156.056918620117</v>
      </c>
      <c r="C35" s="321">
        <v>3263.0301911057991</v>
      </c>
      <c r="D35" s="321">
        <v>37419.087109725915</v>
      </c>
      <c r="E35" s="288">
        <v>59.72</v>
      </c>
      <c r="F35" s="326">
        <f>B35*(E35/100)*'Project Emission-2'!$D$15/1000</f>
        <v>76.130965277024217</v>
      </c>
      <c r="G35" s="307"/>
    </row>
    <row r="36" spans="1:7">
      <c r="A36" s="320">
        <f t="shared" si="0"/>
        <v>43863</v>
      </c>
      <c r="B36" s="321">
        <v>32640.056918620117</v>
      </c>
      <c r="C36" s="321">
        <v>3195.023314591519</v>
      </c>
      <c r="D36" s="321">
        <v>35835.080233211636</v>
      </c>
      <c r="E36" s="288">
        <v>60.53</v>
      </c>
      <c r="F36" s="326">
        <f>B36*(E36/100)*'Project Emission-2'!$D$15/1000</f>
        <v>73.738685259900464</v>
      </c>
      <c r="G36" s="307"/>
    </row>
    <row r="37" spans="1:7">
      <c r="A37" s="320">
        <f t="shared" si="0"/>
        <v>43864</v>
      </c>
      <c r="B37" s="321">
        <v>32306.056918620117</v>
      </c>
      <c r="C37" s="321">
        <v>2414.9444369277189</v>
      </c>
      <c r="D37" s="321">
        <v>34721.001355547836</v>
      </c>
      <c r="E37" s="288">
        <v>60.9</v>
      </c>
      <c r="F37" s="326">
        <f>B37*(E37/100)*'Project Emission-2'!$D$15/1000</f>
        <v>73.430258181677559</v>
      </c>
      <c r="G37" s="307"/>
    </row>
    <row r="38" spans="1:7">
      <c r="A38" s="320">
        <f t="shared" si="0"/>
        <v>43865</v>
      </c>
      <c r="B38" s="321">
        <v>34092.056918620117</v>
      </c>
      <c r="C38" s="321">
        <v>2150.9177398722791</v>
      </c>
      <c r="D38" s="321">
        <v>36242.9746584924</v>
      </c>
      <c r="E38" s="288">
        <v>58.77</v>
      </c>
      <c r="F38" s="326">
        <f>B38*(E38/100)*'Project Emission-2'!$D$15/1000</f>
        <v>74.779525351199879</v>
      </c>
      <c r="G38" s="307"/>
    </row>
    <row r="39" spans="1:7">
      <c r="A39" s="320">
        <f t="shared" si="0"/>
        <v>43866</v>
      </c>
      <c r="B39" s="321">
        <v>34567.056918620117</v>
      </c>
      <c r="C39" s="321">
        <v>3044.0080446848092</v>
      </c>
      <c r="D39" s="321">
        <v>37611.064963304925</v>
      </c>
      <c r="E39" s="288">
        <v>58.06</v>
      </c>
      <c r="F39" s="326">
        <f>B39*(E39/100)*'Project Emission-2'!$D$15/1000</f>
        <v>74.905420246868886</v>
      </c>
      <c r="G39" s="307"/>
    </row>
    <row r="40" spans="1:7">
      <c r="A40" s="320">
        <f t="shared" si="0"/>
        <v>43867</v>
      </c>
      <c r="B40" s="321">
        <v>33683.056918620117</v>
      </c>
      <c r="C40" s="321">
        <v>3126.0163369520292</v>
      </c>
      <c r="D40" s="321">
        <v>36809.073255572148</v>
      </c>
      <c r="E40" s="288">
        <v>58.18</v>
      </c>
      <c r="F40" s="326">
        <f>B40*(E40/100)*'Project Emission-2'!$D$15/1000</f>
        <v>73.14068522517492</v>
      </c>
      <c r="G40" s="307"/>
    </row>
    <row r="41" spans="1:7">
      <c r="A41" s="320">
        <f t="shared" si="0"/>
        <v>43868</v>
      </c>
      <c r="B41" s="321">
        <v>31450.056918620117</v>
      </c>
      <c r="C41" s="321">
        <v>2869.9904488982688</v>
      </c>
      <c r="D41" s="321">
        <v>34320.047367518389</v>
      </c>
      <c r="E41" s="288">
        <v>59.49</v>
      </c>
      <c r="F41" s="326">
        <f>B41*(E41/100)*'Project Emission-2'!$D$15/1000</f>
        <v>69.829545178899522</v>
      </c>
      <c r="G41" s="307"/>
    </row>
    <row r="42" spans="1:7">
      <c r="A42" s="320">
        <f t="shared" si="0"/>
        <v>43869</v>
      </c>
      <c r="B42" s="321">
        <v>32125.056918620117</v>
      </c>
      <c r="C42" s="321">
        <v>3619.0661916805589</v>
      </c>
      <c r="D42" s="321">
        <v>35744.123110300679</v>
      </c>
      <c r="E42" s="288">
        <v>60.18</v>
      </c>
      <c r="F42" s="326">
        <f>B42*(E42/100)*'Project Emission-2'!$D$15/1000</f>
        <v>72.155575996208412</v>
      </c>
      <c r="G42" s="307"/>
    </row>
    <row r="43" spans="1:7">
      <c r="A43" s="320">
        <f t="shared" si="0"/>
        <v>43870</v>
      </c>
      <c r="B43" s="321">
        <v>33649.056918620117</v>
      </c>
      <c r="C43" s="321">
        <v>3326.0365619940289</v>
      </c>
      <c r="D43" s="321">
        <v>36975.093480614145</v>
      </c>
      <c r="E43" s="288">
        <v>61.29</v>
      </c>
      <c r="F43" s="326">
        <f>B43*(E43/100)*'Project Emission-2'!$D$15/1000</f>
        <v>76.972630177085719</v>
      </c>
      <c r="G43" s="307"/>
    </row>
    <row r="44" spans="1:7">
      <c r="A44" s="320">
        <f t="shared" si="0"/>
        <v>43871</v>
      </c>
      <c r="B44" s="321">
        <v>33503.056918620117</v>
      </c>
      <c r="C44" s="321">
        <v>2616.9648642201391</v>
      </c>
      <c r="D44" s="321">
        <v>36120.021782840253</v>
      </c>
      <c r="E44" s="288">
        <v>60.77</v>
      </c>
      <c r="F44" s="326">
        <f>B44*(E44/100)*'Project Emission-2'!$D$15/1000</f>
        <v>75.988431495380937</v>
      </c>
      <c r="G44" s="307"/>
    </row>
    <row r="45" spans="1:7">
      <c r="A45" s="320">
        <f t="shared" si="0"/>
        <v>43872</v>
      </c>
      <c r="B45" s="321">
        <v>30082.056918620117</v>
      </c>
      <c r="C45" s="321">
        <v>2188.9215826302589</v>
      </c>
      <c r="D45" s="321">
        <v>32270.978501250378</v>
      </c>
      <c r="E45" s="288">
        <v>59.46</v>
      </c>
      <c r="F45" s="326">
        <f>B45*(E45/100)*'Project Emission-2'!$D$15/1000</f>
        <v>66.758449619810051</v>
      </c>
      <c r="G45" s="307"/>
    </row>
    <row r="46" spans="1:7">
      <c r="A46" s="320">
        <f t="shared" si="0"/>
        <v>43873</v>
      </c>
      <c r="B46" s="321">
        <v>28523.056918620117</v>
      </c>
      <c r="C46" s="321">
        <v>3303.0342361141988</v>
      </c>
      <c r="D46" s="321">
        <v>31826.091154734317</v>
      </c>
      <c r="E46" s="288">
        <v>61.19</v>
      </c>
      <c r="F46" s="326">
        <f>B46*(E46/100)*'Project Emission-2'!$D$15/1000</f>
        <v>65.140386407082829</v>
      </c>
      <c r="G46" s="307"/>
    </row>
    <row r="47" spans="1:7">
      <c r="A47" s="320">
        <f t="shared" si="0"/>
        <v>43874</v>
      </c>
      <c r="B47" s="321">
        <v>27287.056918620117</v>
      </c>
      <c r="C47" s="321">
        <v>3382.0422250057891</v>
      </c>
      <c r="D47" s="321">
        <v>30669.099143625906</v>
      </c>
      <c r="E47" s="288">
        <v>61.54</v>
      </c>
      <c r="F47" s="326">
        <f>B47*(E47/100)*'Project Emission-2'!$D$15/1000</f>
        <v>62.674084292892772</v>
      </c>
      <c r="G47" s="307"/>
    </row>
    <row r="48" spans="1:7">
      <c r="A48" s="320">
        <f t="shared" si="0"/>
        <v>43875</v>
      </c>
      <c r="B48" s="321">
        <v>27098.056918620117</v>
      </c>
      <c r="C48" s="321">
        <v>3227.0265505982388</v>
      </c>
      <c r="D48" s="321">
        <v>30325.083469218356</v>
      </c>
      <c r="E48" s="288">
        <v>61.32</v>
      </c>
      <c r="F48" s="326">
        <f>B48*(E48/100)*'Project Emission-2'!$D$15/1000</f>
        <v>62.017478606031723</v>
      </c>
      <c r="G48" s="307"/>
    </row>
    <row r="49" spans="1:7">
      <c r="A49" s="320">
        <f t="shared" si="0"/>
        <v>43876</v>
      </c>
      <c r="B49" s="321">
        <v>26930.056918620117</v>
      </c>
      <c r="C49" s="321">
        <v>3078.011482941949</v>
      </c>
      <c r="D49" s="321">
        <v>30008.068401562065</v>
      </c>
      <c r="E49" s="288">
        <v>60.76</v>
      </c>
      <c r="F49" s="326">
        <f>B49*(E49/100)*'Project Emission-2'!$D$15/1000</f>
        <v>61.070130098007745</v>
      </c>
      <c r="G49" s="307"/>
    </row>
    <row r="50" spans="1:7">
      <c r="A50" s="320">
        <f t="shared" si="0"/>
        <v>43877</v>
      </c>
      <c r="B50" s="321">
        <v>27613.056918620117</v>
      </c>
      <c r="C50" s="321">
        <v>3224.0262472226091</v>
      </c>
      <c r="D50" s="321">
        <v>30837.083165842727</v>
      </c>
      <c r="E50" s="288">
        <v>61.12</v>
      </c>
      <c r="F50" s="326">
        <f>B50*(E50/100)*'Project Emission-2'!$D$15/1000</f>
        <v>62.990004929625911</v>
      </c>
      <c r="G50" s="307"/>
    </row>
    <row r="51" spans="1:7">
      <c r="A51" s="320">
        <f t="shared" si="0"/>
        <v>43878</v>
      </c>
      <c r="B51" s="321">
        <v>28973.056918620117</v>
      </c>
      <c r="C51" s="321">
        <v>3104.0141121974088</v>
      </c>
      <c r="D51" s="321">
        <v>32077.071030817526</v>
      </c>
      <c r="E51" s="288">
        <v>61.16</v>
      </c>
      <c r="F51" s="326">
        <f>B51*(E51/100)*'Project Emission-2'!$D$15/1000</f>
        <v>66.135646761121109</v>
      </c>
      <c r="G51" s="307"/>
    </row>
    <row r="52" spans="1:7">
      <c r="A52" s="320">
        <f t="shared" si="0"/>
        <v>43879</v>
      </c>
      <c r="B52" s="321">
        <v>27952.056918620117</v>
      </c>
      <c r="C52" s="321">
        <v>2478.950908941159</v>
      </c>
      <c r="D52" s="321">
        <v>30431.007827561276</v>
      </c>
      <c r="E52" s="288">
        <v>59.27</v>
      </c>
      <c r="F52" s="326">
        <f>B52*(E52/100)*'Project Emission-2'!$D$15/1000</f>
        <v>61.833311785997445</v>
      </c>
      <c r="G52" s="307"/>
    </row>
    <row r="53" spans="1:7">
      <c r="A53" s="320">
        <f t="shared" si="0"/>
        <v>43880</v>
      </c>
      <c r="B53" s="321">
        <v>27216.056918620117</v>
      </c>
      <c r="C53" s="321">
        <v>2827.9862016394491</v>
      </c>
      <c r="D53" s="321">
        <v>30044.043120259565</v>
      </c>
      <c r="E53" s="288">
        <v>59.08</v>
      </c>
      <c r="F53" s="326">
        <f>B53*(E53/100)*'Project Emission-2'!$D$15/1000</f>
        <v>60.012193351335647</v>
      </c>
      <c r="G53" s="307"/>
    </row>
    <row r="54" spans="1:7">
      <c r="A54" s="320">
        <f t="shared" si="0"/>
        <v>43881</v>
      </c>
      <c r="B54" s="321">
        <v>27186.056918620117</v>
      </c>
      <c r="C54" s="321">
        <v>3264.0302922310088</v>
      </c>
      <c r="D54" s="321">
        <v>30450.087210851125</v>
      </c>
      <c r="E54" s="288">
        <v>58.72</v>
      </c>
      <c r="F54" s="326">
        <f>B54*(E54/100)*'Project Emission-2'!$D$15/1000</f>
        <v>59.580765311373263</v>
      </c>
      <c r="G54" s="307"/>
    </row>
    <row r="55" spans="1:7">
      <c r="A55" s="320">
        <f t="shared" si="0"/>
        <v>43882</v>
      </c>
      <c r="B55" s="321">
        <v>26502.056918620117</v>
      </c>
      <c r="C55" s="321">
        <v>3240.027865225969</v>
      </c>
      <c r="D55" s="321">
        <v>29742.084783846087</v>
      </c>
      <c r="E55" s="288">
        <v>58.2</v>
      </c>
      <c r="F55" s="326">
        <f>B55*(E55/100)*'Project Emission-2'!$D$15/1000</f>
        <v>57.567368248586078</v>
      </c>
      <c r="G55" s="307"/>
    </row>
    <row r="56" spans="1:7">
      <c r="A56" s="320">
        <f t="shared" si="0"/>
        <v>43883</v>
      </c>
      <c r="B56" s="321">
        <v>27020.056918620117</v>
      </c>
      <c r="C56" s="356">
        <v>3491.288963982679</v>
      </c>
      <c r="D56" s="356">
        <v>30511.345882602796</v>
      </c>
      <c r="E56" s="288">
        <v>59.36</v>
      </c>
      <c r="F56" s="326">
        <f>B56*(E56/100)*'Project Emission-2'!$D$15/1000</f>
        <v>59.862377382194033</v>
      </c>
      <c r="G56" s="307"/>
    </row>
    <row r="57" spans="1:7">
      <c r="A57" s="320">
        <f t="shared" si="0"/>
        <v>43884</v>
      </c>
      <c r="B57" s="321">
        <v>26946.056918620117</v>
      </c>
      <c r="C57" s="321">
        <v>2865.9900443974288</v>
      </c>
      <c r="D57" s="321">
        <v>29812.046963017547</v>
      </c>
      <c r="E57" s="288">
        <v>60.85</v>
      </c>
      <c r="F57" s="326">
        <f>B57*(E57/100)*'Project Emission-2'!$D$15/1000</f>
        <v>61.196926918253347</v>
      </c>
      <c r="G57" s="307"/>
    </row>
    <row r="58" spans="1:7">
      <c r="A58" s="320">
        <f t="shared" si="0"/>
        <v>43885</v>
      </c>
      <c r="B58" s="321">
        <v>26481.056918620117</v>
      </c>
      <c r="C58" s="321">
        <v>2633.9665833487088</v>
      </c>
      <c r="D58" s="321">
        <v>29115.023501968826</v>
      </c>
      <c r="E58" s="288">
        <v>59.78</v>
      </c>
      <c r="F58" s="326">
        <f>B58*(E58/100)*'Project Emission-2'!$D$15/1000</f>
        <v>59.083339457082317</v>
      </c>
      <c r="G58" s="307"/>
    </row>
    <row r="59" spans="1:7">
      <c r="A59" s="320">
        <f t="shared" si="0"/>
        <v>43886</v>
      </c>
      <c r="B59" s="321">
        <v>26711.056918620117</v>
      </c>
      <c r="C59" s="321">
        <v>2061.9087397285889</v>
      </c>
      <c r="D59" s="321">
        <v>28772.965658348705</v>
      </c>
      <c r="E59" s="288">
        <v>58.58</v>
      </c>
      <c r="F59" s="326">
        <f>B59*(E59/100)*'Project Emission-2'!$D$15/1000</f>
        <v>58.400188484436249</v>
      </c>
      <c r="G59" s="307"/>
    </row>
    <row r="60" spans="1:7">
      <c r="A60" s="320">
        <f t="shared" si="0"/>
        <v>43887</v>
      </c>
      <c r="B60" s="321">
        <v>26333.056918620117</v>
      </c>
      <c r="C60" s="321">
        <v>2907.9942916562491</v>
      </c>
      <c r="D60" s="321">
        <v>29241.051210276368</v>
      </c>
      <c r="E60" s="288">
        <v>59.48</v>
      </c>
      <c r="F60" s="326">
        <f>B60*(E60/100)*'Project Emission-2'!$D$15/1000</f>
        <v>58.458281786951879</v>
      </c>
      <c r="G60" s="307"/>
    </row>
    <row r="61" spans="1:7">
      <c r="A61" s="320">
        <f t="shared" si="0"/>
        <v>43888</v>
      </c>
      <c r="B61" s="321">
        <v>26251.056918620117</v>
      </c>
      <c r="C61" s="321">
        <v>3088.0124941940489</v>
      </c>
      <c r="D61" s="321">
        <v>29339.069412814166</v>
      </c>
      <c r="E61" s="288">
        <v>59.49</v>
      </c>
      <c r="F61" s="326">
        <f>B61*(E61/100)*'Project Emission-2'!$D$15/1000</f>
        <v>58.286042846789059</v>
      </c>
      <c r="G61" s="307"/>
    </row>
    <row r="62" spans="1:7">
      <c r="A62" s="320">
        <f>A61+1</f>
        <v>43889</v>
      </c>
      <c r="B62" s="321">
        <v>26823.227426048932</v>
      </c>
      <c r="C62" s="321">
        <v>2803.9837746344092</v>
      </c>
      <c r="D62" s="321">
        <v>29627.211200683341</v>
      </c>
      <c r="E62" s="288">
        <v>58.72</v>
      </c>
      <c r="F62" s="326">
        <f>B62*(E62/100)*'Project Emission-2'!$D$15/1000</f>
        <v>58.785590825068027</v>
      </c>
      <c r="G62" s="307"/>
    </row>
    <row r="63" spans="1:7">
      <c r="A63" s="317" t="s">
        <v>321</v>
      </c>
      <c r="B63" s="322">
        <f>SUM(B34:B62)</f>
        <v>859121.82114741253</v>
      </c>
      <c r="C63" s="322">
        <f>SUM(C34:C62)</f>
        <v>85969.235716328971</v>
      </c>
      <c r="D63" s="322">
        <v>945091.05686374148</v>
      </c>
      <c r="E63" s="325">
        <f>+AVERAGE(E34:E62)</f>
        <v>59.833793103448272</v>
      </c>
      <c r="F63" s="327">
        <f>SUM(F34:F62)</f>
        <v>1918.3188644195329</v>
      </c>
      <c r="G63" s="307"/>
    </row>
    <row r="64" spans="1:7">
      <c r="A64" s="320">
        <f>A62+1</f>
        <v>43890</v>
      </c>
      <c r="B64" s="321">
        <v>19782.216554663322</v>
      </c>
      <c r="C64" s="321">
        <v>2868.9527321195842</v>
      </c>
      <c r="D64" s="321">
        <v>22651.169286782908</v>
      </c>
      <c r="E64" s="288">
        <v>58.26</v>
      </c>
      <c r="F64" s="326">
        <f>B64*(E64/100)*'Project Emission-2'!$D$15/1000</f>
        <v>43.014932001452927</v>
      </c>
      <c r="G64" s="307"/>
    </row>
    <row r="65" spans="1:7">
      <c r="A65" s="320">
        <f t="shared" si="0"/>
        <v>43891</v>
      </c>
      <c r="B65" s="321">
        <v>19686.216554663322</v>
      </c>
      <c r="C65" s="321">
        <v>2863.952226493534</v>
      </c>
      <c r="D65" s="321">
        <v>22550.168781156855</v>
      </c>
      <c r="E65" s="288">
        <v>57.71</v>
      </c>
      <c r="F65" s="326">
        <f>B65*(E65/100)*'Project Emission-2'!$D$15/1000</f>
        <v>42.402078053230106</v>
      </c>
      <c r="G65" s="307"/>
    </row>
    <row r="66" spans="1:7">
      <c r="A66" s="320">
        <f t="shared" si="0"/>
        <v>43892</v>
      </c>
      <c r="B66" s="321">
        <v>22550.216554663322</v>
      </c>
      <c r="C66" s="321">
        <v>1949.8597980515942</v>
      </c>
      <c r="D66" s="321">
        <v>24500.076352714917</v>
      </c>
      <c r="E66" s="288">
        <v>56.84</v>
      </c>
      <c r="F66" s="326">
        <f>B66*(E66/100)*'Project Emission-2'!$D$15/1000</f>
        <v>47.838614679717502</v>
      </c>
      <c r="G66" s="307"/>
    </row>
    <row r="67" spans="1:7">
      <c r="A67" s="320">
        <f t="shared" si="0"/>
        <v>43893</v>
      </c>
      <c r="B67" s="321">
        <v>20454.216554663322</v>
      </c>
      <c r="C67" s="321">
        <v>1889.8537305389941</v>
      </c>
      <c r="D67" s="321">
        <v>22344.070285202317</v>
      </c>
      <c r="E67" s="288">
        <v>57.77</v>
      </c>
      <c r="F67" s="326">
        <f>B67*(E67/100)*'Project Emission-2'!$D$15/1000</f>
        <v>44.102075239779772</v>
      </c>
      <c r="G67" s="307"/>
    </row>
    <row r="68" spans="1:7">
      <c r="A68" s="320">
        <f t="shared" ref="A68:A131" si="1">A67+1</f>
        <v>43894</v>
      </c>
      <c r="B68" s="321">
        <v>19874.216554663322</v>
      </c>
      <c r="C68" s="321">
        <v>3476.0141151220541</v>
      </c>
      <c r="D68" s="321">
        <v>23350.230669785378</v>
      </c>
      <c r="E68" s="288">
        <v>59.08</v>
      </c>
      <c r="F68" s="326">
        <f>B68*(E68/100)*'Project Emission-2'!$D$15/1000</f>
        <v>43.823222818467045</v>
      </c>
      <c r="G68" s="307"/>
    </row>
    <row r="69" spans="1:7">
      <c r="A69" s="320">
        <f t="shared" si="1"/>
        <v>43895</v>
      </c>
      <c r="B69" s="321">
        <v>14013.21655466332</v>
      </c>
      <c r="C69" s="321">
        <v>3514.0179578800344</v>
      </c>
      <c r="D69" s="321">
        <v>17527.234512543357</v>
      </c>
      <c r="E69" s="288">
        <v>59.62</v>
      </c>
      <c r="F69" s="326">
        <f>B69*(E69/100)*'Project Emission-2'!$D$15/1000</f>
        <v>31.18197462788206</v>
      </c>
      <c r="G69" s="307"/>
    </row>
    <row r="70" spans="1:7">
      <c r="A70" s="320">
        <f t="shared" si="1"/>
        <v>43896</v>
      </c>
      <c r="B70" s="321">
        <v>14485.21655466332</v>
      </c>
      <c r="C70" s="321">
        <v>3218.988125943084</v>
      </c>
      <c r="D70" s="321">
        <v>17704.204680606403</v>
      </c>
      <c r="E70" s="288">
        <v>59.86</v>
      </c>
      <c r="F70" s="326">
        <f>B70*(E70/100)*'Project Emission-2'!$D$15/1000</f>
        <v>32.362011917098698</v>
      </c>
      <c r="G70" s="307"/>
    </row>
    <row r="71" spans="1:7">
      <c r="A71" s="320">
        <f t="shared" si="1"/>
        <v>43897</v>
      </c>
      <c r="B71" s="321">
        <v>19227.216554663322</v>
      </c>
      <c r="C71" s="321">
        <v>2831.9489904868142</v>
      </c>
      <c r="D71" s="321">
        <v>22059.165545150136</v>
      </c>
      <c r="E71" s="288">
        <v>58.78</v>
      </c>
      <c r="F71" s="326">
        <f>B71*(E71/100)*'Project Emission-2'!$D$15/1000</f>
        <v>42.181285224516373</v>
      </c>
      <c r="G71" s="307"/>
    </row>
    <row r="72" spans="1:7">
      <c r="A72" s="320">
        <f t="shared" si="1"/>
        <v>43898</v>
      </c>
      <c r="B72" s="321">
        <v>20836.216554663322</v>
      </c>
      <c r="C72" s="321">
        <v>3215.9878225674543</v>
      </c>
      <c r="D72" s="321">
        <v>24052.204377230777</v>
      </c>
      <c r="E72" s="288">
        <v>59.9</v>
      </c>
      <c r="F72" s="326">
        <f>B72*(E72/100)*'Project Emission-2'!$D$15/1000</f>
        <v>46.582146139304669</v>
      </c>
      <c r="G72" s="307"/>
    </row>
    <row r="73" spans="1:7">
      <c r="A73" s="320">
        <f t="shared" si="1"/>
        <v>43899</v>
      </c>
      <c r="B73" s="321">
        <v>21106.216554663322</v>
      </c>
      <c r="C73" s="321">
        <v>2755.9413049708542</v>
      </c>
      <c r="D73" s="321">
        <v>23862.157859634175</v>
      </c>
      <c r="E73" s="288">
        <v>61.18</v>
      </c>
      <c r="F73" s="326">
        <f>B73*(E73/100)*'Project Emission-2'!$D$15/1000</f>
        <v>48.194077432981977</v>
      </c>
      <c r="G73" s="307"/>
    </row>
    <row r="74" spans="1:7">
      <c r="A74" s="320">
        <f t="shared" si="1"/>
        <v>43900</v>
      </c>
      <c r="B74" s="321">
        <v>19540.216554663322</v>
      </c>
      <c r="C74" s="321">
        <v>2967.9627435153743</v>
      </c>
      <c r="D74" s="321">
        <v>22508.179298178697</v>
      </c>
      <c r="E74" s="288">
        <v>61.73</v>
      </c>
      <c r="F74" s="326">
        <f>B74*(E74/100)*'Project Emission-2'!$D$15/1000</f>
        <v>45.01937465543044</v>
      </c>
      <c r="G74" s="307"/>
    </row>
    <row r="75" spans="1:7">
      <c r="A75" s="320">
        <f t="shared" si="1"/>
        <v>43901</v>
      </c>
      <c r="B75" s="321">
        <v>16258.21655466332</v>
      </c>
      <c r="C75" s="321">
        <v>3883.0552730825243</v>
      </c>
      <c r="D75" s="321">
        <v>20141.271827745844</v>
      </c>
      <c r="E75" s="288">
        <v>63.09</v>
      </c>
      <c r="F75" s="326">
        <f>B75*(E75/100)*'Project Emission-2'!$D$15/1000</f>
        <v>38.283112532991481</v>
      </c>
      <c r="G75" s="307"/>
    </row>
    <row r="76" spans="1:7">
      <c r="A76" s="320">
        <f t="shared" si="1"/>
        <v>43902</v>
      </c>
      <c r="B76" s="321">
        <v>18579.216554663322</v>
      </c>
      <c r="C76" s="321">
        <v>3348.0011710951744</v>
      </c>
      <c r="D76" s="321">
        <v>21927.217725758495</v>
      </c>
      <c r="E76" s="288">
        <v>61.65</v>
      </c>
      <c r="F76" s="326">
        <f>B76*(E76/100)*'Project Emission-2'!$D$15/1000</f>
        <v>42.749819598982015</v>
      </c>
      <c r="G76" s="307"/>
    </row>
    <row r="77" spans="1:7">
      <c r="A77" s="320">
        <f t="shared" si="1"/>
        <v>43903</v>
      </c>
      <c r="B77" s="321">
        <v>19169.216554663322</v>
      </c>
      <c r="C77" s="321">
        <v>3962.0632619741141</v>
      </c>
      <c r="D77" s="321">
        <v>23131.279816637438</v>
      </c>
      <c r="E77" s="288">
        <v>64.58</v>
      </c>
      <c r="F77" s="326">
        <f>B77*(E77/100)*'Project Emission-2'!$D$15/1000</f>
        <v>46.203642301180807</v>
      </c>
      <c r="G77" s="307"/>
    </row>
    <row r="78" spans="1:7">
      <c r="A78" s="320">
        <f t="shared" si="1"/>
        <v>43904</v>
      </c>
      <c r="B78" s="321">
        <v>19397.216554663322</v>
      </c>
      <c r="C78" s="321">
        <v>3758.0426324312743</v>
      </c>
      <c r="D78" s="321">
        <v>23155.259187094598</v>
      </c>
      <c r="E78" s="288">
        <v>60.02</v>
      </c>
      <c r="F78" s="326">
        <f>B78*(E78/100)*'Project Emission-2'!$D$15/1000</f>
        <v>43.45194429758542</v>
      </c>
      <c r="G78" s="307"/>
    </row>
    <row r="79" spans="1:7">
      <c r="A79" s="320">
        <f t="shared" si="1"/>
        <v>43905</v>
      </c>
      <c r="B79" s="321">
        <v>17730.216554663322</v>
      </c>
      <c r="C79" s="321">
        <v>3989.0659923547842</v>
      </c>
      <c r="D79" s="321">
        <v>21719.282547018105</v>
      </c>
      <c r="E79" s="288">
        <v>60.48</v>
      </c>
      <c r="F79" s="326">
        <f>B79*(E79/100)*'Project Emission-2'!$D$15/1000</f>
        <v>40.022077739019899</v>
      </c>
      <c r="G79" s="307"/>
    </row>
    <row r="80" spans="1:7">
      <c r="A80" s="320">
        <f t="shared" si="1"/>
        <v>43906</v>
      </c>
      <c r="B80" s="321">
        <v>18452.216554663322</v>
      </c>
      <c r="C80" s="321">
        <v>3062.972350410324</v>
      </c>
      <c r="D80" s="321">
        <v>21515.188905073646</v>
      </c>
      <c r="E80" s="288">
        <v>60.18</v>
      </c>
      <c r="F80" s="326">
        <f>B80*(E80/100)*'Project Emission-2'!$D$15/1000</f>
        <v>41.445228168196316</v>
      </c>
      <c r="G80" s="307"/>
    </row>
    <row r="81" spans="1:7">
      <c r="A81" s="320">
        <f t="shared" si="1"/>
        <v>43907</v>
      </c>
      <c r="B81" s="321">
        <v>19598.216554663322</v>
      </c>
      <c r="C81" s="321">
        <v>2469.912383160794</v>
      </c>
      <c r="D81" s="321">
        <v>22068.128937824116</v>
      </c>
      <c r="E81" s="288">
        <v>60.12</v>
      </c>
      <c r="F81" s="326">
        <f>B81*(E81/100)*'Project Emission-2'!$D$15/1000</f>
        <v>43.975352842102708</v>
      </c>
      <c r="G81" s="307"/>
    </row>
    <row r="82" spans="1:7">
      <c r="A82" s="320">
        <f t="shared" si="1"/>
        <v>43908</v>
      </c>
      <c r="B82" s="321">
        <v>18834.216554663322</v>
      </c>
      <c r="C82" s="321">
        <v>3455.011991492644</v>
      </c>
      <c r="D82" s="321">
        <v>22289.228546155966</v>
      </c>
      <c r="E82" s="288">
        <v>60.88</v>
      </c>
      <c r="F82" s="326">
        <f>B82*(E82/100)*'Project Emission-2'!$D$15/1000</f>
        <v>42.795293777092972</v>
      </c>
      <c r="G82" s="307"/>
    </row>
    <row r="83" spans="1:7">
      <c r="A83" s="320">
        <f t="shared" si="1"/>
        <v>43909</v>
      </c>
      <c r="B83" s="321">
        <v>23271.216554663322</v>
      </c>
      <c r="C83" s="321">
        <v>3614.0280704010343</v>
      </c>
      <c r="D83" s="321">
        <v>26885.244625064355</v>
      </c>
      <c r="E83" s="288">
        <v>60.68</v>
      </c>
      <c r="F83" s="326">
        <f>B83*(E83/100)*'Project Emission-2'!$D$15/1000</f>
        <v>52.703379983743055</v>
      </c>
      <c r="G83" s="307"/>
    </row>
    <row r="84" spans="1:7">
      <c r="A84" s="320">
        <f t="shared" si="1"/>
        <v>43910</v>
      </c>
      <c r="B84" s="321">
        <v>25310.216554663322</v>
      </c>
      <c r="C84" s="321">
        <v>4046.0717564917541</v>
      </c>
      <c r="D84" s="321">
        <v>29356.288311155076</v>
      </c>
      <c r="E84" s="288">
        <v>60.61</v>
      </c>
      <c r="F84" s="326">
        <f>B84*(E84/100)*'Project Emission-2'!$D$15/1000</f>
        <v>57.255070488172606</v>
      </c>
      <c r="G84" s="307"/>
    </row>
    <row r="85" spans="1:7">
      <c r="A85" s="320">
        <f t="shared" si="1"/>
        <v>43911</v>
      </c>
      <c r="B85" s="321">
        <v>23300.216554663322</v>
      </c>
      <c r="C85" s="321">
        <v>3954.0624529724341</v>
      </c>
      <c r="D85" s="321">
        <v>27254.279007635756</v>
      </c>
      <c r="E85" s="288">
        <v>61.87</v>
      </c>
      <c r="F85" s="326">
        <f>B85*(E85/100)*'Project Emission-2'!$D$15/1000</f>
        <v>53.803915518824553</v>
      </c>
      <c r="G85" s="307"/>
    </row>
    <row r="86" spans="1:7">
      <c r="A86" s="320">
        <f t="shared" si="1"/>
        <v>43912</v>
      </c>
      <c r="B86" s="321">
        <v>22910.216554663322</v>
      </c>
      <c r="C86" s="321">
        <v>3912.0582057136144</v>
      </c>
      <c r="D86" s="321">
        <v>26822.274760376939</v>
      </c>
      <c r="E86" s="288">
        <v>60.82</v>
      </c>
      <c r="F86" s="326">
        <f>B86*(E86/100)*'Project Emission-2'!$D$15/1000</f>
        <v>52.005517072139597</v>
      </c>
      <c r="G86" s="307"/>
    </row>
    <row r="87" spans="1:7">
      <c r="A87" s="320">
        <f t="shared" si="1"/>
        <v>43913</v>
      </c>
      <c r="B87" s="321">
        <v>20781.216554663322</v>
      </c>
      <c r="C87" s="321">
        <v>3624.0290816531342</v>
      </c>
      <c r="D87" s="321">
        <v>24405.245636316457</v>
      </c>
      <c r="E87" s="288">
        <v>60.13</v>
      </c>
      <c r="F87" s="326">
        <f>B87*(E87/100)*'Project Emission-2'!$D$15/1000</f>
        <v>46.637577156035029</v>
      </c>
      <c r="G87" s="307"/>
    </row>
    <row r="88" spans="1:7">
      <c r="A88" s="320">
        <f t="shared" si="1"/>
        <v>43914</v>
      </c>
      <c r="B88" s="321">
        <v>19031.216554663322</v>
      </c>
      <c r="C88" s="321">
        <v>3221.9884293187142</v>
      </c>
      <c r="D88" s="321">
        <v>22253.204983982036</v>
      </c>
      <c r="E88" s="288">
        <v>57.18</v>
      </c>
      <c r="F88" s="326">
        <f>B88*(E88/100)*'Project Emission-2'!$D$15/1000</f>
        <v>40.614817936615466</v>
      </c>
      <c r="G88" s="307"/>
    </row>
    <row r="89" spans="1:7">
      <c r="A89" s="320">
        <f t="shared" si="1"/>
        <v>43915</v>
      </c>
      <c r="B89" s="321">
        <v>18978.216554663322</v>
      </c>
      <c r="C89" s="321">
        <v>3872.0541607052141</v>
      </c>
      <c r="D89" s="321">
        <v>22850.270715368537</v>
      </c>
      <c r="E89" s="288">
        <v>59.26</v>
      </c>
      <c r="F89" s="326">
        <f>B89*(E89/100)*'Project Emission-2'!$D$15/1000</f>
        <v>41.975014393713721</v>
      </c>
      <c r="G89" s="307"/>
    </row>
    <row r="90" spans="1:7">
      <c r="A90" s="320">
        <f t="shared" si="1"/>
        <v>43916</v>
      </c>
      <c r="B90" s="321">
        <v>19543.216554663322</v>
      </c>
      <c r="C90" s="356">
        <v>3643.2667193611242</v>
      </c>
      <c r="D90" s="356">
        <v>23186.483274024446</v>
      </c>
      <c r="E90" s="288">
        <v>58.32</v>
      </c>
      <c r="F90" s="326">
        <f>B90*(E90/100)*'Project Emission-2'!$D$15/1000</f>
        <v>42.539009010941292</v>
      </c>
      <c r="G90" s="307"/>
    </row>
    <row r="91" spans="1:7">
      <c r="A91" s="320">
        <f t="shared" si="1"/>
        <v>43917</v>
      </c>
      <c r="B91" s="321">
        <v>20176.216554663322</v>
      </c>
      <c r="C91" s="321">
        <v>3785.0453628119444</v>
      </c>
      <c r="D91" s="321">
        <v>23961.261917475265</v>
      </c>
      <c r="E91" s="288">
        <v>58.32</v>
      </c>
      <c r="F91" s="326">
        <f>B91*(E91/100)*'Project Emission-2'!$D$15/1000</f>
        <v>43.916837099199391</v>
      </c>
      <c r="G91" s="307"/>
    </row>
    <row r="92" spans="1:7">
      <c r="A92" s="320">
        <f t="shared" si="1"/>
        <v>43918</v>
      </c>
      <c r="B92" s="321">
        <v>21304.216554663322</v>
      </c>
      <c r="C92" s="321">
        <v>3524.0189691321343</v>
      </c>
      <c r="D92" s="321">
        <v>24828.235523795458</v>
      </c>
      <c r="E92" s="288">
        <v>58.4</v>
      </c>
      <c r="F92" s="326">
        <f>B92*(E92/100)*'Project Emission-2'!$D$15/1000</f>
        <v>46.435724273690276</v>
      </c>
      <c r="G92" s="307"/>
    </row>
    <row r="93" spans="1:7">
      <c r="A93" s="320">
        <f t="shared" si="1"/>
        <v>43919</v>
      </c>
      <c r="B93" s="321">
        <v>22976.216554663322</v>
      </c>
      <c r="C93" s="321">
        <v>3635.0301940304444</v>
      </c>
      <c r="D93" s="321">
        <v>26611.246748693768</v>
      </c>
      <c r="E93" s="288">
        <v>59.14</v>
      </c>
      <c r="F93" s="326">
        <f>B93*(E93/100)*'Project Emission-2'!$D$15/1000</f>
        <v>50.714674770302707</v>
      </c>
      <c r="G93" s="307"/>
    </row>
    <row r="94" spans="1:7">
      <c r="A94" s="320">
        <f t="shared" si="1"/>
        <v>43920</v>
      </c>
      <c r="B94" s="321">
        <v>25275.264003713055</v>
      </c>
      <c r="C94" s="321">
        <v>3115.9777100464544</v>
      </c>
      <c r="D94" s="321">
        <v>28391.241713759511</v>
      </c>
      <c r="E94" s="288">
        <v>60.01</v>
      </c>
      <c r="F94" s="326">
        <f>B94*(E94/100)*'Project Emission-2'!$D$15/1000</f>
        <v>56.609997535905556</v>
      </c>
      <c r="G94" s="307"/>
    </row>
    <row r="95" spans="1:7">
      <c r="A95" s="317" t="s">
        <v>321</v>
      </c>
      <c r="B95" s="322">
        <f>SUM(B64:B94)</f>
        <v>622431.76064361283</v>
      </c>
      <c r="C95" s="322">
        <f>SUM(C64:C94)</f>
        <v>103429.23571632903</v>
      </c>
      <c r="D95" s="322">
        <v>725860.9963599419</v>
      </c>
      <c r="E95" s="325">
        <f>+AVERAGE(E64:E94)</f>
        <v>59.886129032258069</v>
      </c>
      <c r="F95" s="327">
        <f>SUM(F64:F94)</f>
        <v>1390.8397992862965</v>
      </c>
      <c r="G95" s="307"/>
    </row>
    <row r="96" spans="1:7">
      <c r="A96" s="320">
        <f>A94+1</f>
        <v>43921</v>
      </c>
      <c r="B96" s="321">
        <v>27775.557711226509</v>
      </c>
      <c r="C96" s="321">
        <v>2442.8942061761381</v>
      </c>
      <c r="D96" s="321">
        <v>30218.451917402646</v>
      </c>
      <c r="E96" s="288">
        <v>59.64</v>
      </c>
      <c r="F96" s="326">
        <f>B96*(E96/100)*'Project Emission-2'!$D$15/1000</f>
        <v>61.826438736554657</v>
      </c>
      <c r="G96" s="307"/>
    </row>
    <row r="97" spans="1:7">
      <c r="A97" s="320">
        <f t="shared" si="1"/>
        <v>43922</v>
      </c>
      <c r="B97" s="321">
        <v>24315.557711226509</v>
      </c>
      <c r="C97" s="321">
        <v>3351.9861289920282</v>
      </c>
      <c r="D97" s="321">
        <v>27667.543840218539</v>
      </c>
      <c r="E97" s="288">
        <v>60.42</v>
      </c>
      <c r="F97" s="326">
        <f>B97*(E97/100)*'Project Emission-2'!$D$15/1000</f>
        <v>54.832590585301666</v>
      </c>
      <c r="G97" s="307"/>
    </row>
    <row r="98" spans="1:7">
      <c r="A98" s="320">
        <f t="shared" si="1"/>
        <v>43923</v>
      </c>
      <c r="B98" s="321">
        <v>25328.557711226509</v>
      </c>
      <c r="C98" s="321">
        <v>3427.9938145079882</v>
      </c>
      <c r="D98" s="321">
        <v>28756.551525734496</v>
      </c>
      <c r="E98" s="288">
        <v>59.24</v>
      </c>
      <c r="F98" s="326">
        <f>B98*(E98/100)*'Project Emission-2'!$D$15/1000</f>
        <v>56.001456048612347</v>
      </c>
      <c r="G98" s="307"/>
    </row>
    <row r="99" spans="1:7">
      <c r="A99" s="320">
        <f t="shared" si="1"/>
        <v>43924</v>
      </c>
      <c r="B99" s="321">
        <v>28180.557711226509</v>
      </c>
      <c r="C99" s="356">
        <v>3605.2474299991577</v>
      </c>
      <c r="D99" s="356">
        <v>31785.805141225668</v>
      </c>
      <c r="E99" s="288">
        <v>58.78</v>
      </c>
      <c r="F99" s="326">
        <f>B99*(E99/100)*'Project Emission-2'!$D$15/1000</f>
        <v>61.823412620527598</v>
      </c>
      <c r="G99" s="307"/>
    </row>
    <row r="100" spans="1:7">
      <c r="A100" s="320">
        <f t="shared" si="1"/>
        <v>43925</v>
      </c>
      <c r="B100" s="321">
        <v>29423.557711226509</v>
      </c>
      <c r="C100" s="321">
        <v>3491.0001853962181</v>
      </c>
      <c r="D100" s="321">
        <v>32914.557896622726</v>
      </c>
      <c r="E100" s="288">
        <v>58.7</v>
      </c>
      <c r="F100" s="326">
        <f>B100*(E100/100)*'Project Emission-2'!$D$15/1000</f>
        <v>64.462492461604043</v>
      </c>
      <c r="G100" s="307"/>
    </row>
    <row r="101" spans="1:7">
      <c r="A101" s="320">
        <f t="shared" si="1"/>
        <v>43926</v>
      </c>
      <c r="B101" s="321">
        <v>30534.557711226509</v>
      </c>
      <c r="C101" s="321">
        <v>4172.069051664228</v>
      </c>
      <c r="D101" s="321">
        <v>34706.626762890737</v>
      </c>
      <c r="E101" s="288">
        <v>60.66</v>
      </c>
      <c r="F101" s="326">
        <f>B101*(E101/100)*'Project Emission-2'!$D$15/1000</f>
        <v>69.13020556809235</v>
      </c>
      <c r="G101" s="307"/>
    </row>
    <row r="102" spans="1:7">
      <c r="A102" s="320">
        <f t="shared" si="1"/>
        <v>43927</v>
      </c>
      <c r="B102" s="321">
        <v>31438.557711226509</v>
      </c>
      <c r="C102" s="321">
        <v>4429.0950408431981</v>
      </c>
      <c r="D102" s="321">
        <v>35867.652752069705</v>
      </c>
      <c r="E102" s="288">
        <v>60.83</v>
      </c>
      <c r="F102" s="326">
        <f>B102*(E102/100)*'Project Emission-2'!$D$15/1000</f>
        <v>71.376334150912712</v>
      </c>
      <c r="G102" s="307"/>
    </row>
    <row r="103" spans="1:7">
      <c r="A103" s="320">
        <f t="shared" si="1"/>
        <v>43928</v>
      </c>
      <c r="B103" s="321">
        <v>31600.557711226509</v>
      </c>
      <c r="C103" s="321">
        <v>4170.0688494138085</v>
      </c>
      <c r="D103" s="321">
        <v>35770.626560640318</v>
      </c>
      <c r="E103" s="288">
        <v>58.98</v>
      </c>
      <c r="F103" s="326">
        <f>B103*(E103/100)*'Project Emission-2'!$D$15/1000</f>
        <v>69.562202502329811</v>
      </c>
      <c r="G103" s="307"/>
    </row>
    <row r="104" spans="1:7">
      <c r="A104" s="320">
        <f t="shared" si="1"/>
        <v>43929</v>
      </c>
      <c r="B104" s="321">
        <v>28431.557711226509</v>
      </c>
      <c r="C104" s="321">
        <v>4622.1145580087286</v>
      </c>
      <c r="D104" s="321">
        <v>33053.672269235234</v>
      </c>
      <c r="E104" s="288">
        <v>58.79</v>
      </c>
      <c r="F104" s="326">
        <f>B104*(E104/100)*'Project Emission-2'!$D$15/1000</f>
        <v>62.384675925669121</v>
      </c>
      <c r="G104" s="307"/>
    </row>
    <row r="105" spans="1:7">
      <c r="A105" s="320">
        <f t="shared" si="1"/>
        <v>43930</v>
      </c>
      <c r="B105" s="321">
        <v>26814.557711226509</v>
      </c>
      <c r="C105" s="321">
        <v>2754.9257572416577</v>
      </c>
      <c r="D105" s="321">
        <v>29569.483468468166</v>
      </c>
      <c r="E105" s="288">
        <v>56.64</v>
      </c>
      <c r="F105" s="326">
        <f>B105*(E105/100)*'Project Emission-2'!$D$15/1000</f>
        <v>56.684940001846293</v>
      </c>
      <c r="G105" s="307"/>
    </row>
    <row r="106" spans="1:7">
      <c r="A106" s="320">
        <f t="shared" si="1"/>
        <v>43931</v>
      </c>
      <c r="B106" s="321">
        <v>27461.557711226509</v>
      </c>
      <c r="C106" s="321">
        <v>1832.8325197980382</v>
      </c>
      <c r="D106" s="321">
        <v>29294.390231024547</v>
      </c>
      <c r="E106" s="288">
        <v>58.1</v>
      </c>
      <c r="F106" s="326">
        <f>B106*(E106/100)*'Project Emission-2'!$D$15/1000</f>
        <v>59.549087269870512</v>
      </c>
      <c r="G106" s="307"/>
    </row>
    <row r="107" spans="1:7">
      <c r="A107" s="320">
        <f t="shared" si="1"/>
        <v>43932</v>
      </c>
      <c r="B107" s="321">
        <v>27691.557711226509</v>
      </c>
      <c r="C107" s="321">
        <v>2975.948105913068</v>
      </c>
      <c r="D107" s="321">
        <v>30667.505817139576</v>
      </c>
      <c r="E107" s="288">
        <v>60.64</v>
      </c>
      <c r="F107" s="326">
        <f>B107*(E107/100)*'Project Emission-2'!$D$15/1000</f>
        <v>62.672986139094768</v>
      </c>
      <c r="G107" s="307"/>
    </row>
    <row r="108" spans="1:7">
      <c r="A108" s="320">
        <f t="shared" si="1"/>
        <v>43933</v>
      </c>
      <c r="B108" s="321">
        <v>25796.557711226509</v>
      </c>
      <c r="C108" s="321">
        <v>3185.9693422071678</v>
      </c>
      <c r="D108" s="321">
        <v>28982.527053433678</v>
      </c>
      <c r="E108" s="288">
        <v>59.81</v>
      </c>
      <c r="F108" s="326">
        <f>B108*(E108/100)*'Project Emission-2'!$D$15/1000</f>
        <v>57.584999673667021</v>
      </c>
      <c r="G108" s="307"/>
    </row>
    <row r="109" spans="1:7">
      <c r="A109" s="320">
        <f t="shared" si="1"/>
        <v>43934</v>
      </c>
      <c r="B109" s="321">
        <v>24061.557711226509</v>
      </c>
      <c r="C109" s="321">
        <v>3244.9753085945581</v>
      </c>
      <c r="D109" s="321">
        <v>27306.533019821069</v>
      </c>
      <c r="E109" s="288">
        <v>57.58</v>
      </c>
      <c r="F109" s="326">
        <f>B109*(E109/100)*'Project Emission-2'!$D$15/1000</f>
        <v>51.709365492255635</v>
      </c>
      <c r="G109" s="307"/>
    </row>
    <row r="110" spans="1:7">
      <c r="A110" s="320">
        <f t="shared" si="1"/>
        <v>43935</v>
      </c>
      <c r="B110" s="321">
        <v>22351.557711226509</v>
      </c>
      <c r="C110" s="321">
        <v>3434.9945223844579</v>
      </c>
      <c r="D110" s="321">
        <v>25786.552233610968</v>
      </c>
      <c r="E110" s="288">
        <v>57.01</v>
      </c>
      <c r="F110" s="326">
        <f>B110*(E110/100)*'Project Emission-2'!$D$15/1000</f>
        <v>47.558992381704812</v>
      </c>
      <c r="G110" s="307"/>
    </row>
    <row r="111" spans="1:7">
      <c r="A111" s="320">
        <f t="shared" si="1"/>
        <v>43936</v>
      </c>
      <c r="B111" s="321">
        <v>19865.557711226509</v>
      </c>
      <c r="C111" s="321">
        <v>3507.001803399578</v>
      </c>
      <c r="D111" s="321">
        <v>23372.559514626086</v>
      </c>
      <c r="E111" s="288">
        <v>56.05</v>
      </c>
      <c r="F111" s="326">
        <f>B111*(E111/100)*'Project Emission-2'!$D$15/1000</f>
        <v>41.557574074150544</v>
      </c>
      <c r="G111" s="307"/>
    </row>
    <row r="112" spans="1:7">
      <c r="A112" s="320">
        <f t="shared" si="1"/>
        <v>43937</v>
      </c>
      <c r="B112" s="321">
        <v>24824.557711226509</v>
      </c>
      <c r="C112" s="321">
        <v>3475.9986685180679</v>
      </c>
      <c r="D112" s="321">
        <v>28300.556379744576</v>
      </c>
      <c r="E112" s="288">
        <v>58.75</v>
      </c>
      <c r="F112" s="326">
        <f>B112*(E112/100)*'Project Emission-2'!$D$15/1000</f>
        <v>54.433116397365758</v>
      </c>
      <c r="G112" s="307"/>
    </row>
    <row r="113" spans="1:7">
      <c r="A113" s="320">
        <f t="shared" si="1"/>
        <v>43938</v>
      </c>
      <c r="B113" s="321">
        <v>27978.557711226509</v>
      </c>
      <c r="C113" s="321">
        <v>3083.9590274357479</v>
      </c>
      <c r="D113" s="321">
        <v>31062.516738662256</v>
      </c>
      <c r="E113" s="288">
        <v>58.84</v>
      </c>
      <c r="F113" s="326">
        <f>B113*(E113/100)*'Project Emission-2'!$D$15/1000</f>
        <v>61.442912760448309</v>
      </c>
      <c r="G113" s="307"/>
    </row>
    <row r="114" spans="1:7">
      <c r="A114" s="320">
        <f t="shared" si="1"/>
        <v>43939</v>
      </c>
      <c r="B114" s="321">
        <v>29326.557711226509</v>
      </c>
      <c r="C114" s="321">
        <v>3607.0119159205778</v>
      </c>
      <c r="D114" s="321">
        <v>32933.569627147088</v>
      </c>
      <c r="E114" s="288">
        <v>61.03</v>
      </c>
      <c r="F114" s="326">
        <f>B114*(E114/100)*'Project Emission-2'!$D$15/1000</f>
        <v>66.800277717692254</v>
      </c>
      <c r="G114" s="307"/>
    </row>
    <row r="115" spans="1:7">
      <c r="A115" s="320">
        <f t="shared" si="1"/>
        <v>43940</v>
      </c>
      <c r="B115" s="321">
        <v>27646.557711226509</v>
      </c>
      <c r="C115" s="321">
        <v>3850.0364893466081</v>
      </c>
      <c r="D115" s="321">
        <v>31496.594200573116</v>
      </c>
      <c r="E115" s="288">
        <v>57.32</v>
      </c>
      <c r="F115" s="326">
        <f>B115*(E115/100)*'Project Emission-2'!$D$15/1000</f>
        <v>59.145411149323657</v>
      </c>
      <c r="G115" s="307"/>
    </row>
    <row r="116" spans="1:7">
      <c r="A116" s="320">
        <f t="shared" si="1"/>
        <v>43941</v>
      </c>
      <c r="B116" s="321">
        <v>27552.557711226509</v>
      </c>
      <c r="C116" s="321">
        <v>3467.997859516388</v>
      </c>
      <c r="D116" s="321">
        <v>31020.555570742898</v>
      </c>
      <c r="E116" s="288">
        <v>59.25</v>
      </c>
      <c r="F116" s="326">
        <f>B116*(E116/100)*'Project Emission-2'!$D$15/1000</f>
        <v>60.929004737559588</v>
      </c>
      <c r="G116" s="307"/>
    </row>
    <row r="117" spans="1:7">
      <c r="A117" s="320">
        <f t="shared" si="1"/>
        <v>43942</v>
      </c>
      <c r="B117" s="321">
        <v>28963.557711226509</v>
      </c>
      <c r="C117" s="321">
        <v>3286.9795558533779</v>
      </c>
      <c r="D117" s="321">
        <v>32250.537267079886</v>
      </c>
      <c r="E117" s="288">
        <v>58.53</v>
      </c>
      <c r="F117" s="326">
        <f>B117*(E117/100)*'Project Emission-2'!$D$15/1000</f>
        <v>63.270933155733836</v>
      </c>
      <c r="G117" s="307"/>
    </row>
    <row r="118" spans="1:7">
      <c r="A118" s="320">
        <f t="shared" si="1"/>
        <v>43943</v>
      </c>
      <c r="B118" s="321">
        <v>27554.557711226509</v>
      </c>
      <c r="C118" s="321">
        <v>3601.0113091693179</v>
      </c>
      <c r="D118" s="321">
        <v>31155.569020395826</v>
      </c>
      <c r="E118" s="288">
        <v>58.27</v>
      </c>
      <c r="F118" s="326">
        <f>B118*(E118/100)*'Project Emission-2'!$D$15/1000</f>
        <v>59.92558345252877</v>
      </c>
      <c r="G118" s="307"/>
    </row>
    <row r="119" spans="1:7">
      <c r="A119" s="320">
        <f t="shared" si="1"/>
        <v>43944</v>
      </c>
      <c r="B119" s="321">
        <v>27713.557711226509</v>
      </c>
      <c r="C119" s="321">
        <v>3319.9828929853079</v>
      </c>
      <c r="D119" s="321">
        <v>31033.540604211816</v>
      </c>
      <c r="E119" s="288">
        <v>59.45</v>
      </c>
      <c r="F119" s="326">
        <f>B119*(E119/100)*'Project Emission-2'!$D$15/1000</f>
        <v>61.491905241803046</v>
      </c>
      <c r="G119" s="307"/>
    </row>
    <row r="120" spans="1:7">
      <c r="A120" s="320">
        <f t="shared" si="1"/>
        <v>43945</v>
      </c>
      <c r="B120" s="321">
        <v>27231.557711226509</v>
      </c>
      <c r="C120" s="321">
        <v>3722.0235453197279</v>
      </c>
      <c r="D120" s="321">
        <v>30953.581256546237</v>
      </c>
      <c r="E120" s="288">
        <v>59.65</v>
      </c>
      <c r="F120" s="326">
        <f>B120*(E120/100)*'Project Emission-2'!$D$15/1000</f>
        <v>60.625696552100727</v>
      </c>
      <c r="G120" s="307"/>
    </row>
    <row r="121" spans="1:7">
      <c r="A121" s="320">
        <f t="shared" si="1"/>
        <v>43946</v>
      </c>
      <c r="B121" s="321">
        <v>29309.557711226509</v>
      </c>
      <c r="C121" s="321">
        <v>3637.0149496768781</v>
      </c>
      <c r="D121" s="321">
        <v>32946.572660903388</v>
      </c>
      <c r="E121" s="288">
        <v>58.37</v>
      </c>
      <c r="F121" s="326">
        <f>B121*(E121/100)*'Project Emission-2'!$D$15/1000</f>
        <v>63.851744452641142</v>
      </c>
      <c r="G121" s="307"/>
    </row>
    <row r="122" spans="1:7">
      <c r="A122" s="320">
        <f t="shared" si="1"/>
        <v>43947</v>
      </c>
      <c r="B122" s="321">
        <v>27691.557711226509</v>
      </c>
      <c r="C122" s="321">
        <v>3521.0032191525179</v>
      </c>
      <c r="D122" s="321">
        <v>31212.560930379026</v>
      </c>
      <c r="E122" s="288">
        <v>60.43</v>
      </c>
      <c r="F122" s="326">
        <f>B122*(E122/100)*'Project Emission-2'!$D$15/1000</f>
        <v>62.455945784721244</v>
      </c>
      <c r="G122" s="307"/>
    </row>
    <row r="123" spans="1:7">
      <c r="A123" s="320">
        <f t="shared" si="1"/>
        <v>43948</v>
      </c>
      <c r="B123" s="321">
        <v>27445.557711226509</v>
      </c>
      <c r="C123" s="321">
        <v>3911.0426579844179</v>
      </c>
      <c r="D123" s="321">
        <v>31356.600369210926</v>
      </c>
      <c r="E123" s="288">
        <v>61.15</v>
      </c>
      <c r="F123" s="326">
        <f>B123*(E123/100)*'Project Emission-2'!$D$15/1000</f>
        <v>62.638641523086058</v>
      </c>
      <c r="G123" s="307"/>
    </row>
    <row r="124" spans="1:7">
      <c r="A124" s="320">
        <f t="shared" si="1"/>
        <v>43949</v>
      </c>
      <c r="B124" s="321">
        <v>18203.557711226509</v>
      </c>
      <c r="C124" s="321">
        <v>3620.013230548308</v>
      </c>
      <c r="D124" s="321">
        <v>21823.570941774818</v>
      </c>
      <c r="E124" s="288">
        <v>56.94</v>
      </c>
      <c r="F124" s="326">
        <f>B124*(E124/100)*'Project Emission-2'!$D$15/1000</f>
        <v>38.685440504093634</v>
      </c>
      <c r="G124" s="307"/>
    </row>
    <row r="125" spans="1:7">
      <c r="A125" s="320">
        <f t="shared" si="1"/>
        <v>43950</v>
      </c>
      <c r="B125" s="321">
        <v>24571.431277508091</v>
      </c>
      <c r="C125" s="321">
        <v>3922.0437703617281</v>
      </c>
      <c r="D125" s="321">
        <v>28493.475047869819</v>
      </c>
      <c r="E125" s="288">
        <v>60.96</v>
      </c>
      <c r="F125" s="326">
        <f>B125*(E125/100)*'Project Emission-2'!$D$15/1000</f>
        <v>55.904815909900513</v>
      </c>
      <c r="G125" s="307"/>
    </row>
    <row r="126" spans="1:7">
      <c r="A126" s="317" t="s">
        <v>321</v>
      </c>
      <c r="B126" s="322">
        <f>SUM(B96:B125)</f>
        <v>807085.60490307701</v>
      </c>
      <c r="C126" s="322">
        <f>SUM(C96:C125)</f>
        <v>104675.23571632899</v>
      </c>
      <c r="D126" s="322">
        <v>911760.84061940596</v>
      </c>
      <c r="E126" s="325">
        <f>+AVERAGE(E96:E125)</f>
        <v>59.027000000000008</v>
      </c>
      <c r="F126" s="327">
        <f>SUM(F96:F125)</f>
        <v>1780.3191829711927</v>
      </c>
      <c r="G126" s="307"/>
    </row>
    <row r="127" spans="1:7">
      <c r="A127" s="320">
        <f>A125+1</f>
        <v>43951</v>
      </c>
      <c r="B127" s="321">
        <v>17793.232556222065</v>
      </c>
      <c r="C127" s="321">
        <v>4096.0420811357744</v>
      </c>
      <c r="D127" s="321">
        <v>21889.274637357841</v>
      </c>
      <c r="E127" s="288">
        <v>62.34</v>
      </c>
      <c r="F127" s="326">
        <f>B127*(E127/100)*'Project Emission-2'!$D$15/1000</f>
        <v>41.399534851268747</v>
      </c>
      <c r="G127" s="307"/>
    </row>
    <row r="128" spans="1:7">
      <c r="A128" s="320">
        <f t="shared" si="1"/>
        <v>43952</v>
      </c>
      <c r="B128" s="321">
        <v>25286.232556222065</v>
      </c>
      <c r="C128" s="321">
        <v>3746.0066873122742</v>
      </c>
      <c r="D128" s="321">
        <v>29032.239243534339</v>
      </c>
      <c r="E128" s="288">
        <v>61.13</v>
      </c>
      <c r="F128" s="326">
        <f>B128*(E128/100)*'Project Emission-2'!$D$15/1000</f>
        <v>57.691566597310967</v>
      </c>
      <c r="G128" s="307"/>
    </row>
    <row r="129" spans="1:7">
      <c r="A129" s="320">
        <f t="shared" si="1"/>
        <v>43953</v>
      </c>
      <c r="B129" s="321">
        <v>25929.232556222065</v>
      </c>
      <c r="C129" s="321">
        <v>3781.0102266946242</v>
      </c>
      <c r="D129" s="321">
        <v>29710.242782916688</v>
      </c>
      <c r="E129" s="288">
        <v>61.85</v>
      </c>
      <c r="F129" s="326">
        <f>B129*(E129/100)*'Project Emission-2'!$D$15/1000</f>
        <v>59.855377681013266</v>
      </c>
      <c r="G129" s="307"/>
    </row>
    <row r="130" spans="1:7">
      <c r="A130" s="320">
        <f t="shared" si="1"/>
        <v>43954</v>
      </c>
      <c r="B130" s="321">
        <v>25976.232556222065</v>
      </c>
      <c r="C130" s="321">
        <v>4172.049766651734</v>
      </c>
      <c r="D130" s="321">
        <v>30148.282322873798</v>
      </c>
      <c r="E130" s="288">
        <v>61.55</v>
      </c>
      <c r="F130" s="326">
        <f>B130*(E130/100)*'Project Emission-2'!$D$15/1000</f>
        <v>59.673021646437867</v>
      </c>
      <c r="G130" s="307"/>
    </row>
    <row r="131" spans="1:7">
      <c r="A131" s="320">
        <f t="shared" si="1"/>
        <v>43955</v>
      </c>
      <c r="B131" s="321">
        <v>27043.232556222065</v>
      </c>
      <c r="C131" s="321">
        <v>3808.0129570752938</v>
      </c>
      <c r="D131" s="321">
        <v>30851.245513297359</v>
      </c>
      <c r="E131" s="288">
        <v>62.02</v>
      </c>
      <c r="F131" s="326">
        <f>B131*(E131/100)*'Project Emission-2'!$D$15/1000</f>
        <v>62.598535565889776</v>
      </c>
      <c r="G131" s="307"/>
    </row>
    <row r="132" spans="1:7">
      <c r="A132" s="320">
        <f t="shared" ref="A132:A157" si="2">A131+1</f>
        <v>43956</v>
      </c>
      <c r="B132" s="321">
        <v>14771.232556222067</v>
      </c>
      <c r="C132" s="321">
        <v>3811.013260450924</v>
      </c>
      <c r="D132" s="321">
        <v>18582.245816672992</v>
      </c>
      <c r="E132" s="288">
        <v>60.09</v>
      </c>
      <c r="F132" s="326">
        <f>B132*(E132/100)*'Project Emission-2'!$D$15/1000</f>
        <v>33.12781165334988</v>
      </c>
      <c r="G132" s="307"/>
    </row>
    <row r="133" spans="1:7">
      <c r="A133" s="320">
        <f t="shared" si="2"/>
        <v>43957</v>
      </c>
      <c r="B133" s="321">
        <v>25536.232556222065</v>
      </c>
      <c r="C133" s="321">
        <v>3785.0106311954642</v>
      </c>
      <c r="D133" s="321">
        <v>29321.243187417531</v>
      </c>
      <c r="E133" s="288">
        <v>61.5</v>
      </c>
      <c r="F133" s="326">
        <f>B133*(E133/100)*'Project Emission-2'!$D$15/1000</f>
        <v>58.614592388391664</v>
      </c>
      <c r="G133" s="307"/>
    </row>
    <row r="134" spans="1:7">
      <c r="A134" s="320">
        <f t="shared" si="2"/>
        <v>43958</v>
      </c>
      <c r="B134" s="321">
        <v>34331.232556222065</v>
      </c>
      <c r="C134" s="321">
        <v>3436.9754396223839</v>
      </c>
      <c r="D134" s="321">
        <v>37768.207995844452</v>
      </c>
      <c r="E134" s="288">
        <v>61.25</v>
      </c>
      <c r="F134" s="326">
        <f>B134*(E134/100)*'Project Emission-2'!$D$15/1000</f>
        <v>78.481861849523028</v>
      </c>
      <c r="G134" s="307"/>
    </row>
    <row r="135" spans="1:7">
      <c r="A135" s="320">
        <f t="shared" si="2"/>
        <v>43959</v>
      </c>
      <c r="B135" s="321">
        <v>30341.232556222065</v>
      </c>
      <c r="C135" s="321">
        <v>3472.9790801299441</v>
      </c>
      <c r="D135" s="321">
        <v>33814.211636352011</v>
      </c>
      <c r="E135" s="288">
        <v>61.09</v>
      </c>
      <c r="F135" s="326">
        <f>B135*(E135/100)*'Project Emission-2'!$D$15/1000</f>
        <v>69.179457662596889</v>
      </c>
      <c r="G135" s="307"/>
    </row>
    <row r="136" spans="1:7">
      <c r="A136" s="320">
        <f t="shared" si="2"/>
        <v>43960</v>
      </c>
      <c r="B136" s="321">
        <v>29621.232556222065</v>
      </c>
      <c r="C136" s="321">
        <v>3297.961383218194</v>
      </c>
      <c r="D136" s="321">
        <v>32919.193939440258</v>
      </c>
      <c r="E136" s="288">
        <v>60.3</v>
      </c>
      <c r="F136" s="326">
        <f>B136*(E136/100)*'Project Emission-2'!$D$15/1000</f>
        <v>66.664441739824071</v>
      </c>
      <c r="G136" s="307"/>
    </row>
    <row r="137" spans="1:7">
      <c r="A137" s="320">
        <f t="shared" si="2"/>
        <v>43961</v>
      </c>
      <c r="B137" s="321">
        <v>29054.232556222065</v>
      </c>
      <c r="C137" s="321">
        <v>3832.0153840803341</v>
      </c>
      <c r="D137" s="321">
        <v>32886.247940302397</v>
      </c>
      <c r="E137" s="288">
        <v>65.12</v>
      </c>
      <c r="F137" s="326">
        <f>B137*(E137/100)*'Project Emission-2'!$D$15/1000</f>
        <v>70.615104954045606</v>
      </c>
      <c r="G137" s="307"/>
    </row>
    <row r="138" spans="1:7">
      <c r="A138" s="320">
        <f t="shared" si="2"/>
        <v>43962</v>
      </c>
      <c r="B138" s="321">
        <v>25282.232556222065</v>
      </c>
      <c r="C138" s="321">
        <v>3991.0314629887239</v>
      </c>
      <c r="D138" s="321">
        <v>29273.26401921079</v>
      </c>
      <c r="E138" s="288">
        <v>63.08</v>
      </c>
      <c r="F138" s="326">
        <f>B138*(E138/100)*'Project Emission-2'!$D$15/1000</f>
        <v>59.522465935386862</v>
      </c>
      <c r="G138" s="307"/>
    </row>
    <row r="139" spans="1:7">
      <c r="A139" s="320">
        <f t="shared" si="2"/>
        <v>43963</v>
      </c>
      <c r="B139" s="321">
        <v>25599.232556222065</v>
      </c>
      <c r="C139" s="321">
        <v>3447.976551999694</v>
      </c>
      <c r="D139" s="321">
        <v>29047.209108221759</v>
      </c>
      <c r="E139" s="288">
        <v>60.79</v>
      </c>
      <c r="F139" s="326">
        <f>B139*(E139/100)*'Project Emission-2'!$D$15/1000</f>
        <v>58.080841203388182</v>
      </c>
      <c r="G139" s="307"/>
    </row>
    <row r="140" spans="1:7">
      <c r="A140" s="320">
        <f t="shared" si="2"/>
        <v>43964</v>
      </c>
      <c r="B140" s="321">
        <v>25129.232556222065</v>
      </c>
      <c r="C140" s="321">
        <v>4603.0933516172445</v>
      </c>
      <c r="D140" s="321">
        <v>29732.325907839309</v>
      </c>
      <c r="E140" s="288">
        <v>59.83</v>
      </c>
      <c r="F140" s="326">
        <f>B140*(E140/100)*'Project Emission-2'!$D$15/1000</f>
        <v>56.114104551536329</v>
      </c>
      <c r="G140" s="307"/>
    </row>
    <row r="141" spans="1:7">
      <c r="A141" s="320">
        <f t="shared" si="2"/>
        <v>43965</v>
      </c>
      <c r="B141" s="321">
        <v>24746.232556222065</v>
      </c>
      <c r="C141" s="321">
        <v>4356.0683736903748</v>
      </c>
      <c r="D141" s="321">
        <v>29102.300929912439</v>
      </c>
      <c r="E141" s="288">
        <v>61.14</v>
      </c>
      <c r="F141" s="326">
        <f>B141*(E141/100)*'Project Emission-2'!$D$15/1000</f>
        <v>56.468770642973062</v>
      </c>
      <c r="G141" s="307"/>
    </row>
    <row r="142" spans="1:7">
      <c r="A142" s="320">
        <f t="shared" si="2"/>
        <v>43966</v>
      </c>
      <c r="B142" s="321">
        <v>24753.232556222065</v>
      </c>
      <c r="C142" s="321">
        <v>3863.0185189618442</v>
      </c>
      <c r="D142" s="321">
        <v>28616.251075183907</v>
      </c>
      <c r="E142" s="288">
        <v>62.72</v>
      </c>
      <c r="F142" s="326">
        <f>B142*(E142/100)*'Project Emission-2'!$D$15/1000</f>
        <v>57.944441383400275</v>
      </c>
      <c r="G142" s="307"/>
    </row>
    <row r="143" spans="1:7">
      <c r="A143" s="320">
        <f t="shared" si="2"/>
        <v>43967</v>
      </c>
      <c r="B143" s="321">
        <v>25346.232556222065</v>
      </c>
      <c r="C143" s="321">
        <v>3731.005170434124</v>
      </c>
      <c r="D143" s="321">
        <v>29077.237726656189</v>
      </c>
      <c r="E143" s="288">
        <v>63</v>
      </c>
      <c r="F143" s="326">
        <f>B143*(E143/100)*'Project Emission-2'!$D$15/1000</f>
        <v>59.597463097632478</v>
      </c>
      <c r="G143" s="307"/>
    </row>
    <row r="144" spans="1:7">
      <c r="A144" s="320">
        <f t="shared" si="2"/>
        <v>43968</v>
      </c>
      <c r="B144" s="321">
        <v>24941.232556222065</v>
      </c>
      <c r="C144" s="321">
        <v>3601.9921252820341</v>
      </c>
      <c r="D144" s="321">
        <v>28543.2246815041</v>
      </c>
      <c r="E144" s="288">
        <v>60.79</v>
      </c>
      <c r="F144" s="326">
        <f>B144*(E144/100)*'Project Emission-2'!$D$15/1000</f>
        <v>56.587937327153021</v>
      </c>
      <c r="G144" s="307"/>
    </row>
    <row r="145" spans="1:7">
      <c r="A145" s="320">
        <f t="shared" si="2"/>
        <v>43969</v>
      </c>
      <c r="B145" s="321">
        <v>24028.232556222065</v>
      </c>
      <c r="C145" s="321">
        <v>3434.9752373719639</v>
      </c>
      <c r="D145" s="321">
        <v>27463.207793594029</v>
      </c>
      <c r="E145" s="288">
        <v>60.16</v>
      </c>
      <c r="F145" s="326">
        <f>B145*(E145/100)*'Project Emission-2'!$D$15/1000</f>
        <v>53.951492431200947</v>
      </c>
      <c r="G145" s="307"/>
    </row>
    <row r="146" spans="1:7">
      <c r="A146" s="320">
        <f t="shared" si="2"/>
        <v>43970</v>
      </c>
      <c r="B146" s="321">
        <v>25346.232556222065</v>
      </c>
      <c r="C146" s="321">
        <v>3133.944798683754</v>
      </c>
      <c r="D146" s="321">
        <v>28480.17735490582</v>
      </c>
      <c r="E146" s="288">
        <v>58.67</v>
      </c>
      <c r="F146" s="326">
        <f>B146*(E146/100)*'Project Emission-2'!$D$15/1000</f>
        <v>55.501319999017419</v>
      </c>
      <c r="G146" s="307"/>
    </row>
    <row r="147" spans="1:7">
      <c r="A147" s="320">
        <f t="shared" si="2"/>
        <v>43971</v>
      </c>
      <c r="B147" s="321">
        <v>24774.232556222065</v>
      </c>
      <c r="C147" s="321">
        <v>3388.9705856123041</v>
      </c>
      <c r="D147" s="321">
        <v>28163.203141834369</v>
      </c>
      <c r="E147" s="288">
        <v>59.5</v>
      </c>
      <c r="F147" s="326">
        <f>B147*(E147/100)*'Project Emission-2'!$D$15/1000</f>
        <v>55.016249946353682</v>
      </c>
      <c r="G147" s="307"/>
    </row>
    <row r="148" spans="1:7">
      <c r="A148" s="320">
        <f t="shared" si="2"/>
        <v>43972</v>
      </c>
      <c r="B148" s="321">
        <v>28583.232556222065</v>
      </c>
      <c r="C148" s="321">
        <v>3614.9934399097638</v>
      </c>
      <c r="D148" s="321">
        <v>32198.225996131827</v>
      </c>
      <c r="E148" s="288">
        <v>59.99</v>
      </c>
      <c r="F148" s="326">
        <f>B148*(E148/100)*'Project Emission-2'!$D$15/1000</f>
        <v>63.997648002519128</v>
      </c>
      <c r="G148" s="307"/>
    </row>
    <row r="149" spans="1:7">
      <c r="A149" s="320">
        <f t="shared" si="2"/>
        <v>43973</v>
      </c>
      <c r="B149" s="321">
        <v>29227.232556222065</v>
      </c>
      <c r="C149" s="321">
        <v>3747.0067884374839</v>
      </c>
      <c r="D149" s="321">
        <v>32974.239344659552</v>
      </c>
      <c r="E149" s="288">
        <v>59.17</v>
      </c>
      <c r="F149" s="326">
        <f>B149*(E149/100)*'Project Emission-2'!$D$15/1000</f>
        <v>64.545069552951588</v>
      </c>
      <c r="G149" s="307"/>
    </row>
    <row r="150" spans="1:7">
      <c r="A150" s="320">
        <f t="shared" si="2"/>
        <v>43974</v>
      </c>
      <c r="B150" s="321">
        <v>31322.232556222065</v>
      </c>
      <c r="C150" s="321">
        <v>3611.993136534134</v>
      </c>
      <c r="D150" s="321">
        <v>34934.225692756198</v>
      </c>
      <c r="E150" s="288">
        <v>60.15</v>
      </c>
      <c r="F150" s="326">
        <f>B150*(E150/100)*'Project Emission-2'!$D$15/1000</f>
        <v>70.317294080091514</v>
      </c>
      <c r="G150" s="307"/>
    </row>
    <row r="151" spans="1:7">
      <c r="A151" s="320">
        <f t="shared" si="2"/>
        <v>43975</v>
      </c>
      <c r="B151" s="321">
        <v>30430.232556222065</v>
      </c>
      <c r="C151" s="321">
        <v>3574.989394901364</v>
      </c>
      <c r="D151" s="321">
        <v>34005.221951123429</v>
      </c>
      <c r="E151" s="288">
        <v>59.9</v>
      </c>
      <c r="F151" s="326">
        <f>B151*(E151/100)*'Project Emission-2'!$D$15/1000</f>
        <v>68.030850815366136</v>
      </c>
      <c r="G151" s="307"/>
    </row>
    <row r="152" spans="1:7">
      <c r="A152" s="320">
        <f t="shared" si="2"/>
        <v>43976</v>
      </c>
      <c r="B152" s="321">
        <v>30453.232556222065</v>
      </c>
      <c r="C152" s="321">
        <v>3555.9874735223739</v>
      </c>
      <c r="D152" s="321">
        <v>34009.220029744436</v>
      </c>
      <c r="E152" s="288">
        <v>59.82</v>
      </c>
      <c r="F152" s="326">
        <f>B152*(E152/100)*'Project Emission-2'!$D$15/1000</f>
        <v>67.991342481481723</v>
      </c>
      <c r="G152" s="307"/>
    </row>
    <row r="153" spans="1:7">
      <c r="A153" s="320">
        <f t="shared" si="2"/>
        <v>43977</v>
      </c>
      <c r="B153" s="321">
        <v>28593.232556222065</v>
      </c>
      <c r="C153" s="356">
        <v>3101.1771778808238</v>
      </c>
      <c r="D153" s="356">
        <v>31694.40973410289</v>
      </c>
      <c r="E153" s="288">
        <v>60.39</v>
      </c>
      <c r="F153" s="326">
        <f>B153*(E153/100)*'Project Emission-2'!$D$15/1000</f>
        <v>64.446909327251703</v>
      </c>
      <c r="G153" s="307"/>
    </row>
    <row r="154" spans="1:7">
      <c r="A154" s="320">
        <f t="shared" si="2"/>
        <v>43978</v>
      </c>
      <c r="B154" s="321">
        <v>24322.232556222065</v>
      </c>
      <c r="C154" s="321">
        <v>3108.9422705535039</v>
      </c>
      <c r="D154" s="321">
        <v>27431.174826775568</v>
      </c>
      <c r="E154" s="288">
        <v>59.96</v>
      </c>
      <c r="F154" s="326">
        <f>B154*(E154/100)*'Project Emission-2'!$D$15/1000</f>
        <v>54.430067072855628</v>
      </c>
      <c r="G154" s="307"/>
    </row>
    <row r="155" spans="1:7">
      <c r="A155" s="320">
        <f t="shared" si="2"/>
        <v>43979</v>
      </c>
      <c r="B155" s="321">
        <v>16886.232556222065</v>
      </c>
      <c r="C155" s="321">
        <v>3286.9602708408838</v>
      </c>
      <c r="D155" s="321">
        <v>20173.192827062951</v>
      </c>
      <c r="E155" s="288">
        <v>58.93</v>
      </c>
      <c r="F155" s="326">
        <f>B155*(E155/100)*'Project Emission-2'!$D$15/1000</f>
        <v>37.140095473196595</v>
      </c>
      <c r="G155" s="307"/>
    </row>
    <row r="156" spans="1:7">
      <c r="A156" s="320">
        <f t="shared" si="2"/>
        <v>43980</v>
      </c>
      <c r="B156" s="321">
        <v>18177.232556222065</v>
      </c>
      <c r="C156" s="321">
        <v>3645.9965747912738</v>
      </c>
      <c r="D156" s="321">
        <v>21823.229131013337</v>
      </c>
      <c r="E156" s="288">
        <v>59.77</v>
      </c>
      <c r="F156" s="326">
        <f>B156*(E156/100)*'Project Emission-2'!$D$15/1000</f>
        <v>40.549436935665355</v>
      </c>
      <c r="G156" s="307"/>
    </row>
    <row r="157" spans="1:7">
      <c r="A157" s="320">
        <f t="shared" si="2"/>
        <v>43981</v>
      </c>
      <c r="B157" s="321">
        <v>18927.747219187921</v>
      </c>
      <c r="C157" s="321">
        <v>4037.0361147483841</v>
      </c>
      <c r="D157" s="321">
        <v>22964.783333936306</v>
      </c>
      <c r="E157" s="288">
        <v>58.41</v>
      </c>
      <c r="F157" s="326">
        <f>B157*(E157/100)*'Project Emission-2'!$D$15/1000</f>
        <v>41.262918510141873</v>
      </c>
      <c r="G157" s="307"/>
    </row>
    <row r="158" spans="1:7">
      <c r="A158" s="317" t="s">
        <v>321</v>
      </c>
      <c r="B158" s="322">
        <f>SUM(B127:B157)</f>
        <v>792552.72390584927</v>
      </c>
      <c r="C158" s="322">
        <f>SUM(C127:C157)</f>
        <v>114076.23571632899</v>
      </c>
      <c r="D158" s="322">
        <v>906628.95962217823</v>
      </c>
      <c r="E158" s="325">
        <f>+AVERAGE(E127:E157)</f>
        <v>60.787419354838732</v>
      </c>
      <c r="F158" s="327">
        <f>SUM(F127:F157)</f>
        <v>1799.3980253592151</v>
      </c>
      <c r="G158" s="307"/>
    </row>
    <row r="159" spans="1:7">
      <c r="C159"/>
      <c r="D159"/>
    </row>
    <row r="160" spans="1:7">
      <c r="C160"/>
      <c r="D160"/>
    </row>
    <row r="161" spans="3:4">
      <c r="C161"/>
      <c r="D161"/>
    </row>
    <row r="162" spans="3:4">
      <c r="C162"/>
      <c r="D162"/>
    </row>
    <row r="163" spans="3:4">
      <c r="C163"/>
      <c r="D163"/>
    </row>
    <row r="164" spans="3:4">
      <c r="C164"/>
      <c r="D164"/>
    </row>
    <row r="165" spans="3:4">
      <c r="C165"/>
      <c r="D165"/>
    </row>
    <row r="166" spans="3:4">
      <c r="C166"/>
      <c r="D166"/>
    </row>
    <row r="167" spans="3:4">
      <c r="C167"/>
      <c r="D167"/>
    </row>
    <row r="168" spans="3:4">
      <c r="C168"/>
      <c r="D168"/>
    </row>
    <row r="169" spans="3:4">
      <c r="C169"/>
      <c r="D169"/>
    </row>
    <row r="170" spans="3:4">
      <c r="C170"/>
      <c r="D170"/>
    </row>
    <row r="171" spans="3:4">
      <c r="C171"/>
      <c r="D171"/>
    </row>
    <row r="172" spans="3:4">
      <c r="C172"/>
      <c r="D172"/>
    </row>
    <row r="173" spans="3:4">
      <c r="C173"/>
      <c r="D173"/>
    </row>
    <row r="174" spans="3:4">
      <c r="C174"/>
      <c r="D174"/>
    </row>
    <row r="175" spans="3:4">
      <c r="C175"/>
      <c r="D175"/>
    </row>
    <row r="176" spans="3:4">
      <c r="C176"/>
      <c r="D176"/>
    </row>
    <row r="177" spans="3:4">
      <c r="C177"/>
      <c r="D177"/>
    </row>
    <row r="178" spans="3:4">
      <c r="C178"/>
      <c r="D178"/>
    </row>
    <row r="179" spans="3:4">
      <c r="C179"/>
      <c r="D179"/>
    </row>
    <row r="180" spans="3:4">
      <c r="C180"/>
      <c r="D180"/>
    </row>
    <row r="181" spans="3:4">
      <c r="C181"/>
      <c r="D181"/>
    </row>
    <row r="182" spans="3:4">
      <c r="C182"/>
      <c r="D182"/>
    </row>
    <row r="183" spans="3:4">
      <c r="C183"/>
      <c r="D183"/>
    </row>
    <row r="184" spans="3:4">
      <c r="C184"/>
      <c r="D184"/>
    </row>
    <row r="185" spans="3:4">
      <c r="C185"/>
      <c r="D185"/>
    </row>
    <row r="186" spans="3:4">
      <c r="C186"/>
      <c r="D186"/>
    </row>
    <row r="187" spans="3:4">
      <c r="C187"/>
      <c r="D187"/>
    </row>
    <row r="188" spans="3:4">
      <c r="C188"/>
      <c r="D188"/>
    </row>
    <row r="189" spans="3:4">
      <c r="C189"/>
      <c r="D189"/>
    </row>
    <row r="190" spans="3:4">
      <c r="C190"/>
      <c r="D190"/>
    </row>
    <row r="191" spans="3:4">
      <c r="C191"/>
      <c r="D191"/>
    </row>
    <row r="192" spans="3:4">
      <c r="C192"/>
      <c r="D192"/>
    </row>
    <row r="193" spans="3:4">
      <c r="C193"/>
      <c r="D193"/>
    </row>
    <row r="194" spans="3:4">
      <c r="C194"/>
      <c r="D194"/>
    </row>
    <row r="195" spans="3:4">
      <c r="C195"/>
      <c r="D195"/>
    </row>
    <row r="196" spans="3:4">
      <c r="C196"/>
      <c r="D196"/>
    </row>
    <row r="197" spans="3:4">
      <c r="C197"/>
      <c r="D197"/>
    </row>
    <row r="198" spans="3:4">
      <c r="C198"/>
      <c r="D198"/>
    </row>
    <row r="199" spans="3:4">
      <c r="C199"/>
      <c r="D199"/>
    </row>
    <row r="200" spans="3:4">
      <c r="C200"/>
      <c r="D200"/>
    </row>
    <row r="201" spans="3:4">
      <c r="C201"/>
      <c r="D201"/>
    </row>
    <row r="202" spans="3:4">
      <c r="C202"/>
      <c r="D202"/>
    </row>
    <row r="203" spans="3:4">
      <c r="C203"/>
      <c r="D203"/>
    </row>
    <row r="204" spans="3:4">
      <c r="C204"/>
      <c r="D204"/>
    </row>
    <row r="205" spans="3:4">
      <c r="C205"/>
      <c r="D205"/>
    </row>
    <row r="206" spans="3:4">
      <c r="C206"/>
      <c r="D206"/>
    </row>
    <row r="207" spans="3:4">
      <c r="C207"/>
      <c r="D207"/>
    </row>
    <row r="208" spans="3:4">
      <c r="C208"/>
      <c r="D208"/>
    </row>
    <row r="209" spans="3:4">
      <c r="C209"/>
      <c r="D209"/>
    </row>
    <row r="210" spans="3:4">
      <c r="C210"/>
      <c r="D210"/>
    </row>
    <row r="211" spans="3:4">
      <c r="C211"/>
      <c r="D211"/>
    </row>
    <row r="212" spans="3:4">
      <c r="C212"/>
      <c r="D212"/>
    </row>
    <row r="213" spans="3:4">
      <c r="C213"/>
      <c r="D213"/>
    </row>
    <row r="214" spans="3:4">
      <c r="C214"/>
      <c r="D214"/>
    </row>
    <row r="215" spans="3:4">
      <c r="C215"/>
      <c r="D215"/>
    </row>
    <row r="216" spans="3:4">
      <c r="C216"/>
      <c r="D216"/>
    </row>
    <row r="217" spans="3:4">
      <c r="C217"/>
      <c r="D217"/>
    </row>
    <row r="218" spans="3:4">
      <c r="C218"/>
      <c r="D218"/>
    </row>
    <row r="219" spans="3:4">
      <c r="C219"/>
      <c r="D219"/>
    </row>
    <row r="220" spans="3:4">
      <c r="C220"/>
      <c r="D220"/>
    </row>
    <row r="221" spans="3:4">
      <c r="C221"/>
      <c r="D221"/>
    </row>
    <row r="222" spans="3:4">
      <c r="C222"/>
      <c r="D222"/>
    </row>
    <row r="223" spans="3:4">
      <c r="C223"/>
      <c r="D223"/>
    </row>
    <row r="224" spans="3:4">
      <c r="C224"/>
      <c r="D224"/>
    </row>
    <row r="225" spans="3:4">
      <c r="C225"/>
      <c r="D225"/>
    </row>
    <row r="226" spans="3:4">
      <c r="C226"/>
      <c r="D226"/>
    </row>
    <row r="227" spans="3:4">
      <c r="C227"/>
      <c r="D227"/>
    </row>
    <row r="228" spans="3:4">
      <c r="C228"/>
      <c r="D228"/>
    </row>
    <row r="229" spans="3:4">
      <c r="C229"/>
      <c r="D229"/>
    </row>
    <row r="230" spans="3:4">
      <c r="C230"/>
      <c r="D230"/>
    </row>
    <row r="231" spans="3:4">
      <c r="C231"/>
      <c r="D231"/>
    </row>
    <row r="232" spans="3:4">
      <c r="C232"/>
      <c r="D232"/>
    </row>
    <row r="233" spans="3:4">
      <c r="C233"/>
      <c r="D233"/>
    </row>
    <row r="234" spans="3:4">
      <c r="C234"/>
      <c r="D234"/>
    </row>
    <row r="235" spans="3:4">
      <c r="C235"/>
      <c r="D235"/>
    </row>
    <row r="236" spans="3:4">
      <c r="C236"/>
      <c r="D236"/>
    </row>
    <row r="237" spans="3:4">
      <c r="C237"/>
      <c r="D237"/>
    </row>
    <row r="238" spans="3:4">
      <c r="C238"/>
      <c r="D238"/>
    </row>
    <row r="239" spans="3:4">
      <c r="C239"/>
      <c r="D239"/>
    </row>
    <row r="240" spans="3:4">
      <c r="C240"/>
      <c r="D240"/>
    </row>
    <row r="241" spans="3:4">
      <c r="C241"/>
      <c r="D241"/>
    </row>
    <row r="242" spans="3:4">
      <c r="C242"/>
      <c r="D242"/>
    </row>
    <row r="243" spans="3:4">
      <c r="C243"/>
      <c r="D243"/>
    </row>
    <row r="244" spans="3:4">
      <c r="C244"/>
      <c r="D244"/>
    </row>
    <row r="245" spans="3:4">
      <c r="C245"/>
      <c r="D245"/>
    </row>
    <row r="246" spans="3:4">
      <c r="C246"/>
      <c r="D246"/>
    </row>
    <row r="247" spans="3:4">
      <c r="C247"/>
      <c r="D247"/>
    </row>
    <row r="248" spans="3:4">
      <c r="C248"/>
      <c r="D248"/>
    </row>
    <row r="249" spans="3:4">
      <c r="C249"/>
      <c r="D249"/>
    </row>
    <row r="250" spans="3:4">
      <c r="C250"/>
      <c r="D250"/>
    </row>
    <row r="251" spans="3:4">
      <c r="C251"/>
      <c r="D251"/>
    </row>
    <row r="252" spans="3:4">
      <c r="C252"/>
      <c r="D252"/>
    </row>
    <row r="253" spans="3:4">
      <c r="C253"/>
      <c r="D253"/>
    </row>
    <row r="254" spans="3:4">
      <c r="C254"/>
      <c r="D254"/>
    </row>
    <row r="255" spans="3:4">
      <c r="C255"/>
      <c r="D255"/>
    </row>
    <row r="256" spans="3:4">
      <c r="C256"/>
      <c r="D256"/>
    </row>
    <row r="257" spans="3:4">
      <c r="C257"/>
      <c r="D257"/>
    </row>
    <row r="258" spans="3:4">
      <c r="C258"/>
      <c r="D258"/>
    </row>
    <row r="259" spans="3:4">
      <c r="C259"/>
      <c r="D259"/>
    </row>
    <row r="260" spans="3:4">
      <c r="C260"/>
      <c r="D260"/>
    </row>
    <row r="261" spans="3:4">
      <c r="C261"/>
      <c r="D261"/>
    </row>
    <row r="262" spans="3:4">
      <c r="C262"/>
      <c r="D262"/>
    </row>
    <row r="263" spans="3:4">
      <c r="C263"/>
      <c r="D263"/>
    </row>
    <row r="264" spans="3:4">
      <c r="C264"/>
      <c r="D264"/>
    </row>
    <row r="265" spans="3:4">
      <c r="C265"/>
      <c r="D265"/>
    </row>
    <row r="266" spans="3:4">
      <c r="C266"/>
      <c r="D266"/>
    </row>
    <row r="267" spans="3:4">
      <c r="C267"/>
      <c r="D267"/>
    </row>
    <row r="268" spans="3:4">
      <c r="C268"/>
      <c r="D268"/>
    </row>
    <row r="269" spans="3:4">
      <c r="C269"/>
      <c r="D269"/>
    </row>
    <row r="270" spans="3:4">
      <c r="C270"/>
      <c r="D270"/>
    </row>
    <row r="271" spans="3:4">
      <c r="C271"/>
      <c r="D271"/>
    </row>
    <row r="272" spans="3:4">
      <c r="C272"/>
      <c r="D272"/>
    </row>
    <row r="273" spans="3:4">
      <c r="C273"/>
      <c r="D273"/>
    </row>
    <row r="274" spans="3:4">
      <c r="C274"/>
      <c r="D274"/>
    </row>
    <row r="275" spans="3:4">
      <c r="C275"/>
      <c r="D275"/>
    </row>
    <row r="276" spans="3:4">
      <c r="C276"/>
      <c r="D276"/>
    </row>
    <row r="277" spans="3:4">
      <c r="C277"/>
      <c r="D277"/>
    </row>
    <row r="278" spans="3:4">
      <c r="C278"/>
      <c r="D278"/>
    </row>
    <row r="279" spans="3:4">
      <c r="C279"/>
      <c r="D279"/>
    </row>
    <row r="280" spans="3:4">
      <c r="C280"/>
      <c r="D280"/>
    </row>
    <row r="281" spans="3:4">
      <c r="C281"/>
      <c r="D281"/>
    </row>
    <row r="282" spans="3:4">
      <c r="C282"/>
      <c r="D282"/>
    </row>
    <row r="283" spans="3:4">
      <c r="C283"/>
      <c r="D283"/>
    </row>
    <row r="284" spans="3:4">
      <c r="C284"/>
      <c r="D284"/>
    </row>
    <row r="285" spans="3:4">
      <c r="C285"/>
      <c r="D285"/>
    </row>
    <row r="286" spans="3:4">
      <c r="C286"/>
      <c r="D286"/>
    </row>
    <row r="287" spans="3:4">
      <c r="C287"/>
      <c r="D287"/>
    </row>
    <row r="288" spans="3:4">
      <c r="C288"/>
      <c r="D288"/>
    </row>
    <row r="289" spans="3:4">
      <c r="C289"/>
      <c r="D289"/>
    </row>
    <row r="290" spans="3:4">
      <c r="C290"/>
      <c r="D290"/>
    </row>
    <row r="291" spans="3:4">
      <c r="C291"/>
      <c r="D291"/>
    </row>
    <row r="292" spans="3:4">
      <c r="C292"/>
      <c r="D292"/>
    </row>
    <row r="293" spans="3:4">
      <c r="C293"/>
      <c r="D293"/>
    </row>
    <row r="294" spans="3:4">
      <c r="C294"/>
      <c r="D294"/>
    </row>
    <row r="295" spans="3:4">
      <c r="C295"/>
      <c r="D295"/>
    </row>
    <row r="296" spans="3:4">
      <c r="C296"/>
      <c r="D296"/>
    </row>
    <row r="297" spans="3:4">
      <c r="C297"/>
      <c r="D297"/>
    </row>
    <row r="298" spans="3:4">
      <c r="C298"/>
      <c r="D298"/>
    </row>
    <row r="299" spans="3:4">
      <c r="C299"/>
      <c r="D299"/>
    </row>
    <row r="300" spans="3:4">
      <c r="C300"/>
      <c r="D300"/>
    </row>
    <row r="301" spans="3:4">
      <c r="C301"/>
      <c r="D301"/>
    </row>
    <row r="302" spans="3:4">
      <c r="C302"/>
      <c r="D302"/>
    </row>
    <row r="303" spans="3:4">
      <c r="C303"/>
      <c r="D303"/>
    </row>
    <row r="304" spans="3:4">
      <c r="C304"/>
      <c r="D304"/>
    </row>
    <row r="305" spans="3:4">
      <c r="C305"/>
      <c r="D305"/>
    </row>
    <row r="306" spans="3:4">
      <c r="C306"/>
      <c r="D306"/>
    </row>
    <row r="307" spans="3:4">
      <c r="C307"/>
      <c r="D307"/>
    </row>
    <row r="308" spans="3:4">
      <c r="C308"/>
      <c r="D308"/>
    </row>
    <row r="309" spans="3:4">
      <c r="C309"/>
      <c r="D309"/>
    </row>
    <row r="310" spans="3:4">
      <c r="C310"/>
      <c r="D310"/>
    </row>
    <row r="311" spans="3:4">
      <c r="C311"/>
      <c r="D311"/>
    </row>
    <row r="312" spans="3:4">
      <c r="C312"/>
      <c r="D312"/>
    </row>
    <row r="313" spans="3:4">
      <c r="C313"/>
      <c r="D313"/>
    </row>
    <row r="314" spans="3:4">
      <c r="C314"/>
      <c r="D314"/>
    </row>
    <row r="315" spans="3:4">
      <c r="C315"/>
      <c r="D315"/>
    </row>
    <row r="316" spans="3:4">
      <c r="C316"/>
      <c r="D316"/>
    </row>
    <row r="317" spans="3:4">
      <c r="C317"/>
      <c r="D317"/>
    </row>
    <row r="318" spans="3:4">
      <c r="C318"/>
      <c r="D318"/>
    </row>
    <row r="319" spans="3:4">
      <c r="C319"/>
      <c r="D319"/>
    </row>
    <row r="320" spans="3:4">
      <c r="C320"/>
      <c r="D320"/>
    </row>
    <row r="321" spans="3:4">
      <c r="C321"/>
      <c r="D321"/>
    </row>
    <row r="322" spans="3:4">
      <c r="C322"/>
      <c r="D322"/>
    </row>
    <row r="323" spans="3:4">
      <c r="C323"/>
      <c r="D323"/>
    </row>
    <row r="324" spans="3:4">
      <c r="C324"/>
      <c r="D324"/>
    </row>
    <row r="325" spans="3:4">
      <c r="C325"/>
      <c r="D325"/>
    </row>
    <row r="326" spans="3:4">
      <c r="C326"/>
      <c r="D326"/>
    </row>
    <row r="327" spans="3:4">
      <c r="C327"/>
      <c r="D327"/>
    </row>
    <row r="328" spans="3:4">
      <c r="C328"/>
      <c r="D328"/>
    </row>
    <row r="329" spans="3:4">
      <c r="C329"/>
      <c r="D329"/>
    </row>
    <row r="330" spans="3:4">
      <c r="C330"/>
      <c r="D330"/>
    </row>
    <row r="331" spans="3:4">
      <c r="C331"/>
      <c r="D331"/>
    </row>
    <row r="332" spans="3:4">
      <c r="C332"/>
      <c r="D332"/>
    </row>
    <row r="333" spans="3:4">
      <c r="C333"/>
      <c r="D333"/>
    </row>
    <row r="334" spans="3:4">
      <c r="C334"/>
      <c r="D334"/>
    </row>
    <row r="335" spans="3:4">
      <c r="C335"/>
      <c r="D335"/>
    </row>
    <row r="336" spans="3:4">
      <c r="C336"/>
      <c r="D336"/>
    </row>
    <row r="337" spans="3:4">
      <c r="C337"/>
      <c r="D337"/>
    </row>
    <row r="338" spans="3:4">
      <c r="C338"/>
      <c r="D338"/>
    </row>
    <row r="339" spans="3:4">
      <c r="C339"/>
      <c r="D339"/>
    </row>
    <row r="340" spans="3:4">
      <c r="C340"/>
      <c r="D340"/>
    </row>
  </sheetData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AE5A6-8AB9-4855-9226-C89D79CD935C}">
  <dimension ref="A1:B134"/>
  <sheetViews>
    <sheetView zoomScale="115" zoomScaleNormal="115" workbookViewId="0">
      <selection activeCell="I13" sqref="I13"/>
    </sheetView>
  </sheetViews>
  <sheetFormatPr defaultColWidth="9.23046875" defaultRowHeight="14.5"/>
  <cols>
    <col min="1" max="1" width="12" style="348" bestFit="1" customWidth="1"/>
    <col min="2" max="2" width="9.765625" style="342" customWidth="1"/>
    <col min="3" max="16384" width="9.23046875" style="342"/>
  </cols>
  <sheetData>
    <row r="1" spans="1:2" ht="21">
      <c r="A1" s="341" t="s">
        <v>322</v>
      </c>
      <c r="B1" s="341" t="s">
        <v>338</v>
      </c>
    </row>
    <row r="2" spans="1:2">
      <c r="A2" s="343">
        <v>43333</v>
      </c>
      <c r="B2" s="344">
        <v>39.950000000000003</v>
      </c>
    </row>
    <row r="3" spans="1:2">
      <c r="A3" s="343">
        <f>A2+1</f>
        <v>43334</v>
      </c>
      <c r="B3" s="344">
        <v>43.15</v>
      </c>
    </row>
    <row r="4" spans="1:2">
      <c r="A4" s="343">
        <f t="shared" ref="A4:A67" si="0">A3+1</f>
        <v>43335</v>
      </c>
      <c r="B4" s="344">
        <v>44.3</v>
      </c>
    </row>
    <row r="5" spans="1:2">
      <c r="A5" s="343">
        <f t="shared" si="0"/>
        <v>43336</v>
      </c>
      <c r="B5" s="344">
        <v>39.270000000000003</v>
      </c>
    </row>
    <row r="6" spans="1:2">
      <c r="A6" s="343">
        <f t="shared" si="0"/>
        <v>43337</v>
      </c>
      <c r="B6" s="344">
        <v>39.520000000000003</v>
      </c>
    </row>
    <row r="7" spans="1:2">
      <c r="A7" s="343">
        <f t="shared" si="0"/>
        <v>43338</v>
      </c>
      <c r="B7" s="344">
        <v>43.14</v>
      </c>
    </row>
    <row r="8" spans="1:2">
      <c r="A8" s="343">
        <f t="shared" si="0"/>
        <v>43339</v>
      </c>
      <c r="B8" s="344">
        <v>33.484000000000002</v>
      </c>
    </row>
    <row r="9" spans="1:2">
      <c r="A9" s="343">
        <f t="shared" si="0"/>
        <v>43340</v>
      </c>
      <c r="B9" s="344">
        <v>28.757000000000001</v>
      </c>
    </row>
    <row r="10" spans="1:2">
      <c r="A10" s="343">
        <f t="shared" si="0"/>
        <v>43341</v>
      </c>
      <c r="B10" s="344">
        <v>33.746000000000002</v>
      </c>
    </row>
    <row r="11" spans="1:2">
      <c r="A11" s="343">
        <f t="shared" si="0"/>
        <v>43342</v>
      </c>
      <c r="B11" s="344">
        <v>32.159999999999997</v>
      </c>
    </row>
    <row r="12" spans="1:2">
      <c r="A12" s="343">
        <f t="shared" si="0"/>
        <v>43343</v>
      </c>
      <c r="B12" s="344">
        <v>34.561</v>
      </c>
    </row>
    <row r="13" spans="1:2">
      <c r="A13" s="343">
        <f t="shared" si="0"/>
        <v>43344</v>
      </c>
      <c r="B13" s="344">
        <v>34.479999999999997</v>
      </c>
    </row>
    <row r="14" spans="1:2">
      <c r="A14" s="343">
        <f t="shared" si="0"/>
        <v>43345</v>
      </c>
      <c r="B14" s="344">
        <v>36.722000000000001</v>
      </c>
    </row>
    <row r="15" spans="1:2">
      <c r="A15" s="343">
        <f t="shared" si="0"/>
        <v>43346</v>
      </c>
      <c r="B15" s="344">
        <v>30.576000000000001</v>
      </c>
    </row>
    <row r="16" spans="1:2">
      <c r="A16" s="343">
        <f t="shared" si="0"/>
        <v>43347</v>
      </c>
      <c r="B16" s="344">
        <v>33.564</v>
      </c>
    </row>
    <row r="17" spans="1:2">
      <c r="A17" s="343">
        <f t="shared" si="0"/>
        <v>43348</v>
      </c>
      <c r="B17" s="344">
        <v>35.113</v>
      </c>
    </row>
    <row r="18" spans="1:2">
      <c r="A18" s="343">
        <f t="shared" si="0"/>
        <v>43349</v>
      </c>
      <c r="B18" s="344">
        <v>35.131999999999998</v>
      </c>
    </row>
    <row r="19" spans="1:2">
      <c r="A19" s="343">
        <f t="shared" si="0"/>
        <v>43350</v>
      </c>
      <c r="B19" s="344">
        <v>35.305</v>
      </c>
    </row>
    <row r="20" spans="1:2">
      <c r="A20" s="343">
        <f t="shared" si="0"/>
        <v>43351</v>
      </c>
      <c r="B20" s="344">
        <v>33.770000000000003</v>
      </c>
    </row>
    <row r="21" spans="1:2">
      <c r="A21" s="343">
        <f t="shared" si="0"/>
        <v>43352</v>
      </c>
      <c r="B21" s="344">
        <v>33.526000000000003</v>
      </c>
    </row>
    <row r="22" spans="1:2">
      <c r="A22" s="343">
        <f t="shared" si="0"/>
        <v>43353</v>
      </c>
      <c r="B22" s="344">
        <v>31.713999999999999</v>
      </c>
    </row>
    <row r="23" spans="1:2">
      <c r="A23" s="343">
        <f t="shared" si="0"/>
        <v>43354</v>
      </c>
      <c r="B23" s="344">
        <v>29.01</v>
      </c>
    </row>
    <row r="24" spans="1:2">
      <c r="A24" s="343">
        <f t="shared" si="0"/>
        <v>43355</v>
      </c>
      <c r="B24" s="344">
        <v>29.31</v>
      </c>
    </row>
    <row r="25" spans="1:2">
      <c r="A25" s="343">
        <f t="shared" si="0"/>
        <v>43356</v>
      </c>
      <c r="B25" s="344">
        <v>34.04</v>
      </c>
    </row>
    <row r="26" spans="1:2">
      <c r="A26" s="343">
        <f t="shared" si="0"/>
        <v>43357</v>
      </c>
      <c r="B26" s="344">
        <v>35.5</v>
      </c>
    </row>
    <row r="27" spans="1:2">
      <c r="A27" s="343">
        <f t="shared" si="0"/>
        <v>43358</v>
      </c>
      <c r="B27" s="344">
        <v>36.6</v>
      </c>
    </row>
    <row r="28" spans="1:2">
      <c r="A28" s="343">
        <f t="shared" si="0"/>
        <v>43359</v>
      </c>
      <c r="B28" s="344">
        <v>35.5</v>
      </c>
    </row>
    <row r="29" spans="1:2">
      <c r="A29" s="343">
        <f t="shared" si="0"/>
        <v>43360</v>
      </c>
      <c r="B29" s="344">
        <v>28.747</v>
      </c>
    </row>
    <row r="30" spans="1:2">
      <c r="A30" s="343">
        <f t="shared" si="0"/>
        <v>43361</v>
      </c>
      <c r="B30" s="344">
        <v>34.058</v>
      </c>
    </row>
    <row r="31" spans="1:2">
      <c r="A31" s="343">
        <f t="shared" si="0"/>
        <v>43362</v>
      </c>
      <c r="B31" s="344">
        <v>34.295000000000002</v>
      </c>
    </row>
    <row r="32" spans="1:2">
      <c r="A32" s="343">
        <f t="shared" si="0"/>
        <v>43363</v>
      </c>
      <c r="B32" s="344">
        <v>33.9</v>
      </c>
    </row>
    <row r="33" spans="1:2">
      <c r="A33" s="343">
        <f t="shared" si="0"/>
        <v>43364</v>
      </c>
      <c r="B33" s="344">
        <v>32.4</v>
      </c>
    </row>
    <row r="34" spans="1:2">
      <c r="A34" s="343">
        <f t="shared" si="0"/>
        <v>43365</v>
      </c>
      <c r="B34" s="344">
        <v>42.625</v>
      </c>
    </row>
    <row r="35" spans="1:2">
      <c r="A35" s="343">
        <f t="shared" si="0"/>
        <v>43366</v>
      </c>
      <c r="B35" s="344">
        <v>43.375</v>
      </c>
    </row>
    <row r="36" spans="1:2">
      <c r="A36" s="343">
        <f t="shared" si="0"/>
        <v>43367</v>
      </c>
      <c r="B36" s="344">
        <v>34.267000000000003</v>
      </c>
    </row>
    <row r="37" spans="1:2">
      <c r="A37" s="343">
        <f t="shared" si="0"/>
        <v>43368</v>
      </c>
      <c r="B37" s="344">
        <v>37.469000000000001</v>
      </c>
    </row>
    <row r="38" spans="1:2">
      <c r="A38" s="343">
        <f t="shared" si="0"/>
        <v>43369</v>
      </c>
      <c r="B38" s="344">
        <v>37.99</v>
      </c>
    </row>
    <row r="39" spans="1:2">
      <c r="A39" s="343">
        <f t="shared" si="0"/>
        <v>43370</v>
      </c>
      <c r="B39" s="344">
        <v>40.19</v>
      </c>
    </row>
    <row r="40" spans="1:2">
      <c r="A40" s="343">
        <f t="shared" si="0"/>
        <v>43371</v>
      </c>
      <c r="B40" s="344">
        <v>36.128999999999998</v>
      </c>
    </row>
    <row r="41" spans="1:2">
      <c r="A41" s="343">
        <f t="shared" si="0"/>
        <v>43372</v>
      </c>
      <c r="B41" s="344">
        <v>35.055</v>
      </c>
    </row>
    <row r="42" spans="1:2">
      <c r="A42" s="343">
        <f t="shared" si="0"/>
        <v>43373</v>
      </c>
      <c r="B42" s="344">
        <v>35.530999999999999</v>
      </c>
    </row>
    <row r="43" spans="1:2">
      <c r="A43" s="343">
        <f t="shared" si="0"/>
        <v>43374</v>
      </c>
      <c r="B43" s="344">
        <v>34.768999999999998</v>
      </c>
    </row>
    <row r="44" spans="1:2">
      <c r="A44" s="343">
        <f t="shared" si="0"/>
        <v>43375</v>
      </c>
      <c r="B44" s="344">
        <v>37.271000000000001</v>
      </c>
    </row>
    <row r="45" spans="1:2">
      <c r="A45" s="343">
        <f t="shared" si="0"/>
        <v>43376</v>
      </c>
      <c r="B45" s="344">
        <v>34.728999999999999</v>
      </c>
    </row>
    <row r="46" spans="1:2">
      <c r="A46" s="343">
        <f t="shared" si="0"/>
        <v>43377</v>
      </c>
      <c r="B46" s="344">
        <v>33.750999999999998</v>
      </c>
    </row>
    <row r="47" spans="1:2">
      <c r="A47" s="343">
        <f t="shared" si="0"/>
        <v>43378</v>
      </c>
      <c r="B47" s="344">
        <v>39.598999999999997</v>
      </c>
    </row>
    <row r="48" spans="1:2">
      <c r="A48" s="343">
        <f t="shared" si="0"/>
        <v>43379</v>
      </c>
      <c r="B48" s="344">
        <v>47.273000000000003</v>
      </c>
    </row>
    <row r="49" spans="1:2">
      <c r="A49" s="343">
        <f t="shared" si="0"/>
        <v>43380</v>
      </c>
      <c r="B49" s="344">
        <v>47.987000000000002</v>
      </c>
    </row>
    <row r="50" spans="1:2">
      <c r="A50" s="343">
        <f t="shared" si="0"/>
        <v>43381</v>
      </c>
      <c r="B50" s="344">
        <v>41.375</v>
      </c>
    </row>
    <row r="51" spans="1:2">
      <c r="A51" s="343">
        <f t="shared" si="0"/>
        <v>43382</v>
      </c>
      <c r="B51" s="344">
        <v>46.424999999999997</v>
      </c>
    </row>
    <row r="52" spans="1:2">
      <c r="A52" s="343">
        <f t="shared" si="0"/>
        <v>43383</v>
      </c>
      <c r="B52" s="344">
        <v>45.39</v>
      </c>
    </row>
    <row r="53" spans="1:2">
      <c r="A53" s="343">
        <f t="shared" si="0"/>
        <v>43384</v>
      </c>
      <c r="B53" s="344">
        <v>43.61</v>
      </c>
    </row>
    <row r="54" spans="1:2">
      <c r="A54" s="343">
        <f t="shared" si="0"/>
        <v>43385</v>
      </c>
      <c r="B54" s="344">
        <v>50.000999999999998</v>
      </c>
    </row>
    <row r="55" spans="1:2">
      <c r="A55" s="343">
        <f t="shared" si="0"/>
        <v>43386</v>
      </c>
      <c r="B55" s="344">
        <v>49.203000000000003</v>
      </c>
    </row>
    <row r="56" spans="1:2">
      <c r="A56" s="343">
        <f t="shared" si="0"/>
        <v>43387</v>
      </c>
      <c r="B56" s="344">
        <v>51.326000000000001</v>
      </c>
    </row>
    <row r="57" spans="1:2">
      <c r="A57" s="343">
        <f t="shared" si="0"/>
        <v>43388</v>
      </c>
      <c r="B57" s="344">
        <v>41.57</v>
      </c>
    </row>
    <row r="58" spans="1:2">
      <c r="A58" s="343">
        <f t="shared" si="0"/>
        <v>43389</v>
      </c>
      <c r="B58" s="344">
        <v>46.585000000000001</v>
      </c>
    </row>
    <row r="59" spans="1:2">
      <c r="A59" s="343">
        <f t="shared" si="0"/>
        <v>43390</v>
      </c>
      <c r="B59" s="344">
        <v>49.319000000000003</v>
      </c>
    </row>
    <row r="60" spans="1:2">
      <c r="A60" s="343">
        <f t="shared" si="0"/>
        <v>43391</v>
      </c>
      <c r="B60" s="344">
        <v>32.606999999999999</v>
      </c>
    </row>
    <row r="61" spans="1:2">
      <c r="A61" s="343">
        <f t="shared" si="0"/>
        <v>43392</v>
      </c>
      <c r="B61" s="344">
        <v>0</v>
      </c>
    </row>
    <row r="62" spans="1:2">
      <c r="A62" s="343">
        <f t="shared" si="0"/>
        <v>43393</v>
      </c>
      <c r="B62" s="344">
        <v>0</v>
      </c>
    </row>
    <row r="63" spans="1:2">
      <c r="A63" s="343">
        <f t="shared" si="0"/>
        <v>43394</v>
      </c>
      <c r="B63" s="344">
        <v>0</v>
      </c>
    </row>
    <row r="64" spans="1:2">
      <c r="A64" s="343">
        <f t="shared" si="0"/>
        <v>43395</v>
      </c>
      <c r="B64" s="344">
        <v>0</v>
      </c>
    </row>
    <row r="65" spans="1:2">
      <c r="A65" s="343">
        <f t="shared" si="0"/>
        <v>43396</v>
      </c>
      <c r="B65" s="344">
        <v>13.936999999999999</v>
      </c>
    </row>
    <row r="66" spans="1:2">
      <c r="A66" s="343">
        <f t="shared" si="0"/>
        <v>43397</v>
      </c>
      <c r="B66" s="344">
        <v>40.542000000000002</v>
      </c>
    </row>
    <row r="67" spans="1:2">
      <c r="A67" s="343">
        <f t="shared" si="0"/>
        <v>43398</v>
      </c>
      <c r="B67" s="344">
        <v>45.07</v>
      </c>
    </row>
    <row r="68" spans="1:2">
      <c r="A68" s="343">
        <f t="shared" ref="A68:A131" si="1">A67+1</f>
        <v>43399</v>
      </c>
      <c r="B68" s="344">
        <v>49.604999999999997</v>
      </c>
    </row>
    <row r="69" spans="1:2">
      <c r="A69" s="343">
        <f t="shared" si="1"/>
        <v>43400</v>
      </c>
      <c r="B69" s="344">
        <v>51.524999999999999</v>
      </c>
    </row>
    <row r="70" spans="1:2">
      <c r="A70" s="343">
        <f t="shared" si="1"/>
        <v>43401</v>
      </c>
      <c r="B70" s="344">
        <v>47.95</v>
      </c>
    </row>
    <row r="71" spans="1:2">
      <c r="A71" s="343">
        <f t="shared" si="1"/>
        <v>43402</v>
      </c>
      <c r="B71" s="344">
        <v>42.091999999999999</v>
      </c>
    </row>
    <row r="72" spans="1:2">
      <c r="A72" s="343">
        <f t="shared" si="1"/>
        <v>43403</v>
      </c>
      <c r="B72" s="344">
        <v>48.777999999999999</v>
      </c>
    </row>
    <row r="73" spans="1:2">
      <c r="A73" s="343">
        <f t="shared" si="1"/>
        <v>43404</v>
      </c>
      <c r="B73" s="344">
        <v>53.3</v>
      </c>
    </row>
    <row r="74" spans="1:2">
      <c r="A74" s="343">
        <f t="shared" si="1"/>
        <v>43405</v>
      </c>
      <c r="B74" s="344">
        <v>50.74</v>
      </c>
    </row>
    <row r="75" spans="1:2">
      <c r="A75" s="343">
        <f t="shared" si="1"/>
        <v>43406</v>
      </c>
      <c r="B75" s="344">
        <v>51.05</v>
      </c>
    </row>
    <row r="76" spans="1:2">
      <c r="A76" s="343">
        <f t="shared" si="1"/>
        <v>43407</v>
      </c>
      <c r="B76" s="344">
        <v>51.841000000000001</v>
      </c>
    </row>
    <row r="77" spans="1:2">
      <c r="A77" s="343">
        <f t="shared" si="1"/>
        <v>43408</v>
      </c>
      <c r="B77" s="344">
        <v>50.472999999999999</v>
      </c>
    </row>
    <row r="78" spans="1:2">
      <c r="A78" s="343">
        <f t="shared" si="1"/>
        <v>43409</v>
      </c>
      <c r="B78" s="344">
        <v>44.496000000000002</v>
      </c>
    </row>
    <row r="79" spans="1:2">
      <c r="A79" s="343">
        <f t="shared" si="1"/>
        <v>43410</v>
      </c>
      <c r="B79" s="344">
        <v>43.944000000000003</v>
      </c>
    </row>
    <row r="80" spans="1:2">
      <c r="A80" s="343">
        <f t="shared" si="1"/>
        <v>43411</v>
      </c>
      <c r="B80" s="344">
        <v>45.494</v>
      </c>
    </row>
    <row r="81" spans="1:2">
      <c r="A81" s="343">
        <f t="shared" si="1"/>
        <v>43412</v>
      </c>
      <c r="B81" s="344">
        <v>44.563000000000002</v>
      </c>
    </row>
    <row r="82" spans="1:2">
      <c r="A82" s="343">
        <f t="shared" si="1"/>
        <v>43413</v>
      </c>
      <c r="B82" s="344">
        <v>43.756999999999998</v>
      </c>
    </row>
    <row r="83" spans="1:2">
      <c r="A83" s="343">
        <f t="shared" si="1"/>
        <v>43414</v>
      </c>
      <c r="B83" s="344">
        <v>46.781999999999996</v>
      </c>
    </row>
    <row r="84" spans="1:2">
      <c r="A84" s="343">
        <f t="shared" si="1"/>
        <v>43415</v>
      </c>
      <c r="B84" s="344">
        <v>45.121000000000002</v>
      </c>
    </row>
    <row r="85" spans="1:2">
      <c r="A85" s="343">
        <f t="shared" si="1"/>
        <v>43416</v>
      </c>
      <c r="B85" s="344">
        <v>40.841000000000001</v>
      </c>
    </row>
    <row r="86" spans="1:2">
      <c r="A86" s="343">
        <f t="shared" si="1"/>
        <v>43417</v>
      </c>
      <c r="B86" s="344">
        <v>46.923000000000002</v>
      </c>
    </row>
    <row r="87" spans="1:2">
      <c r="A87" s="343">
        <f t="shared" si="1"/>
        <v>43418</v>
      </c>
      <c r="B87" s="344">
        <v>48.109000000000002</v>
      </c>
    </row>
    <row r="88" spans="1:2">
      <c r="A88" s="343">
        <f t="shared" si="1"/>
        <v>43419</v>
      </c>
      <c r="B88" s="344">
        <v>47.545999999999999</v>
      </c>
    </row>
    <row r="89" spans="1:2">
      <c r="A89" s="343">
        <f t="shared" si="1"/>
        <v>43420</v>
      </c>
      <c r="B89" s="344">
        <v>47.69</v>
      </c>
    </row>
    <row r="90" spans="1:2">
      <c r="A90" s="343">
        <f t="shared" si="1"/>
        <v>43421</v>
      </c>
      <c r="B90" s="344">
        <v>49.244999999999997</v>
      </c>
    </row>
    <row r="91" spans="1:2">
      <c r="A91" s="343">
        <f t="shared" si="1"/>
        <v>43422</v>
      </c>
      <c r="B91" s="344">
        <v>50.963999999999999</v>
      </c>
    </row>
    <row r="92" spans="1:2">
      <c r="A92" s="343">
        <f t="shared" si="1"/>
        <v>43423</v>
      </c>
      <c r="B92" s="344">
        <v>42.710999999999999</v>
      </c>
    </row>
    <row r="93" spans="1:2">
      <c r="A93" s="343">
        <f t="shared" si="1"/>
        <v>43424</v>
      </c>
      <c r="B93" s="344">
        <v>49.29</v>
      </c>
    </row>
    <row r="94" spans="1:2">
      <c r="A94" s="343">
        <f t="shared" si="1"/>
        <v>43425</v>
      </c>
      <c r="B94" s="344">
        <v>49.78</v>
      </c>
    </row>
    <row r="95" spans="1:2">
      <c r="A95" s="343">
        <f t="shared" si="1"/>
        <v>43426</v>
      </c>
      <c r="B95" s="344">
        <v>52.83</v>
      </c>
    </row>
    <row r="96" spans="1:2">
      <c r="A96" s="343">
        <f t="shared" si="1"/>
        <v>43427</v>
      </c>
      <c r="B96" s="344">
        <v>49.01</v>
      </c>
    </row>
    <row r="97" spans="1:2">
      <c r="A97" s="343">
        <f t="shared" si="1"/>
        <v>43428</v>
      </c>
      <c r="B97" s="344">
        <v>51.128</v>
      </c>
    </row>
    <row r="98" spans="1:2">
      <c r="A98" s="343">
        <f t="shared" si="1"/>
        <v>43429</v>
      </c>
      <c r="B98" s="344">
        <v>50.639000000000003</v>
      </c>
    </row>
    <row r="99" spans="1:2">
      <c r="A99" s="343">
        <f t="shared" si="1"/>
        <v>43430</v>
      </c>
      <c r="B99" s="344">
        <v>45.621000000000002</v>
      </c>
    </row>
    <row r="100" spans="1:2">
      <c r="A100" s="343">
        <f t="shared" si="1"/>
        <v>43431</v>
      </c>
      <c r="B100" s="344">
        <v>49.798999999999999</v>
      </c>
    </row>
    <row r="101" spans="1:2">
      <c r="A101" s="343">
        <f t="shared" si="1"/>
        <v>43432</v>
      </c>
      <c r="B101" s="344">
        <v>52.65</v>
      </c>
    </row>
    <row r="102" spans="1:2">
      <c r="A102" s="343">
        <f t="shared" si="1"/>
        <v>43433</v>
      </c>
      <c r="B102" s="344">
        <v>47.292000000000002</v>
      </c>
    </row>
    <row r="103" spans="1:2">
      <c r="A103" s="343">
        <f t="shared" si="1"/>
        <v>43434</v>
      </c>
      <c r="B103" s="344">
        <v>43.621000000000002</v>
      </c>
    </row>
    <row r="104" spans="1:2">
      <c r="A104" s="343">
        <f t="shared" si="1"/>
        <v>43435</v>
      </c>
      <c r="B104" s="344">
        <v>53.506999999999998</v>
      </c>
    </row>
    <row r="105" spans="1:2">
      <c r="A105" s="343">
        <f t="shared" si="1"/>
        <v>43436</v>
      </c>
      <c r="B105" s="344">
        <v>46.366999999999997</v>
      </c>
    </row>
    <row r="106" spans="1:2">
      <c r="A106" s="343">
        <f t="shared" si="1"/>
        <v>43437</v>
      </c>
      <c r="B106" s="344">
        <v>46.067999999999998</v>
      </c>
    </row>
    <row r="107" spans="1:2">
      <c r="A107" s="343">
        <f t="shared" si="1"/>
        <v>43438</v>
      </c>
      <c r="B107" s="344">
        <v>50.938000000000002</v>
      </c>
    </row>
    <row r="108" spans="1:2">
      <c r="A108" s="343">
        <f t="shared" si="1"/>
        <v>43439</v>
      </c>
      <c r="B108" s="344">
        <v>52.45</v>
      </c>
    </row>
    <row r="109" spans="1:2">
      <c r="A109" s="343">
        <f t="shared" si="1"/>
        <v>43440</v>
      </c>
      <c r="B109" s="344">
        <v>51.8</v>
      </c>
    </row>
    <row r="110" spans="1:2">
      <c r="A110" s="343">
        <f t="shared" si="1"/>
        <v>43441</v>
      </c>
      <c r="B110" s="344">
        <v>53.5</v>
      </c>
    </row>
    <row r="111" spans="1:2">
      <c r="A111" s="343">
        <f t="shared" si="1"/>
        <v>43442</v>
      </c>
      <c r="B111" s="344">
        <v>52.87</v>
      </c>
    </row>
    <row r="112" spans="1:2">
      <c r="A112" s="343">
        <f t="shared" si="1"/>
        <v>43443</v>
      </c>
      <c r="B112" s="344">
        <v>50.155000000000001</v>
      </c>
    </row>
    <row r="113" spans="1:2">
      <c r="A113" s="343">
        <f t="shared" si="1"/>
        <v>43444</v>
      </c>
      <c r="B113" s="344">
        <v>45.746000000000002</v>
      </c>
    </row>
    <row r="114" spans="1:2">
      <c r="A114" s="343">
        <f t="shared" si="1"/>
        <v>43445</v>
      </c>
      <c r="B114" s="344">
        <v>50.128999999999998</v>
      </c>
    </row>
    <row r="115" spans="1:2">
      <c r="A115" s="343">
        <f t="shared" si="1"/>
        <v>43446</v>
      </c>
      <c r="B115" s="344">
        <v>54.02</v>
      </c>
    </row>
    <row r="116" spans="1:2">
      <c r="A116" s="343">
        <f t="shared" si="1"/>
        <v>43447</v>
      </c>
      <c r="B116" s="344">
        <v>50.335000000000001</v>
      </c>
    </row>
    <row r="117" spans="1:2">
      <c r="A117" s="343">
        <f t="shared" si="1"/>
        <v>43448</v>
      </c>
      <c r="B117" s="344">
        <v>51.994999999999997</v>
      </c>
    </row>
    <row r="118" spans="1:2">
      <c r="A118" s="343">
        <f t="shared" si="1"/>
        <v>43449</v>
      </c>
      <c r="B118" s="344">
        <v>51.927</v>
      </c>
    </row>
    <row r="119" spans="1:2">
      <c r="A119" s="343">
        <f t="shared" si="1"/>
        <v>43450</v>
      </c>
      <c r="B119" s="344">
        <v>51.823</v>
      </c>
    </row>
    <row r="120" spans="1:2">
      <c r="A120" s="343">
        <f t="shared" si="1"/>
        <v>43451</v>
      </c>
      <c r="B120" s="344">
        <v>46.05</v>
      </c>
    </row>
    <row r="121" spans="1:2">
      <c r="A121" s="343">
        <f t="shared" si="1"/>
        <v>43452</v>
      </c>
      <c r="B121" s="344">
        <v>51.405000000000001</v>
      </c>
    </row>
    <row r="122" spans="1:2">
      <c r="A122" s="343">
        <f t="shared" si="1"/>
        <v>43453</v>
      </c>
      <c r="B122" s="344">
        <v>52.719000000000001</v>
      </c>
    </row>
    <row r="123" spans="1:2">
      <c r="A123" s="343">
        <f t="shared" si="1"/>
        <v>43454</v>
      </c>
      <c r="B123" s="344">
        <v>49.862000000000002</v>
      </c>
    </row>
    <row r="124" spans="1:2">
      <c r="A124" s="343">
        <f t="shared" si="1"/>
        <v>43455</v>
      </c>
      <c r="B124" s="344">
        <v>50.246000000000002</v>
      </c>
    </row>
    <row r="125" spans="1:2">
      <c r="A125" s="343">
        <f t="shared" si="1"/>
        <v>43456</v>
      </c>
      <c r="B125" s="344">
        <v>55.597999999999999</v>
      </c>
    </row>
    <row r="126" spans="1:2">
      <c r="A126" s="343">
        <f t="shared" si="1"/>
        <v>43457</v>
      </c>
      <c r="B126" s="344">
        <v>52.62</v>
      </c>
    </row>
    <row r="127" spans="1:2">
      <c r="A127" s="343">
        <f t="shared" si="1"/>
        <v>43458</v>
      </c>
      <c r="B127" s="344">
        <v>40.25</v>
      </c>
    </row>
    <row r="128" spans="1:2">
      <c r="A128" s="343">
        <f t="shared" si="1"/>
        <v>43459</v>
      </c>
      <c r="B128" s="344">
        <v>50.05</v>
      </c>
    </row>
    <row r="129" spans="1:2">
      <c r="A129" s="343">
        <f t="shared" si="1"/>
        <v>43460</v>
      </c>
      <c r="B129" s="344">
        <v>47.35</v>
      </c>
    </row>
    <row r="130" spans="1:2">
      <c r="A130" s="343">
        <f t="shared" si="1"/>
        <v>43461</v>
      </c>
      <c r="B130" s="344">
        <v>49.12</v>
      </c>
    </row>
    <row r="131" spans="1:2">
      <c r="A131" s="343">
        <f t="shared" si="1"/>
        <v>43462</v>
      </c>
      <c r="B131" s="344">
        <v>52.13</v>
      </c>
    </row>
    <row r="132" spans="1:2">
      <c r="A132" s="343">
        <f t="shared" ref="A132:A133" si="2">A131+1</f>
        <v>43463</v>
      </c>
      <c r="B132" s="344">
        <v>50.43</v>
      </c>
    </row>
    <row r="133" spans="1:2">
      <c r="A133" s="343">
        <f t="shared" si="2"/>
        <v>43464</v>
      </c>
      <c r="B133" s="344">
        <v>43.77</v>
      </c>
    </row>
    <row r="134" spans="1:2">
      <c r="A134" s="346" t="s">
        <v>321</v>
      </c>
      <c r="B134" s="347">
        <f>SUM(B2:B133)</f>
        <v>5562.7000000000016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3CC44-AFBE-403D-85C6-351D81FAA927}">
  <dimension ref="A1:B367"/>
  <sheetViews>
    <sheetView topLeftCell="A338" zoomScale="115" zoomScaleNormal="115" workbookViewId="0">
      <selection activeCell="M355" sqref="M355"/>
    </sheetView>
  </sheetViews>
  <sheetFormatPr defaultColWidth="9.23046875" defaultRowHeight="14.5"/>
  <cols>
    <col min="1" max="1" width="10.84375" style="349" bestFit="1" customWidth="1"/>
    <col min="2" max="2" width="10.3828125" style="342" bestFit="1" customWidth="1"/>
    <col min="3" max="16384" width="9.23046875" style="342"/>
  </cols>
  <sheetData>
    <row r="1" spans="1:2">
      <c r="A1" s="341" t="s">
        <v>322</v>
      </c>
      <c r="B1" s="341" t="s">
        <v>338</v>
      </c>
    </row>
    <row r="2" spans="1:2">
      <c r="A2" s="345">
        <v>43465</v>
      </c>
      <c r="B2" s="344">
        <v>41.006999999999998</v>
      </c>
    </row>
    <row r="3" spans="1:2">
      <c r="A3" s="345">
        <f>A2+1</f>
        <v>43466</v>
      </c>
      <c r="B3" s="344">
        <v>40.194000000000003</v>
      </c>
    </row>
    <row r="4" spans="1:2">
      <c r="A4" s="345">
        <f t="shared" ref="A4:A67" si="0">A3+1</f>
        <v>43467</v>
      </c>
      <c r="B4" s="344">
        <v>50.335999999999999</v>
      </c>
    </row>
    <row r="5" spans="1:2">
      <c r="A5" s="345">
        <f t="shared" si="0"/>
        <v>43468</v>
      </c>
      <c r="B5" s="344">
        <v>51.683</v>
      </c>
    </row>
    <row r="6" spans="1:2">
      <c r="A6" s="345">
        <f t="shared" si="0"/>
        <v>43469</v>
      </c>
      <c r="B6" s="344">
        <v>50.79</v>
      </c>
    </row>
    <row r="7" spans="1:2">
      <c r="A7" s="345">
        <f t="shared" si="0"/>
        <v>43470</v>
      </c>
      <c r="B7" s="344">
        <v>49.86</v>
      </c>
    </row>
    <row r="8" spans="1:2">
      <c r="A8" s="345">
        <f t="shared" si="0"/>
        <v>43471</v>
      </c>
      <c r="B8" s="344">
        <v>45.091000000000001</v>
      </c>
    </row>
    <row r="9" spans="1:2">
      <c r="A9" s="345">
        <f t="shared" si="0"/>
        <v>43472</v>
      </c>
      <c r="B9" s="344">
        <v>42.838999999999999</v>
      </c>
    </row>
    <row r="10" spans="1:2">
      <c r="A10" s="345">
        <f t="shared" si="0"/>
        <v>43473</v>
      </c>
      <c r="B10" s="344">
        <v>48.863999999999997</v>
      </c>
    </row>
    <row r="11" spans="1:2">
      <c r="A11" s="345">
        <f t="shared" si="0"/>
        <v>43474</v>
      </c>
      <c r="B11" s="344">
        <v>47.847000000000001</v>
      </c>
    </row>
    <row r="12" spans="1:2">
      <c r="A12" s="345">
        <f t="shared" si="0"/>
        <v>43475</v>
      </c>
      <c r="B12" s="344">
        <v>49.561999999999998</v>
      </c>
    </row>
    <row r="13" spans="1:2">
      <c r="A13" s="345">
        <f t="shared" si="0"/>
        <v>43476</v>
      </c>
      <c r="B13" s="344">
        <v>50.363</v>
      </c>
    </row>
    <row r="14" spans="1:2">
      <c r="A14" s="345">
        <f t="shared" si="0"/>
        <v>43477</v>
      </c>
      <c r="B14" s="344">
        <v>50.613999999999997</v>
      </c>
    </row>
    <row r="15" spans="1:2">
      <c r="A15" s="345">
        <f t="shared" si="0"/>
        <v>43478</v>
      </c>
      <c r="B15" s="344">
        <v>47.2</v>
      </c>
    </row>
    <row r="16" spans="1:2">
      <c r="A16" s="345">
        <f t="shared" si="0"/>
        <v>43479</v>
      </c>
      <c r="B16" s="344">
        <v>40.950000000000003</v>
      </c>
    </row>
    <row r="17" spans="1:2">
      <c r="A17" s="345">
        <f t="shared" si="0"/>
        <v>43480</v>
      </c>
      <c r="B17" s="344">
        <v>43.2</v>
      </c>
    </row>
    <row r="18" spans="1:2">
      <c r="A18" s="345">
        <f t="shared" si="0"/>
        <v>43481</v>
      </c>
      <c r="B18" s="344">
        <v>52.598999999999997</v>
      </c>
    </row>
    <row r="19" spans="1:2">
      <c r="A19" s="345">
        <f t="shared" si="0"/>
        <v>43482</v>
      </c>
      <c r="B19" s="344">
        <v>53.6</v>
      </c>
    </row>
    <row r="20" spans="1:2">
      <c r="A20" s="345">
        <f t="shared" si="0"/>
        <v>43483</v>
      </c>
      <c r="B20" s="344">
        <v>52.55</v>
      </c>
    </row>
    <row r="21" spans="1:2">
      <c r="A21" s="345">
        <f t="shared" si="0"/>
        <v>43484</v>
      </c>
      <c r="B21" s="344">
        <v>48.661000000000001</v>
      </c>
    </row>
    <row r="22" spans="1:2">
      <c r="A22" s="345">
        <f t="shared" si="0"/>
        <v>43485</v>
      </c>
      <c r="B22" s="344">
        <v>51.363999999999997</v>
      </c>
    </row>
    <row r="23" spans="1:2">
      <c r="A23" s="345">
        <f t="shared" si="0"/>
        <v>43486</v>
      </c>
      <c r="B23" s="344">
        <v>31.555</v>
      </c>
    </row>
    <row r="24" spans="1:2">
      <c r="A24" s="345">
        <f t="shared" si="0"/>
        <v>43487</v>
      </c>
      <c r="B24" s="344">
        <v>52.06</v>
      </c>
    </row>
    <row r="25" spans="1:2">
      <c r="A25" s="345">
        <f t="shared" si="0"/>
        <v>43488</v>
      </c>
      <c r="B25" s="344">
        <v>54.207999999999998</v>
      </c>
    </row>
    <row r="26" spans="1:2">
      <c r="A26" s="345">
        <f t="shared" si="0"/>
        <v>43489</v>
      </c>
      <c r="B26" s="344">
        <v>38.722000000000001</v>
      </c>
    </row>
    <row r="27" spans="1:2">
      <c r="A27" s="345">
        <f t="shared" si="0"/>
        <v>43490</v>
      </c>
      <c r="B27" s="344">
        <v>51.594999999999999</v>
      </c>
    </row>
    <row r="28" spans="1:2">
      <c r="A28" s="345">
        <f t="shared" si="0"/>
        <v>43491</v>
      </c>
      <c r="B28" s="344">
        <v>55.85</v>
      </c>
    </row>
    <row r="29" spans="1:2">
      <c r="A29" s="345">
        <f t="shared" si="0"/>
        <v>43492</v>
      </c>
      <c r="B29" s="344">
        <v>57.195</v>
      </c>
    </row>
    <row r="30" spans="1:2">
      <c r="A30" s="345">
        <f t="shared" si="0"/>
        <v>43493</v>
      </c>
      <c r="B30" s="344">
        <v>47.34</v>
      </c>
    </row>
    <row r="31" spans="1:2">
      <c r="A31" s="345">
        <f t="shared" si="0"/>
        <v>43494</v>
      </c>
      <c r="B31" s="344">
        <v>47.161999999999999</v>
      </c>
    </row>
    <row r="32" spans="1:2">
      <c r="A32" s="345">
        <f t="shared" si="0"/>
        <v>43495</v>
      </c>
      <c r="B32" s="344">
        <v>51.204000000000001</v>
      </c>
    </row>
    <row r="33" spans="1:2">
      <c r="A33" s="345">
        <f t="shared" si="0"/>
        <v>43496</v>
      </c>
      <c r="B33" s="344">
        <v>56.956000000000003</v>
      </c>
    </row>
    <row r="34" spans="1:2">
      <c r="A34" s="345">
        <f t="shared" si="0"/>
        <v>43497</v>
      </c>
      <c r="B34" s="344">
        <v>54.764000000000003</v>
      </c>
    </row>
    <row r="35" spans="1:2">
      <c r="A35" s="345">
        <f t="shared" si="0"/>
        <v>43498</v>
      </c>
      <c r="B35" s="344">
        <v>53.713999999999999</v>
      </c>
    </row>
    <row r="36" spans="1:2">
      <c r="A36" s="345">
        <f t="shared" si="0"/>
        <v>43499</v>
      </c>
      <c r="B36" s="344">
        <v>47.866999999999997</v>
      </c>
    </row>
    <row r="37" spans="1:2">
      <c r="A37" s="345">
        <f t="shared" si="0"/>
        <v>43500</v>
      </c>
      <c r="B37" s="344">
        <v>43.66</v>
      </c>
    </row>
    <row r="38" spans="1:2">
      <c r="A38" s="345">
        <f t="shared" si="0"/>
        <v>43501</v>
      </c>
      <c r="B38" s="344">
        <v>53.642000000000003</v>
      </c>
    </row>
    <row r="39" spans="1:2">
      <c r="A39" s="345">
        <f t="shared" si="0"/>
        <v>43502</v>
      </c>
      <c r="B39" s="344">
        <v>54.030999999999999</v>
      </c>
    </row>
    <row r="40" spans="1:2">
      <c r="A40" s="345">
        <f t="shared" si="0"/>
        <v>43503</v>
      </c>
      <c r="B40" s="344">
        <v>52.55</v>
      </c>
    </row>
    <row r="41" spans="1:2">
      <c r="A41" s="345">
        <f t="shared" si="0"/>
        <v>43504</v>
      </c>
      <c r="B41" s="344">
        <v>53.25</v>
      </c>
    </row>
    <row r="42" spans="1:2">
      <c r="A42" s="345">
        <f t="shared" si="0"/>
        <v>43505</v>
      </c>
      <c r="B42" s="344">
        <v>55.570999999999998</v>
      </c>
    </row>
    <row r="43" spans="1:2">
      <c r="A43" s="345">
        <f t="shared" si="0"/>
        <v>43506</v>
      </c>
      <c r="B43" s="344">
        <v>54.731000000000002</v>
      </c>
    </row>
    <row r="44" spans="1:2">
      <c r="A44" s="345">
        <f t="shared" si="0"/>
        <v>43507</v>
      </c>
      <c r="B44" s="344">
        <v>36.487000000000002</v>
      </c>
    </row>
    <row r="45" spans="1:2">
      <c r="A45" s="345">
        <f t="shared" si="0"/>
        <v>43508</v>
      </c>
      <c r="B45" s="344">
        <v>48.661000000000001</v>
      </c>
    </row>
    <row r="46" spans="1:2">
      <c r="A46" s="345">
        <f t="shared" si="0"/>
        <v>43509</v>
      </c>
      <c r="B46" s="344">
        <v>47.122999999999998</v>
      </c>
    </row>
    <row r="47" spans="1:2">
      <c r="A47" s="345">
        <f t="shared" si="0"/>
        <v>43510</v>
      </c>
      <c r="B47" s="344">
        <v>47.241999999999997</v>
      </c>
    </row>
    <row r="48" spans="1:2">
      <c r="A48" s="345">
        <f t="shared" si="0"/>
        <v>43511</v>
      </c>
      <c r="B48" s="344">
        <v>46.414999999999999</v>
      </c>
    </row>
    <row r="49" spans="1:2">
      <c r="A49" s="345">
        <f t="shared" si="0"/>
        <v>43512</v>
      </c>
      <c r="B49" s="344">
        <v>48.691000000000003</v>
      </c>
    </row>
    <row r="50" spans="1:2">
      <c r="A50" s="345">
        <f t="shared" si="0"/>
        <v>43513</v>
      </c>
      <c r="B50" s="344">
        <v>47.533999999999999</v>
      </c>
    </row>
    <row r="51" spans="1:2">
      <c r="A51" s="345">
        <f t="shared" si="0"/>
        <v>43514</v>
      </c>
      <c r="B51" s="344">
        <v>41.545000000000002</v>
      </c>
    </row>
    <row r="52" spans="1:2">
      <c r="A52" s="345">
        <f t="shared" si="0"/>
        <v>43515</v>
      </c>
      <c r="B52" s="344">
        <v>47.991</v>
      </c>
    </row>
    <row r="53" spans="1:2">
      <c r="A53" s="345">
        <f t="shared" si="0"/>
        <v>43516</v>
      </c>
      <c r="B53" s="344">
        <v>47.972000000000001</v>
      </c>
    </row>
    <row r="54" spans="1:2">
      <c r="A54" s="345">
        <f t="shared" si="0"/>
        <v>43517</v>
      </c>
      <c r="B54" s="344">
        <v>45.222000000000001</v>
      </c>
    </row>
    <row r="55" spans="1:2">
      <c r="A55" s="345">
        <f t="shared" si="0"/>
        <v>43518</v>
      </c>
      <c r="B55" s="344">
        <v>47.281999999999996</v>
      </c>
    </row>
    <row r="56" spans="1:2">
      <c r="A56" s="345">
        <f t="shared" si="0"/>
        <v>43519</v>
      </c>
      <c r="B56" s="344">
        <v>47.732999999999997</v>
      </c>
    </row>
    <row r="57" spans="1:2">
      <c r="A57" s="345">
        <f t="shared" si="0"/>
        <v>43520</v>
      </c>
      <c r="B57" s="344">
        <v>47.2</v>
      </c>
    </row>
    <row r="58" spans="1:2">
      <c r="A58" s="345">
        <f t="shared" si="0"/>
        <v>43521</v>
      </c>
      <c r="B58" s="344">
        <v>42.796999999999997</v>
      </c>
    </row>
    <row r="59" spans="1:2">
      <c r="A59" s="345">
        <f t="shared" si="0"/>
        <v>43522</v>
      </c>
      <c r="B59" s="344">
        <v>45.988999999999997</v>
      </c>
    </row>
    <row r="60" spans="1:2">
      <c r="A60" s="345">
        <f t="shared" si="0"/>
        <v>43523</v>
      </c>
      <c r="B60" s="344">
        <v>46.463999999999999</v>
      </c>
    </row>
    <row r="61" spans="1:2">
      <c r="A61" s="345">
        <f t="shared" si="0"/>
        <v>43524</v>
      </c>
      <c r="B61" s="344">
        <v>47.05</v>
      </c>
    </row>
    <row r="62" spans="1:2">
      <c r="A62" s="345">
        <f t="shared" si="0"/>
        <v>43525</v>
      </c>
      <c r="B62" s="344">
        <v>45.524999999999999</v>
      </c>
    </row>
    <row r="63" spans="1:2">
      <c r="A63" s="345">
        <f t="shared" si="0"/>
        <v>43526</v>
      </c>
      <c r="B63" s="344">
        <v>46.87</v>
      </c>
    </row>
    <row r="64" spans="1:2">
      <c r="A64" s="345">
        <f t="shared" si="0"/>
        <v>43527</v>
      </c>
      <c r="B64" s="344">
        <v>50.432000000000002</v>
      </c>
    </row>
    <row r="65" spans="1:2">
      <c r="A65" s="345">
        <f t="shared" si="0"/>
        <v>43528</v>
      </c>
      <c r="B65" s="344">
        <v>40.655000000000001</v>
      </c>
    </row>
    <row r="66" spans="1:2">
      <c r="A66" s="345">
        <f t="shared" si="0"/>
        <v>43529</v>
      </c>
      <c r="B66" s="344">
        <v>46.969000000000001</v>
      </c>
    </row>
    <row r="67" spans="1:2">
      <c r="A67" s="345">
        <f t="shared" si="0"/>
        <v>43530</v>
      </c>
      <c r="B67" s="344">
        <v>35.328000000000003</v>
      </c>
    </row>
    <row r="68" spans="1:2">
      <c r="A68" s="345">
        <f t="shared" ref="A68:A131" si="1">A67+1</f>
        <v>43531</v>
      </c>
      <c r="B68" s="344">
        <v>36.006</v>
      </c>
    </row>
    <row r="69" spans="1:2">
      <c r="A69" s="345">
        <f t="shared" si="1"/>
        <v>43532</v>
      </c>
      <c r="B69" s="344">
        <v>45.741999999999997</v>
      </c>
    </row>
    <row r="70" spans="1:2">
      <c r="A70" s="345">
        <f t="shared" si="1"/>
        <v>43533</v>
      </c>
      <c r="B70" s="344">
        <v>50.037999999999997</v>
      </c>
    </row>
    <row r="71" spans="1:2">
      <c r="A71" s="345">
        <f t="shared" si="1"/>
        <v>43534</v>
      </c>
      <c r="B71" s="344">
        <v>50.673000000000002</v>
      </c>
    </row>
    <row r="72" spans="1:2">
      <c r="A72" s="345">
        <f t="shared" si="1"/>
        <v>43535</v>
      </c>
      <c r="B72" s="344">
        <v>42.962000000000003</v>
      </c>
    </row>
    <row r="73" spans="1:2">
      <c r="A73" s="345">
        <f t="shared" si="1"/>
        <v>43536</v>
      </c>
      <c r="B73" s="344">
        <v>39.991999999999997</v>
      </c>
    </row>
    <row r="74" spans="1:2">
      <c r="A74" s="345">
        <f t="shared" si="1"/>
        <v>43537</v>
      </c>
      <c r="B74" s="344">
        <v>42.904000000000003</v>
      </c>
    </row>
    <row r="75" spans="1:2">
      <c r="A75" s="345">
        <f t="shared" si="1"/>
        <v>43538</v>
      </c>
      <c r="B75" s="344">
        <v>44.713999999999999</v>
      </c>
    </row>
    <row r="76" spans="1:2">
      <c r="A76" s="345">
        <f t="shared" si="1"/>
        <v>43539</v>
      </c>
      <c r="B76" s="344">
        <v>47.976999999999997</v>
      </c>
    </row>
    <row r="77" spans="1:2">
      <c r="A77" s="345">
        <f t="shared" si="1"/>
        <v>43540</v>
      </c>
      <c r="B77" s="344">
        <v>40.923000000000002</v>
      </c>
    </row>
    <row r="78" spans="1:2">
      <c r="A78" s="345">
        <f t="shared" si="1"/>
        <v>43541</v>
      </c>
      <c r="B78" s="344">
        <v>40.840000000000003</v>
      </c>
    </row>
    <row r="79" spans="1:2">
      <c r="A79" s="345">
        <f t="shared" si="1"/>
        <v>43542</v>
      </c>
      <c r="B79" s="344">
        <v>41.055</v>
      </c>
    </row>
    <row r="80" spans="1:2">
      <c r="A80" s="345">
        <f t="shared" si="1"/>
        <v>43543</v>
      </c>
      <c r="B80" s="344">
        <v>46.773000000000003</v>
      </c>
    </row>
    <row r="81" spans="1:2">
      <c r="A81" s="345">
        <f t="shared" si="1"/>
        <v>43544</v>
      </c>
      <c r="B81" s="344">
        <v>52.072000000000003</v>
      </c>
    </row>
    <row r="82" spans="1:2">
      <c r="A82" s="345">
        <f t="shared" si="1"/>
        <v>43545</v>
      </c>
      <c r="B82" s="344">
        <v>56.5</v>
      </c>
    </row>
    <row r="83" spans="1:2">
      <c r="A83" s="345">
        <f t="shared" si="1"/>
        <v>43546</v>
      </c>
      <c r="B83" s="344">
        <v>54.256</v>
      </c>
    </row>
    <row r="84" spans="1:2">
      <c r="A84" s="345">
        <f t="shared" si="1"/>
        <v>43547</v>
      </c>
      <c r="B84" s="344">
        <v>51.344000000000001</v>
      </c>
    </row>
    <row r="85" spans="1:2">
      <c r="A85" s="345">
        <f t="shared" si="1"/>
        <v>43548</v>
      </c>
      <c r="B85" s="344">
        <v>48.914999999999999</v>
      </c>
    </row>
    <row r="86" spans="1:2">
      <c r="A86" s="345">
        <f t="shared" si="1"/>
        <v>43549</v>
      </c>
      <c r="B86" s="344">
        <v>46.585999999999999</v>
      </c>
    </row>
    <row r="87" spans="1:2">
      <c r="A87" s="345">
        <f t="shared" si="1"/>
        <v>43550</v>
      </c>
      <c r="B87" s="344">
        <v>47.999000000000002</v>
      </c>
    </row>
    <row r="88" spans="1:2">
      <c r="A88" s="345">
        <f t="shared" si="1"/>
        <v>43551</v>
      </c>
      <c r="B88" s="344">
        <v>47.975000000000001</v>
      </c>
    </row>
    <row r="89" spans="1:2">
      <c r="A89" s="345">
        <f t="shared" si="1"/>
        <v>43552</v>
      </c>
      <c r="B89" s="344">
        <v>46.685000000000002</v>
      </c>
    </row>
    <row r="90" spans="1:2">
      <c r="A90" s="345">
        <f t="shared" si="1"/>
        <v>43553</v>
      </c>
      <c r="B90" s="344">
        <v>45.912999999999997</v>
      </c>
    </row>
    <row r="91" spans="1:2">
      <c r="A91" s="345">
        <f t="shared" si="1"/>
        <v>43554</v>
      </c>
      <c r="B91" s="344">
        <v>48.095999999999997</v>
      </c>
    </row>
    <row r="92" spans="1:2">
      <c r="A92" s="345">
        <f t="shared" si="1"/>
        <v>43555</v>
      </c>
      <c r="B92" s="344">
        <v>53.26</v>
      </c>
    </row>
    <row r="93" spans="1:2">
      <c r="A93" s="345">
        <f t="shared" si="1"/>
        <v>43556</v>
      </c>
      <c r="B93" s="344">
        <v>47.405999999999999</v>
      </c>
    </row>
    <row r="94" spans="1:2">
      <c r="A94" s="345">
        <f t="shared" si="1"/>
        <v>43557</v>
      </c>
      <c r="B94" s="344">
        <v>47.151000000000003</v>
      </c>
    </row>
    <row r="95" spans="1:2">
      <c r="A95" s="345">
        <f t="shared" si="1"/>
        <v>43558</v>
      </c>
      <c r="B95" s="344">
        <v>46.679000000000002</v>
      </c>
    </row>
    <row r="96" spans="1:2">
      <c r="A96" s="345">
        <f t="shared" si="1"/>
        <v>43559</v>
      </c>
      <c r="B96" s="344">
        <v>51.207999999999998</v>
      </c>
    </row>
    <row r="97" spans="1:2">
      <c r="A97" s="345">
        <f t="shared" si="1"/>
        <v>43560</v>
      </c>
      <c r="B97" s="344">
        <v>54.377000000000002</v>
      </c>
    </row>
    <row r="98" spans="1:2">
      <c r="A98" s="345">
        <f t="shared" si="1"/>
        <v>43561</v>
      </c>
      <c r="B98" s="344">
        <v>56.2</v>
      </c>
    </row>
    <row r="99" spans="1:2">
      <c r="A99" s="345">
        <f t="shared" si="1"/>
        <v>43562</v>
      </c>
      <c r="B99" s="344">
        <v>53.2</v>
      </c>
    </row>
    <row r="100" spans="1:2">
      <c r="A100" s="345">
        <f t="shared" si="1"/>
        <v>43563</v>
      </c>
      <c r="B100" s="344">
        <v>51.125</v>
      </c>
    </row>
    <row r="101" spans="1:2">
      <c r="A101" s="345">
        <f t="shared" si="1"/>
        <v>43564</v>
      </c>
      <c r="B101" s="344">
        <v>54.524999999999999</v>
      </c>
    </row>
    <row r="102" spans="1:2">
      <c r="A102" s="345">
        <f t="shared" si="1"/>
        <v>43565</v>
      </c>
      <c r="B102" s="344">
        <v>51.45</v>
      </c>
    </row>
    <row r="103" spans="1:2">
      <c r="A103" s="345">
        <f t="shared" si="1"/>
        <v>43566</v>
      </c>
      <c r="B103" s="344">
        <v>51.5</v>
      </c>
    </row>
    <row r="104" spans="1:2">
      <c r="A104" s="345">
        <f t="shared" si="1"/>
        <v>43567</v>
      </c>
      <c r="B104" s="344">
        <v>52.05</v>
      </c>
    </row>
    <row r="105" spans="1:2">
      <c r="A105" s="345">
        <f t="shared" si="1"/>
        <v>43568</v>
      </c>
      <c r="B105" s="344">
        <v>49.701999999999998</v>
      </c>
    </row>
    <row r="106" spans="1:2">
      <c r="A106" s="345">
        <f t="shared" si="1"/>
        <v>43569</v>
      </c>
      <c r="B106" s="344">
        <v>47.198999999999998</v>
      </c>
    </row>
    <row r="107" spans="1:2">
      <c r="A107" s="345">
        <f t="shared" si="1"/>
        <v>43570</v>
      </c>
      <c r="B107" s="344">
        <v>40.423000000000002</v>
      </c>
    </row>
    <row r="108" spans="1:2">
      <c r="A108" s="345">
        <f t="shared" si="1"/>
        <v>43571</v>
      </c>
      <c r="B108" s="344">
        <v>37.457000000000001</v>
      </c>
    </row>
    <row r="109" spans="1:2">
      <c r="A109" s="345">
        <f t="shared" si="1"/>
        <v>43572</v>
      </c>
      <c r="B109" s="344">
        <v>45.719000000000001</v>
      </c>
    </row>
    <row r="110" spans="1:2">
      <c r="A110" s="345">
        <f t="shared" si="1"/>
        <v>43573</v>
      </c>
      <c r="B110" s="344">
        <v>53.024999999999999</v>
      </c>
    </row>
    <row r="111" spans="1:2">
      <c r="A111" s="345">
        <f t="shared" si="1"/>
        <v>43574</v>
      </c>
      <c r="B111" s="344">
        <v>50.375</v>
      </c>
    </row>
    <row r="112" spans="1:2">
      <c r="A112" s="345">
        <f t="shared" si="1"/>
        <v>43575</v>
      </c>
      <c r="B112" s="344">
        <v>33.21</v>
      </c>
    </row>
    <row r="113" spans="1:2">
      <c r="A113" s="345">
        <f t="shared" si="1"/>
        <v>43576</v>
      </c>
      <c r="B113" s="344">
        <v>38.012999999999998</v>
      </c>
    </row>
    <row r="114" spans="1:2">
      <c r="A114" s="345">
        <f t="shared" si="1"/>
        <v>43577</v>
      </c>
      <c r="B114" s="344">
        <v>53.347000000000001</v>
      </c>
    </row>
    <row r="115" spans="1:2">
      <c r="A115" s="345">
        <f t="shared" si="1"/>
        <v>43578</v>
      </c>
      <c r="B115" s="344">
        <v>50.701000000000001</v>
      </c>
    </row>
    <row r="116" spans="1:2">
      <c r="A116" s="345">
        <f t="shared" si="1"/>
        <v>43579</v>
      </c>
      <c r="B116" s="344">
        <v>51.923999999999999</v>
      </c>
    </row>
    <row r="117" spans="1:2">
      <c r="A117" s="345">
        <f t="shared" si="1"/>
        <v>43580</v>
      </c>
      <c r="B117" s="344">
        <v>51.542000000000002</v>
      </c>
    </row>
    <row r="118" spans="1:2">
      <c r="A118" s="345">
        <f t="shared" si="1"/>
        <v>43581</v>
      </c>
      <c r="B118" s="344">
        <v>54.41</v>
      </c>
    </row>
    <row r="119" spans="1:2">
      <c r="A119" s="345">
        <f t="shared" si="1"/>
        <v>43582</v>
      </c>
      <c r="B119" s="344">
        <v>51.753</v>
      </c>
    </row>
    <row r="120" spans="1:2">
      <c r="A120" s="345">
        <f t="shared" si="1"/>
        <v>43583</v>
      </c>
      <c r="B120" s="344">
        <v>49.65</v>
      </c>
    </row>
    <row r="121" spans="1:2">
      <c r="A121" s="345">
        <f t="shared" si="1"/>
        <v>43584</v>
      </c>
      <c r="B121" s="344">
        <v>25.504999999999999</v>
      </c>
    </row>
    <row r="122" spans="1:2">
      <c r="A122" s="345">
        <f t="shared" si="1"/>
        <v>43585</v>
      </c>
      <c r="B122" s="344">
        <v>45.045000000000002</v>
      </c>
    </row>
    <row r="123" spans="1:2">
      <c r="A123" s="345">
        <f t="shared" si="1"/>
        <v>43586</v>
      </c>
      <c r="B123" s="344">
        <v>43.05</v>
      </c>
    </row>
    <row r="124" spans="1:2">
      <c r="A124" s="345">
        <f t="shared" si="1"/>
        <v>43587</v>
      </c>
      <c r="B124" s="344">
        <v>54</v>
      </c>
    </row>
    <row r="125" spans="1:2">
      <c r="A125" s="345">
        <f t="shared" si="1"/>
        <v>43588</v>
      </c>
      <c r="B125" s="344">
        <v>54.104999999999997</v>
      </c>
    </row>
    <row r="126" spans="1:2">
      <c r="A126" s="345">
        <f t="shared" si="1"/>
        <v>43589</v>
      </c>
      <c r="B126" s="344">
        <v>53.820999999999998</v>
      </c>
    </row>
    <row r="127" spans="1:2">
      <c r="A127" s="345">
        <f t="shared" si="1"/>
        <v>43590</v>
      </c>
      <c r="B127" s="344">
        <v>56.223999999999997</v>
      </c>
    </row>
    <row r="128" spans="1:2">
      <c r="A128" s="345">
        <f t="shared" si="1"/>
        <v>43591</v>
      </c>
      <c r="B128" s="344">
        <v>26.396999999999998</v>
      </c>
    </row>
    <row r="129" spans="1:2">
      <c r="A129" s="345">
        <f t="shared" si="1"/>
        <v>43592</v>
      </c>
      <c r="B129" s="344">
        <v>53.493000000000002</v>
      </c>
    </row>
    <row r="130" spans="1:2">
      <c r="A130" s="345">
        <f t="shared" si="1"/>
        <v>43593</v>
      </c>
      <c r="B130" s="344">
        <v>61.759</v>
      </c>
    </row>
    <row r="131" spans="1:2">
      <c r="A131" s="345">
        <f t="shared" si="1"/>
        <v>43594</v>
      </c>
      <c r="B131" s="344">
        <v>61.496000000000002</v>
      </c>
    </row>
    <row r="132" spans="1:2">
      <c r="A132" s="345">
        <f t="shared" ref="A132:A195" si="2">A131+1</f>
        <v>43595</v>
      </c>
      <c r="B132" s="344">
        <v>55.86</v>
      </c>
    </row>
    <row r="133" spans="1:2">
      <c r="A133" s="345">
        <f t="shared" si="2"/>
        <v>43596</v>
      </c>
      <c r="B133" s="344">
        <v>60.195999999999998</v>
      </c>
    </row>
    <row r="134" spans="1:2">
      <c r="A134" s="345">
        <f t="shared" si="2"/>
        <v>43597</v>
      </c>
      <c r="B134" s="344">
        <v>50.682000000000002</v>
      </c>
    </row>
    <row r="135" spans="1:2">
      <c r="A135" s="345">
        <f t="shared" si="2"/>
        <v>43598</v>
      </c>
      <c r="B135" s="344">
        <v>43.866999999999997</v>
      </c>
    </row>
    <row r="136" spans="1:2">
      <c r="A136" s="345">
        <f t="shared" si="2"/>
        <v>43599</v>
      </c>
      <c r="B136" s="344">
        <v>52.48</v>
      </c>
    </row>
    <row r="137" spans="1:2">
      <c r="A137" s="345">
        <f t="shared" si="2"/>
        <v>43600</v>
      </c>
      <c r="B137" s="344">
        <v>53.280999999999999</v>
      </c>
    </row>
    <row r="138" spans="1:2">
      <c r="A138" s="345">
        <f t="shared" si="2"/>
        <v>43601</v>
      </c>
      <c r="B138" s="344">
        <v>50.332999999999998</v>
      </c>
    </row>
    <row r="139" spans="1:2">
      <c r="A139" s="345">
        <f t="shared" si="2"/>
        <v>43602</v>
      </c>
      <c r="B139" s="344">
        <v>52.378</v>
      </c>
    </row>
    <row r="140" spans="1:2">
      <c r="A140" s="345">
        <f t="shared" si="2"/>
        <v>43603</v>
      </c>
      <c r="B140" s="344">
        <v>50.628</v>
      </c>
    </row>
    <row r="141" spans="1:2">
      <c r="A141" s="345">
        <f t="shared" si="2"/>
        <v>43604</v>
      </c>
      <c r="B141" s="344">
        <v>49.8</v>
      </c>
    </row>
    <row r="142" spans="1:2">
      <c r="A142" s="345">
        <f t="shared" si="2"/>
        <v>43605</v>
      </c>
      <c r="B142" s="344">
        <v>44.94</v>
      </c>
    </row>
    <row r="143" spans="1:2">
      <c r="A143" s="345">
        <f t="shared" si="2"/>
        <v>43606</v>
      </c>
      <c r="B143" s="344">
        <v>52.46</v>
      </c>
    </row>
    <row r="144" spans="1:2">
      <c r="A144" s="345">
        <f t="shared" si="2"/>
        <v>43607</v>
      </c>
      <c r="B144" s="344">
        <v>52.95</v>
      </c>
    </row>
    <row r="145" spans="1:2">
      <c r="A145" s="345">
        <f t="shared" si="2"/>
        <v>43608</v>
      </c>
      <c r="B145" s="344">
        <v>47.914999999999999</v>
      </c>
    </row>
    <row r="146" spans="1:2">
      <c r="A146" s="345">
        <f t="shared" si="2"/>
        <v>43609</v>
      </c>
      <c r="B146" s="344">
        <v>50.384999999999998</v>
      </c>
    </row>
    <row r="147" spans="1:2">
      <c r="A147" s="345">
        <f t="shared" si="2"/>
        <v>43610</v>
      </c>
      <c r="B147" s="344">
        <v>52.996000000000002</v>
      </c>
    </row>
    <row r="148" spans="1:2">
      <c r="A148" s="345">
        <f t="shared" si="2"/>
        <v>43611</v>
      </c>
      <c r="B148" s="344">
        <v>53.610999999999997</v>
      </c>
    </row>
    <row r="149" spans="1:2">
      <c r="A149" s="345">
        <f t="shared" si="2"/>
        <v>43612</v>
      </c>
      <c r="B149" s="344">
        <v>42.884999999999998</v>
      </c>
    </row>
    <row r="150" spans="1:2">
      <c r="A150" s="345">
        <f t="shared" si="2"/>
        <v>43613</v>
      </c>
      <c r="B150" s="344">
        <v>54.008000000000003</v>
      </c>
    </row>
    <row r="151" spans="1:2">
      <c r="A151" s="345">
        <f t="shared" si="2"/>
        <v>43614</v>
      </c>
      <c r="B151" s="344">
        <v>43.18</v>
      </c>
    </row>
    <row r="152" spans="1:2">
      <c r="A152" s="345">
        <f t="shared" si="2"/>
        <v>43615</v>
      </c>
      <c r="B152" s="344">
        <v>43.171999999999997</v>
      </c>
    </row>
    <row r="153" spans="1:2">
      <c r="A153" s="345">
        <f t="shared" si="2"/>
        <v>43616</v>
      </c>
      <c r="B153" s="344">
        <v>46.648000000000003</v>
      </c>
    </row>
    <row r="154" spans="1:2">
      <c r="A154" s="345">
        <f t="shared" si="2"/>
        <v>43617</v>
      </c>
      <c r="B154" s="344">
        <v>47.524999999999999</v>
      </c>
    </row>
    <row r="155" spans="1:2">
      <c r="A155" s="345">
        <f t="shared" si="2"/>
        <v>43618</v>
      </c>
      <c r="B155" s="344">
        <v>47.164999999999999</v>
      </c>
    </row>
    <row r="156" spans="1:2">
      <c r="A156" s="345">
        <f t="shared" si="2"/>
        <v>43619</v>
      </c>
      <c r="B156" s="344">
        <v>44.41</v>
      </c>
    </row>
    <row r="157" spans="1:2">
      <c r="A157" s="345">
        <f t="shared" si="2"/>
        <v>43620</v>
      </c>
      <c r="B157" s="344">
        <v>49.414999999999999</v>
      </c>
    </row>
    <row r="158" spans="1:2">
      <c r="A158" s="345">
        <f t="shared" si="2"/>
        <v>43621</v>
      </c>
      <c r="B158" s="344">
        <v>38.357999999999997</v>
      </c>
    </row>
    <row r="159" spans="1:2">
      <c r="A159" s="345">
        <f t="shared" si="2"/>
        <v>43622</v>
      </c>
      <c r="B159" s="344">
        <v>46.433</v>
      </c>
    </row>
    <row r="160" spans="1:2">
      <c r="A160" s="345">
        <f t="shared" si="2"/>
        <v>43623</v>
      </c>
      <c r="B160" s="344">
        <v>36.331000000000003</v>
      </c>
    </row>
    <row r="161" spans="1:2">
      <c r="A161" s="345">
        <f t="shared" si="2"/>
        <v>43624</v>
      </c>
      <c r="B161" s="344">
        <v>3.7000000000043656</v>
      </c>
    </row>
    <row r="162" spans="1:2">
      <c r="A162" s="345">
        <f t="shared" si="2"/>
        <v>43625</v>
      </c>
      <c r="B162" s="344">
        <v>38.543999999999997</v>
      </c>
    </row>
    <row r="163" spans="1:2">
      <c r="A163" s="345">
        <f t="shared" si="2"/>
        <v>43626</v>
      </c>
      <c r="B163" s="344">
        <v>46.561</v>
      </c>
    </row>
    <row r="164" spans="1:2">
      <c r="A164" s="345">
        <f t="shared" si="2"/>
        <v>43627</v>
      </c>
      <c r="B164" s="344">
        <v>49.255000000000003</v>
      </c>
    </row>
    <row r="165" spans="1:2">
      <c r="A165" s="345">
        <f t="shared" si="2"/>
        <v>43628</v>
      </c>
      <c r="B165" s="344">
        <v>52.634999999999998</v>
      </c>
    </row>
    <row r="166" spans="1:2">
      <c r="A166" s="345">
        <f t="shared" si="2"/>
        <v>43629</v>
      </c>
      <c r="B166" s="344">
        <v>50.4</v>
      </c>
    </row>
    <row r="167" spans="1:2">
      <c r="A167" s="345">
        <f t="shared" si="2"/>
        <v>43630</v>
      </c>
      <c r="B167" s="344">
        <v>49.8</v>
      </c>
    </row>
    <row r="168" spans="1:2">
      <c r="A168" s="345">
        <f t="shared" si="2"/>
        <v>43631</v>
      </c>
      <c r="B168" s="344">
        <v>50.822000000000003</v>
      </c>
    </row>
    <row r="169" spans="1:2">
      <c r="A169" s="345">
        <f t="shared" si="2"/>
        <v>43632</v>
      </c>
      <c r="B169" s="344">
        <v>25.978000000000002</v>
      </c>
    </row>
    <row r="170" spans="1:2">
      <c r="A170" s="345">
        <f t="shared" si="2"/>
        <v>43633</v>
      </c>
      <c r="B170" s="344">
        <v>37.652000000000001</v>
      </c>
    </row>
    <row r="171" spans="1:2">
      <c r="A171" s="345">
        <f t="shared" si="2"/>
        <v>43634</v>
      </c>
      <c r="B171" s="344">
        <v>46.247999999999998</v>
      </c>
    </row>
    <row r="172" spans="1:2">
      <c r="A172" s="345">
        <f t="shared" si="2"/>
        <v>43635</v>
      </c>
      <c r="B172" s="344">
        <v>44.805</v>
      </c>
    </row>
    <row r="173" spans="1:2">
      <c r="A173" s="345">
        <f t="shared" si="2"/>
        <v>43636</v>
      </c>
      <c r="B173" s="344">
        <v>44.887</v>
      </c>
    </row>
    <row r="174" spans="1:2">
      <c r="A174" s="345">
        <f t="shared" si="2"/>
        <v>43637</v>
      </c>
      <c r="B174" s="344">
        <v>50.118000000000002</v>
      </c>
    </row>
    <row r="175" spans="1:2">
      <c r="A175" s="345">
        <f t="shared" si="2"/>
        <v>43638</v>
      </c>
      <c r="B175" s="344">
        <v>51.680999999999997</v>
      </c>
    </row>
    <row r="176" spans="1:2">
      <c r="A176" s="345">
        <f t="shared" si="2"/>
        <v>43639</v>
      </c>
      <c r="B176" s="344">
        <v>55.04</v>
      </c>
    </row>
    <row r="177" spans="1:2">
      <c r="A177" s="345">
        <f t="shared" si="2"/>
        <v>43640</v>
      </c>
      <c r="B177" s="344">
        <v>50.448999999999998</v>
      </c>
    </row>
    <row r="178" spans="1:2">
      <c r="A178" s="345">
        <f t="shared" si="2"/>
        <v>43641</v>
      </c>
      <c r="B178" s="344">
        <v>49.451999999999998</v>
      </c>
    </row>
    <row r="179" spans="1:2">
      <c r="A179" s="345">
        <f t="shared" si="2"/>
        <v>43642</v>
      </c>
      <c r="B179" s="344">
        <v>43.682000000000002</v>
      </c>
    </row>
    <row r="180" spans="1:2">
      <c r="A180" s="345">
        <f t="shared" si="2"/>
        <v>43643</v>
      </c>
      <c r="B180" s="344">
        <v>23.367000000000001</v>
      </c>
    </row>
    <row r="181" spans="1:2">
      <c r="A181" s="345">
        <f t="shared" si="2"/>
        <v>43644</v>
      </c>
      <c r="B181" s="344">
        <v>40.238999999999997</v>
      </c>
    </row>
    <row r="182" spans="1:2">
      <c r="A182" s="345">
        <f t="shared" si="2"/>
        <v>43645</v>
      </c>
      <c r="B182" s="344">
        <v>44.747</v>
      </c>
    </row>
    <row r="183" spans="1:2">
      <c r="A183" s="345">
        <f t="shared" si="2"/>
        <v>43646</v>
      </c>
      <c r="B183" s="344">
        <v>45.183</v>
      </c>
    </row>
    <row r="184" spans="1:2">
      <c r="A184" s="345">
        <f t="shared" si="2"/>
        <v>43647</v>
      </c>
      <c r="B184" s="344">
        <v>45.6</v>
      </c>
    </row>
    <row r="185" spans="1:2">
      <c r="A185" s="345">
        <f t="shared" si="2"/>
        <v>43648</v>
      </c>
      <c r="B185" s="344">
        <v>49.182000000000002</v>
      </c>
    </row>
    <row r="186" spans="1:2">
      <c r="A186" s="345">
        <f t="shared" si="2"/>
        <v>43649</v>
      </c>
      <c r="B186" s="344">
        <v>51.518000000000001</v>
      </c>
    </row>
    <row r="187" spans="1:2">
      <c r="A187" s="345">
        <f t="shared" si="2"/>
        <v>43650</v>
      </c>
      <c r="B187" s="344">
        <v>54.453000000000003</v>
      </c>
    </row>
    <row r="188" spans="1:2">
      <c r="A188" s="345">
        <f t="shared" si="2"/>
        <v>43651</v>
      </c>
      <c r="B188" s="344">
        <v>58.322000000000003</v>
      </c>
    </row>
    <row r="189" spans="1:2">
      <c r="A189" s="345">
        <f t="shared" si="2"/>
        <v>43652</v>
      </c>
      <c r="B189" s="344">
        <v>56.49</v>
      </c>
    </row>
    <row r="190" spans="1:2">
      <c r="A190" s="345">
        <f t="shared" si="2"/>
        <v>43653</v>
      </c>
      <c r="B190" s="344">
        <v>50.085000000000001</v>
      </c>
    </row>
    <row r="191" spans="1:2">
      <c r="A191" s="345">
        <f t="shared" si="2"/>
        <v>43654</v>
      </c>
      <c r="B191" s="344">
        <v>49.886000000000003</v>
      </c>
    </row>
    <row r="192" spans="1:2">
      <c r="A192" s="345">
        <f t="shared" si="2"/>
        <v>43655</v>
      </c>
      <c r="B192" s="344">
        <v>49.515000000000001</v>
      </c>
    </row>
    <row r="193" spans="1:2">
      <c r="A193" s="345">
        <f t="shared" si="2"/>
        <v>43656</v>
      </c>
      <c r="B193" s="344">
        <v>50.899000000000001</v>
      </c>
    </row>
    <row r="194" spans="1:2">
      <c r="A194" s="345">
        <f t="shared" si="2"/>
        <v>43657</v>
      </c>
      <c r="B194" s="344">
        <v>51.795000000000002</v>
      </c>
    </row>
    <row r="195" spans="1:2">
      <c r="A195" s="345">
        <f t="shared" si="2"/>
        <v>43658</v>
      </c>
      <c r="B195" s="344">
        <v>50.505000000000003</v>
      </c>
    </row>
    <row r="196" spans="1:2">
      <c r="A196" s="345">
        <f t="shared" ref="A196:A259" si="3">A195+1</f>
        <v>43659</v>
      </c>
      <c r="B196" s="344">
        <v>48.420999999999999</v>
      </c>
    </row>
    <row r="197" spans="1:2">
      <c r="A197" s="345">
        <f t="shared" si="3"/>
        <v>43660</v>
      </c>
      <c r="B197" s="344">
        <v>44.765000000000001</v>
      </c>
    </row>
    <row r="198" spans="1:2">
      <c r="A198" s="345">
        <f t="shared" si="3"/>
        <v>43661</v>
      </c>
      <c r="B198" s="344">
        <v>43.804000000000002</v>
      </c>
    </row>
    <row r="199" spans="1:2">
      <c r="A199" s="345">
        <f t="shared" si="3"/>
        <v>43662</v>
      </c>
      <c r="B199" s="344">
        <v>40.024000000000001</v>
      </c>
    </row>
    <row r="200" spans="1:2">
      <c r="A200" s="345">
        <f t="shared" si="3"/>
        <v>43663</v>
      </c>
      <c r="B200" s="344">
        <v>43.366999999999997</v>
      </c>
    </row>
    <row r="201" spans="1:2">
      <c r="A201" s="345">
        <f t="shared" si="3"/>
        <v>43664</v>
      </c>
      <c r="B201" s="344">
        <v>46.735999999999997</v>
      </c>
    </row>
    <row r="202" spans="1:2">
      <c r="A202" s="345">
        <f t="shared" si="3"/>
        <v>43665</v>
      </c>
      <c r="B202" s="344">
        <v>41.588000000000001</v>
      </c>
    </row>
    <row r="203" spans="1:2">
      <c r="A203" s="345">
        <f t="shared" si="3"/>
        <v>43666</v>
      </c>
      <c r="B203" s="344">
        <v>49.645000000000003</v>
      </c>
    </row>
    <row r="204" spans="1:2">
      <c r="A204" s="345">
        <f t="shared" si="3"/>
        <v>43667</v>
      </c>
      <c r="B204" s="344">
        <v>48.204999999999998</v>
      </c>
    </row>
    <row r="205" spans="1:2">
      <c r="A205" s="345">
        <f t="shared" si="3"/>
        <v>43668</v>
      </c>
      <c r="B205" s="344">
        <v>44.594999999999999</v>
      </c>
    </row>
    <row r="206" spans="1:2">
      <c r="A206" s="345">
        <f t="shared" si="3"/>
        <v>43669</v>
      </c>
      <c r="B206" s="344">
        <v>45.86</v>
      </c>
    </row>
    <row r="207" spans="1:2">
      <c r="A207" s="345">
        <f t="shared" si="3"/>
        <v>43670</v>
      </c>
      <c r="B207" s="344">
        <v>46.85</v>
      </c>
    </row>
    <row r="208" spans="1:2">
      <c r="A208" s="345">
        <f t="shared" si="3"/>
        <v>43671</v>
      </c>
      <c r="B208" s="344">
        <v>49.027999999999999</v>
      </c>
    </row>
    <row r="209" spans="1:2">
      <c r="A209" s="345">
        <f t="shared" si="3"/>
        <v>43672</v>
      </c>
      <c r="B209" s="344">
        <v>49.072000000000003</v>
      </c>
    </row>
    <row r="210" spans="1:2">
      <c r="A210" s="345">
        <f t="shared" si="3"/>
        <v>43673</v>
      </c>
      <c r="B210" s="344">
        <v>49.030999999999999</v>
      </c>
    </row>
    <row r="211" spans="1:2">
      <c r="A211" s="345">
        <f t="shared" si="3"/>
        <v>43674</v>
      </c>
      <c r="B211" s="344">
        <v>50.155000000000001</v>
      </c>
    </row>
    <row r="212" spans="1:2">
      <c r="A212" s="345">
        <f t="shared" si="3"/>
        <v>43675</v>
      </c>
      <c r="B212" s="344">
        <v>46.83</v>
      </c>
    </row>
    <row r="213" spans="1:2">
      <c r="A213" s="345">
        <f t="shared" si="3"/>
        <v>43676</v>
      </c>
      <c r="B213" s="344">
        <v>48.323999999999998</v>
      </c>
    </row>
    <row r="214" spans="1:2">
      <c r="A214" s="345">
        <f t="shared" si="3"/>
        <v>43677</v>
      </c>
      <c r="B214" s="344">
        <v>46.5</v>
      </c>
    </row>
    <row r="215" spans="1:2">
      <c r="A215" s="345">
        <f t="shared" si="3"/>
        <v>43678</v>
      </c>
      <c r="B215" s="344">
        <v>42.47</v>
      </c>
    </row>
    <row r="216" spans="1:2">
      <c r="A216" s="345">
        <f t="shared" si="3"/>
        <v>43679</v>
      </c>
      <c r="B216" s="344">
        <v>42.85</v>
      </c>
    </row>
    <row r="217" spans="1:2">
      <c r="A217" s="345">
        <f t="shared" si="3"/>
        <v>43680</v>
      </c>
      <c r="B217" s="344">
        <v>43.17</v>
      </c>
    </row>
    <row r="218" spans="1:2">
      <c r="A218" s="345">
        <f t="shared" si="3"/>
        <v>43681</v>
      </c>
      <c r="B218" s="344">
        <v>52.24</v>
      </c>
    </row>
    <row r="219" spans="1:2">
      <c r="A219" s="345">
        <f t="shared" si="3"/>
        <v>43682</v>
      </c>
      <c r="B219" s="344">
        <v>48.625</v>
      </c>
    </row>
    <row r="220" spans="1:2">
      <c r="A220" s="345">
        <f t="shared" si="3"/>
        <v>43683</v>
      </c>
      <c r="B220" s="344">
        <v>44.64</v>
      </c>
    </row>
    <row r="221" spans="1:2">
      <c r="A221" s="345">
        <f t="shared" si="3"/>
        <v>43684</v>
      </c>
      <c r="B221" s="344">
        <v>34.755000000000003</v>
      </c>
    </row>
    <row r="222" spans="1:2">
      <c r="A222" s="345">
        <f t="shared" si="3"/>
        <v>43685</v>
      </c>
      <c r="B222" s="344">
        <v>44.445</v>
      </c>
    </row>
    <row r="223" spans="1:2">
      <c r="A223" s="345">
        <f t="shared" si="3"/>
        <v>43686</v>
      </c>
      <c r="B223" s="344">
        <v>42.88</v>
      </c>
    </row>
    <row r="224" spans="1:2">
      <c r="A224" s="345">
        <f t="shared" si="3"/>
        <v>43687</v>
      </c>
      <c r="B224" s="344">
        <v>46.145000000000003</v>
      </c>
    </row>
    <row r="225" spans="1:2">
      <c r="A225" s="345">
        <f t="shared" si="3"/>
        <v>43688</v>
      </c>
      <c r="B225" s="344">
        <v>47.98</v>
      </c>
    </row>
    <row r="226" spans="1:2">
      <c r="A226" s="345">
        <f t="shared" si="3"/>
        <v>43689</v>
      </c>
      <c r="B226" s="344">
        <v>43.7</v>
      </c>
    </row>
    <row r="227" spans="1:2">
      <c r="A227" s="345">
        <f t="shared" si="3"/>
        <v>43690</v>
      </c>
      <c r="B227" s="344">
        <v>34.49</v>
      </c>
    </row>
    <row r="228" spans="1:2">
      <c r="A228" s="345">
        <f t="shared" si="3"/>
        <v>43691</v>
      </c>
      <c r="B228" s="344">
        <v>44.255000000000003</v>
      </c>
    </row>
    <row r="229" spans="1:2">
      <c r="A229" s="345">
        <f t="shared" si="3"/>
        <v>43692</v>
      </c>
      <c r="B229" s="344">
        <v>50.420999999999999</v>
      </c>
    </row>
    <row r="230" spans="1:2">
      <c r="A230" s="345">
        <f t="shared" si="3"/>
        <v>43693</v>
      </c>
      <c r="B230" s="344">
        <v>46.429000000000002</v>
      </c>
    </row>
    <row r="231" spans="1:2">
      <c r="A231" s="345">
        <f t="shared" si="3"/>
        <v>43694</v>
      </c>
      <c r="B231" s="344">
        <v>45.631</v>
      </c>
    </row>
    <row r="232" spans="1:2">
      <c r="A232" s="345">
        <f t="shared" si="3"/>
        <v>43695</v>
      </c>
      <c r="B232" s="344">
        <v>47.223999999999997</v>
      </c>
    </row>
    <row r="233" spans="1:2">
      <c r="A233" s="345">
        <f t="shared" si="3"/>
        <v>43696</v>
      </c>
      <c r="B233" s="344">
        <v>43.52</v>
      </c>
    </row>
    <row r="234" spans="1:2">
      <c r="A234" s="345">
        <f t="shared" si="3"/>
        <v>43697</v>
      </c>
      <c r="B234" s="344">
        <v>34.604999999999997</v>
      </c>
    </row>
    <row r="235" spans="1:2">
      <c r="A235" s="345">
        <f t="shared" si="3"/>
        <v>43698</v>
      </c>
      <c r="B235" s="344">
        <v>39.466999999999999</v>
      </c>
    </row>
    <row r="236" spans="1:2">
      <c r="A236" s="345">
        <f t="shared" si="3"/>
        <v>43699</v>
      </c>
      <c r="B236" s="344">
        <v>48.29</v>
      </c>
    </row>
    <row r="237" spans="1:2">
      <c r="A237" s="345">
        <f t="shared" si="3"/>
        <v>43700</v>
      </c>
      <c r="B237" s="344">
        <v>47.834000000000003</v>
      </c>
    </row>
    <row r="238" spans="1:2">
      <c r="A238" s="345">
        <f t="shared" si="3"/>
        <v>43701</v>
      </c>
      <c r="B238" s="344">
        <v>46.872</v>
      </c>
    </row>
    <row r="239" spans="1:2">
      <c r="A239" s="345">
        <f t="shared" si="3"/>
        <v>43702</v>
      </c>
      <c r="B239" s="344">
        <v>45.209000000000003</v>
      </c>
    </row>
    <row r="240" spans="1:2">
      <c r="A240" s="345">
        <f t="shared" si="3"/>
        <v>43703</v>
      </c>
      <c r="B240" s="344">
        <v>42.203000000000003</v>
      </c>
    </row>
    <row r="241" spans="1:2">
      <c r="A241" s="345">
        <f t="shared" si="3"/>
        <v>43704</v>
      </c>
      <c r="B241" s="344">
        <v>33.880000000000003</v>
      </c>
    </row>
    <row r="242" spans="1:2">
      <c r="A242" s="345">
        <f t="shared" si="3"/>
        <v>43705</v>
      </c>
      <c r="B242" s="344">
        <v>42.29</v>
      </c>
    </row>
    <row r="243" spans="1:2">
      <c r="A243" s="345">
        <f t="shared" si="3"/>
        <v>43706</v>
      </c>
      <c r="B243" s="344">
        <v>38.25</v>
      </c>
    </row>
    <row r="244" spans="1:2">
      <c r="A244" s="345">
        <f t="shared" si="3"/>
        <v>43707</v>
      </c>
      <c r="B244" s="344">
        <v>41.68</v>
      </c>
    </row>
    <row r="245" spans="1:2">
      <c r="A245" s="345">
        <f t="shared" si="3"/>
        <v>43708</v>
      </c>
      <c r="B245" s="344">
        <v>40.01</v>
      </c>
    </row>
    <row r="246" spans="1:2">
      <c r="A246" s="345">
        <f t="shared" si="3"/>
        <v>43709</v>
      </c>
      <c r="B246" s="344">
        <v>42.43</v>
      </c>
    </row>
    <row r="247" spans="1:2">
      <c r="A247" s="345">
        <f t="shared" si="3"/>
        <v>43710</v>
      </c>
      <c r="B247" s="344">
        <v>42.66</v>
      </c>
    </row>
    <row r="248" spans="1:2">
      <c r="A248" s="345">
        <f t="shared" si="3"/>
        <v>43711</v>
      </c>
      <c r="B248" s="344">
        <v>43.021000000000001</v>
      </c>
    </row>
    <row r="249" spans="1:2">
      <c r="A249" s="345">
        <f t="shared" si="3"/>
        <v>43712</v>
      </c>
      <c r="B249" s="344">
        <v>46.082000000000001</v>
      </c>
    </row>
    <row r="250" spans="1:2">
      <c r="A250" s="345">
        <f t="shared" si="3"/>
        <v>43713</v>
      </c>
      <c r="B250" s="344">
        <v>44.253</v>
      </c>
    </row>
    <row r="251" spans="1:2">
      <c r="A251" s="345">
        <f t="shared" si="3"/>
        <v>43714</v>
      </c>
      <c r="B251" s="344">
        <v>48.457000000000001</v>
      </c>
    </row>
    <row r="252" spans="1:2">
      <c r="A252" s="345">
        <f t="shared" si="3"/>
        <v>43715</v>
      </c>
      <c r="B252" s="344">
        <v>45.737000000000002</v>
      </c>
    </row>
    <row r="253" spans="1:2">
      <c r="A253" s="345">
        <f t="shared" si="3"/>
        <v>43716</v>
      </c>
      <c r="B253" s="344">
        <v>50.8</v>
      </c>
    </row>
    <row r="254" spans="1:2">
      <c r="A254" s="345">
        <f t="shared" si="3"/>
        <v>43717</v>
      </c>
      <c r="B254" s="344">
        <v>40.366</v>
      </c>
    </row>
    <row r="255" spans="1:2">
      <c r="A255" s="345">
        <f t="shared" si="3"/>
        <v>43718</v>
      </c>
      <c r="B255" s="344">
        <v>32.433999999999997</v>
      </c>
    </row>
    <row r="256" spans="1:2">
      <c r="A256" s="345">
        <f t="shared" si="3"/>
        <v>43719</v>
      </c>
      <c r="B256" s="344">
        <v>32.200000000000003</v>
      </c>
    </row>
    <row r="257" spans="1:2">
      <c r="A257" s="345">
        <f t="shared" si="3"/>
        <v>43720</v>
      </c>
      <c r="B257" s="344">
        <v>32.799999999999997</v>
      </c>
    </row>
    <row r="258" spans="1:2">
      <c r="A258" s="345">
        <f t="shared" si="3"/>
        <v>43721</v>
      </c>
      <c r="B258" s="344">
        <v>36.405000000000001</v>
      </c>
    </row>
    <row r="259" spans="1:2">
      <c r="A259" s="345">
        <f t="shared" si="3"/>
        <v>43722</v>
      </c>
      <c r="B259" s="344">
        <v>34.994999999999997</v>
      </c>
    </row>
    <row r="260" spans="1:2">
      <c r="A260" s="345">
        <f t="shared" ref="A260:A323" si="4">A259+1</f>
        <v>43723</v>
      </c>
      <c r="B260" s="344">
        <v>41.706000000000003</v>
      </c>
    </row>
    <row r="261" spans="1:2">
      <c r="A261" s="345">
        <f t="shared" si="4"/>
        <v>43724</v>
      </c>
      <c r="B261" s="344">
        <v>34.918999999999997</v>
      </c>
    </row>
    <row r="262" spans="1:2">
      <c r="A262" s="345">
        <f t="shared" si="4"/>
        <v>43725</v>
      </c>
      <c r="B262" s="344">
        <v>44.811999999999998</v>
      </c>
    </row>
    <row r="263" spans="1:2">
      <c r="A263" s="345">
        <f t="shared" si="4"/>
        <v>43726</v>
      </c>
      <c r="B263" s="344">
        <v>43.088999999999999</v>
      </c>
    </row>
    <row r="264" spans="1:2">
      <c r="A264" s="345">
        <f t="shared" si="4"/>
        <v>43727</v>
      </c>
      <c r="B264" s="344">
        <v>38.552</v>
      </c>
    </row>
    <row r="265" spans="1:2">
      <c r="A265" s="345">
        <f t="shared" si="4"/>
        <v>43728</v>
      </c>
      <c r="B265" s="344">
        <v>43.881999999999998</v>
      </c>
    </row>
    <row r="266" spans="1:2">
      <c r="A266" s="345">
        <f t="shared" si="4"/>
        <v>43729</v>
      </c>
      <c r="B266" s="344">
        <v>39.720999999999997</v>
      </c>
    </row>
    <row r="267" spans="1:2">
      <c r="A267" s="345">
        <f t="shared" si="4"/>
        <v>43730</v>
      </c>
      <c r="B267" s="344">
        <v>47.459000000000003</v>
      </c>
    </row>
    <row r="268" spans="1:2">
      <c r="A268" s="345">
        <f t="shared" si="4"/>
        <v>43731</v>
      </c>
      <c r="B268" s="344">
        <v>31.66</v>
      </c>
    </row>
    <row r="269" spans="1:2">
      <c r="A269" s="345">
        <f t="shared" si="4"/>
        <v>43732</v>
      </c>
      <c r="B269" s="344">
        <v>41.451999999999998</v>
      </c>
    </row>
    <row r="270" spans="1:2">
      <c r="A270" s="345">
        <f t="shared" si="4"/>
        <v>43733</v>
      </c>
      <c r="B270" s="344">
        <v>48.344999999999999</v>
      </c>
    </row>
    <row r="271" spans="1:2">
      <c r="A271" s="345">
        <f t="shared" si="4"/>
        <v>43734</v>
      </c>
      <c r="B271" s="344">
        <v>49.152999999999999</v>
      </c>
    </row>
    <row r="272" spans="1:2">
      <c r="A272" s="345">
        <f t="shared" si="4"/>
        <v>43735</v>
      </c>
      <c r="B272" s="344">
        <v>52</v>
      </c>
    </row>
    <row r="273" spans="1:2">
      <c r="A273" s="345">
        <f t="shared" si="4"/>
        <v>43736</v>
      </c>
      <c r="B273" s="344">
        <v>48.85</v>
      </c>
    </row>
    <row r="274" spans="1:2">
      <c r="A274" s="345">
        <f t="shared" si="4"/>
        <v>43737</v>
      </c>
      <c r="B274" s="344">
        <v>35.25</v>
      </c>
    </row>
    <row r="275" spans="1:2">
      <c r="A275" s="345">
        <f t="shared" si="4"/>
        <v>43738</v>
      </c>
      <c r="B275" s="344">
        <v>36.472000000000001</v>
      </c>
    </row>
    <row r="276" spans="1:2">
      <c r="A276" s="345">
        <f t="shared" si="4"/>
        <v>43739</v>
      </c>
      <c r="B276" s="344">
        <v>32.703000000000003</v>
      </c>
    </row>
    <row r="277" spans="1:2">
      <c r="A277" s="345">
        <f t="shared" si="4"/>
        <v>43740</v>
      </c>
      <c r="B277" s="344">
        <v>34.604999999999997</v>
      </c>
    </row>
    <row r="278" spans="1:2">
      <c r="A278" s="345">
        <f t="shared" si="4"/>
        <v>43741</v>
      </c>
      <c r="B278" s="344">
        <v>44.997</v>
      </c>
    </row>
    <row r="279" spans="1:2">
      <c r="A279" s="345">
        <f t="shared" si="4"/>
        <v>43742</v>
      </c>
      <c r="B279" s="344">
        <v>48.52</v>
      </c>
    </row>
    <row r="280" spans="1:2">
      <c r="A280" s="345">
        <f t="shared" si="4"/>
        <v>43743</v>
      </c>
      <c r="B280" s="344">
        <v>48.439</v>
      </c>
    </row>
    <row r="281" spans="1:2">
      <c r="A281" s="345">
        <f t="shared" si="4"/>
        <v>43744</v>
      </c>
      <c r="B281" s="344">
        <v>46.113999999999997</v>
      </c>
    </row>
    <row r="282" spans="1:2">
      <c r="A282" s="345">
        <f t="shared" si="4"/>
        <v>43745</v>
      </c>
      <c r="B282" s="344">
        <v>31.45</v>
      </c>
    </row>
    <row r="283" spans="1:2">
      <c r="A283" s="345">
        <f t="shared" si="4"/>
        <v>43746</v>
      </c>
      <c r="B283" s="344">
        <v>48.2</v>
      </c>
    </row>
    <row r="284" spans="1:2">
      <c r="A284" s="345">
        <f t="shared" si="4"/>
        <v>43747</v>
      </c>
      <c r="B284" s="344">
        <v>46.517000000000003</v>
      </c>
    </row>
    <row r="285" spans="1:2">
      <c r="A285" s="345">
        <f t="shared" si="4"/>
        <v>43748</v>
      </c>
      <c r="B285" s="344">
        <v>46.127000000000002</v>
      </c>
    </row>
    <row r="286" spans="1:2">
      <c r="A286" s="345">
        <f t="shared" si="4"/>
        <v>43749</v>
      </c>
      <c r="B286" s="344">
        <v>47.326000000000001</v>
      </c>
    </row>
    <row r="287" spans="1:2">
      <c r="A287" s="345">
        <f t="shared" si="4"/>
        <v>43750</v>
      </c>
      <c r="B287" s="344">
        <v>42.88</v>
      </c>
    </row>
    <row r="288" spans="1:2">
      <c r="A288" s="345">
        <f t="shared" si="4"/>
        <v>43751</v>
      </c>
      <c r="B288" s="344">
        <v>38.9</v>
      </c>
    </row>
    <row r="289" spans="1:2">
      <c r="A289" s="345">
        <f t="shared" si="4"/>
        <v>43752</v>
      </c>
      <c r="B289" s="344">
        <v>27.667999999999999</v>
      </c>
    </row>
    <row r="290" spans="1:2">
      <c r="A290" s="345">
        <f t="shared" si="4"/>
        <v>43753</v>
      </c>
      <c r="B290" s="344">
        <v>35.481999999999999</v>
      </c>
    </row>
    <row r="291" spans="1:2">
      <c r="A291" s="345">
        <f t="shared" si="4"/>
        <v>43754</v>
      </c>
      <c r="B291" s="344">
        <v>47.8</v>
      </c>
    </row>
    <row r="292" spans="1:2">
      <c r="A292" s="345">
        <f t="shared" si="4"/>
        <v>43755</v>
      </c>
      <c r="B292" s="344">
        <v>48.064999999999998</v>
      </c>
    </row>
    <row r="293" spans="1:2">
      <c r="A293" s="345">
        <f t="shared" si="4"/>
        <v>43756</v>
      </c>
      <c r="B293" s="344">
        <v>43.8</v>
      </c>
    </row>
    <row r="294" spans="1:2">
      <c r="A294" s="345">
        <f t="shared" si="4"/>
        <v>43757</v>
      </c>
      <c r="B294" s="344">
        <v>46.347000000000001</v>
      </c>
    </row>
    <row r="295" spans="1:2">
      <c r="A295" s="345">
        <f t="shared" si="4"/>
        <v>43758</v>
      </c>
      <c r="B295" s="344">
        <v>44.329000000000001</v>
      </c>
    </row>
    <row r="296" spans="1:2">
      <c r="A296" s="345">
        <f t="shared" si="4"/>
        <v>43759</v>
      </c>
      <c r="B296" s="344">
        <v>36.363</v>
      </c>
    </row>
    <row r="297" spans="1:2">
      <c r="A297" s="345">
        <f t="shared" si="4"/>
        <v>43760</v>
      </c>
      <c r="B297" s="344">
        <v>47.094999999999999</v>
      </c>
    </row>
    <row r="298" spans="1:2">
      <c r="A298" s="345">
        <f t="shared" si="4"/>
        <v>43761</v>
      </c>
      <c r="B298" s="344">
        <v>47.3</v>
      </c>
    </row>
    <row r="299" spans="1:2">
      <c r="A299" s="345">
        <f t="shared" si="4"/>
        <v>43762</v>
      </c>
      <c r="B299" s="344">
        <v>46.113999999999997</v>
      </c>
    </row>
    <row r="300" spans="1:2">
      <c r="A300" s="345">
        <f t="shared" si="4"/>
        <v>43763</v>
      </c>
      <c r="B300" s="344">
        <v>43.923999999999999</v>
      </c>
    </row>
    <row r="301" spans="1:2">
      <c r="A301" s="345">
        <f t="shared" si="4"/>
        <v>43764</v>
      </c>
      <c r="B301" s="344">
        <v>46.561</v>
      </c>
    </row>
    <row r="302" spans="1:2">
      <c r="A302" s="345">
        <f t="shared" si="4"/>
        <v>43765</v>
      </c>
      <c r="B302" s="344">
        <v>45.851999999999997</v>
      </c>
    </row>
    <row r="303" spans="1:2">
      <c r="A303" s="345">
        <f t="shared" si="4"/>
        <v>43766</v>
      </c>
      <c r="B303" s="344">
        <v>44.1</v>
      </c>
    </row>
    <row r="304" spans="1:2">
      <c r="A304" s="345">
        <f t="shared" si="4"/>
        <v>43767</v>
      </c>
      <c r="B304" s="344">
        <v>47.616</v>
      </c>
    </row>
    <row r="305" spans="1:2">
      <c r="A305" s="345">
        <f t="shared" si="4"/>
        <v>43768</v>
      </c>
      <c r="B305" s="344">
        <v>48.9</v>
      </c>
    </row>
    <row r="306" spans="1:2">
      <c r="A306" s="345">
        <f t="shared" si="4"/>
        <v>43769</v>
      </c>
      <c r="B306" s="344">
        <v>49.076000000000001</v>
      </c>
    </row>
    <row r="307" spans="1:2">
      <c r="A307" s="345">
        <f t="shared" si="4"/>
        <v>43770</v>
      </c>
      <c r="B307" s="344">
        <v>51.694000000000003</v>
      </c>
    </row>
    <row r="308" spans="1:2">
      <c r="A308" s="345">
        <f t="shared" si="4"/>
        <v>43771</v>
      </c>
      <c r="B308" s="344">
        <v>60.423999999999999</v>
      </c>
    </row>
    <row r="309" spans="1:2">
      <c r="A309" s="345">
        <f t="shared" si="4"/>
        <v>43772</v>
      </c>
      <c r="B309" s="344">
        <v>48.99</v>
      </c>
    </row>
    <row r="310" spans="1:2">
      <c r="A310" s="345">
        <f t="shared" si="4"/>
        <v>43773</v>
      </c>
      <c r="B310" s="344">
        <v>36.107999999999997</v>
      </c>
    </row>
    <row r="311" spans="1:2">
      <c r="A311" s="345">
        <f t="shared" si="4"/>
        <v>43774</v>
      </c>
      <c r="B311" s="344">
        <v>42.192</v>
      </c>
    </row>
    <row r="312" spans="1:2">
      <c r="A312" s="345">
        <f t="shared" si="4"/>
        <v>43775</v>
      </c>
      <c r="B312" s="344">
        <v>41.92</v>
      </c>
    </row>
    <row r="313" spans="1:2">
      <c r="A313" s="345">
        <f t="shared" si="4"/>
        <v>43776</v>
      </c>
      <c r="B313" s="344">
        <v>46.594999999999999</v>
      </c>
    </row>
    <row r="314" spans="1:2">
      <c r="A314" s="345">
        <f t="shared" si="4"/>
        <v>43777</v>
      </c>
      <c r="B314" s="344">
        <v>49.506</v>
      </c>
    </row>
    <row r="315" spans="1:2">
      <c r="A315" s="345">
        <f t="shared" si="4"/>
        <v>43778</v>
      </c>
      <c r="B315" s="344">
        <v>51.179000000000002</v>
      </c>
    </row>
    <row r="316" spans="1:2">
      <c r="A316" s="345">
        <f t="shared" si="4"/>
        <v>43779</v>
      </c>
      <c r="B316" s="344">
        <v>48.545999999999999</v>
      </c>
    </row>
    <row r="317" spans="1:2">
      <c r="A317" s="345">
        <f t="shared" si="4"/>
        <v>43780</v>
      </c>
      <c r="B317" s="344">
        <v>28.927</v>
      </c>
    </row>
    <row r="318" spans="1:2">
      <c r="A318" s="345">
        <f t="shared" si="4"/>
        <v>43781</v>
      </c>
      <c r="B318" s="344">
        <v>46.171999999999997</v>
      </c>
    </row>
    <row r="319" spans="1:2">
      <c r="A319" s="345">
        <f t="shared" si="4"/>
        <v>43782</v>
      </c>
      <c r="B319" s="344">
        <v>49.746000000000002</v>
      </c>
    </row>
    <row r="320" spans="1:2">
      <c r="A320" s="345">
        <f t="shared" si="4"/>
        <v>43783</v>
      </c>
      <c r="B320" s="344">
        <v>51.838000000000001</v>
      </c>
    </row>
    <row r="321" spans="1:2">
      <c r="A321" s="345">
        <f t="shared" si="4"/>
        <v>43784</v>
      </c>
      <c r="B321" s="344">
        <v>49.017000000000003</v>
      </c>
    </row>
    <row r="322" spans="1:2">
      <c r="A322" s="345">
        <f t="shared" si="4"/>
        <v>43785</v>
      </c>
      <c r="B322" s="344">
        <v>50.411000000000001</v>
      </c>
    </row>
    <row r="323" spans="1:2">
      <c r="A323" s="345">
        <f t="shared" si="4"/>
        <v>43786</v>
      </c>
      <c r="B323" s="344">
        <v>52.85</v>
      </c>
    </row>
    <row r="324" spans="1:2">
      <c r="A324" s="345">
        <f t="shared" ref="A324:A366" si="5">A323+1</f>
        <v>43787</v>
      </c>
      <c r="B324" s="344">
        <v>42.207999999999998</v>
      </c>
    </row>
    <row r="325" spans="1:2">
      <c r="A325" s="345">
        <f t="shared" si="5"/>
        <v>43788</v>
      </c>
      <c r="B325" s="344">
        <v>44.848999999999997</v>
      </c>
    </row>
    <row r="326" spans="1:2">
      <c r="A326" s="345">
        <f t="shared" si="5"/>
        <v>43789</v>
      </c>
      <c r="B326" s="344">
        <v>49.41</v>
      </c>
    </row>
    <row r="327" spans="1:2">
      <c r="A327" s="345">
        <f t="shared" si="5"/>
        <v>43790</v>
      </c>
      <c r="B327" s="344">
        <v>50.16</v>
      </c>
    </row>
    <row r="328" spans="1:2">
      <c r="A328" s="345">
        <f t="shared" si="5"/>
        <v>43791</v>
      </c>
      <c r="B328" s="344">
        <v>49.984999999999999</v>
      </c>
    </row>
    <row r="329" spans="1:2">
      <c r="A329" s="345">
        <f t="shared" si="5"/>
        <v>43792</v>
      </c>
      <c r="B329" s="344">
        <v>46.780999999999999</v>
      </c>
    </row>
    <row r="330" spans="1:2">
      <c r="A330" s="345">
        <f t="shared" si="5"/>
        <v>43793</v>
      </c>
      <c r="B330" s="344">
        <v>40.466999999999999</v>
      </c>
    </row>
    <row r="331" spans="1:2">
      <c r="A331" s="345">
        <f t="shared" si="5"/>
        <v>43794</v>
      </c>
      <c r="B331" s="344">
        <v>38.512999999999998</v>
      </c>
    </row>
    <row r="332" spans="1:2">
      <c r="A332" s="345">
        <f t="shared" si="5"/>
        <v>43795</v>
      </c>
      <c r="B332" s="344">
        <v>34.119</v>
      </c>
    </row>
    <row r="333" spans="1:2">
      <c r="A333" s="345">
        <f t="shared" si="5"/>
        <v>43796</v>
      </c>
      <c r="B333" s="344">
        <v>37.040999999999997</v>
      </c>
    </row>
    <row r="334" spans="1:2">
      <c r="A334" s="345">
        <f t="shared" si="5"/>
        <v>43797</v>
      </c>
      <c r="B334" s="344">
        <v>43.46</v>
      </c>
    </row>
    <row r="335" spans="1:2">
      <c r="A335" s="345">
        <f t="shared" si="5"/>
        <v>43798</v>
      </c>
      <c r="B335" s="344">
        <v>38.700000000000003</v>
      </c>
    </row>
    <row r="336" spans="1:2">
      <c r="A336" s="345">
        <f t="shared" si="5"/>
        <v>43799</v>
      </c>
      <c r="B336" s="344">
        <v>45.908000000000001</v>
      </c>
    </row>
    <row r="337" spans="1:2">
      <c r="A337" s="345">
        <f t="shared" si="5"/>
        <v>43800</v>
      </c>
      <c r="B337" s="344">
        <v>49.100999999999999</v>
      </c>
    </row>
    <row r="338" spans="1:2">
      <c r="A338" s="345">
        <f t="shared" si="5"/>
        <v>43801</v>
      </c>
      <c r="B338" s="344">
        <v>37.868000000000002</v>
      </c>
    </row>
    <row r="339" spans="1:2">
      <c r="A339" s="345">
        <f t="shared" si="5"/>
        <v>43802</v>
      </c>
      <c r="B339" s="344">
        <v>35.479999999999997</v>
      </c>
    </row>
    <row r="340" spans="1:2">
      <c r="A340" s="345">
        <f t="shared" si="5"/>
        <v>43803</v>
      </c>
      <c r="B340" s="344">
        <v>39.481999999999999</v>
      </c>
    </row>
    <row r="341" spans="1:2">
      <c r="A341" s="345">
        <f t="shared" si="5"/>
        <v>43804</v>
      </c>
      <c r="B341" s="344">
        <v>41.597000000000001</v>
      </c>
    </row>
    <row r="342" spans="1:2">
      <c r="A342" s="345">
        <f t="shared" si="5"/>
        <v>43805</v>
      </c>
      <c r="B342" s="344">
        <v>41.545999999999999</v>
      </c>
    </row>
    <row r="343" spans="1:2">
      <c r="A343" s="345">
        <f t="shared" si="5"/>
        <v>43806</v>
      </c>
      <c r="B343" s="344">
        <v>44</v>
      </c>
    </row>
    <row r="344" spans="1:2">
      <c r="A344" s="345">
        <f t="shared" si="5"/>
        <v>43807</v>
      </c>
      <c r="B344" s="344">
        <v>40.698999999999998</v>
      </c>
    </row>
    <row r="345" spans="1:2">
      <c r="A345" s="345">
        <f t="shared" si="5"/>
        <v>43808</v>
      </c>
      <c r="B345" s="344">
        <v>30.969000000000001</v>
      </c>
    </row>
    <row r="346" spans="1:2">
      <c r="A346" s="345">
        <f t="shared" si="5"/>
        <v>43809</v>
      </c>
      <c r="B346" s="344">
        <v>36.994999999999997</v>
      </c>
    </row>
    <row r="347" spans="1:2">
      <c r="A347" s="345">
        <f t="shared" si="5"/>
        <v>43810</v>
      </c>
      <c r="B347" s="344">
        <v>32.204999999999998</v>
      </c>
    </row>
    <row r="348" spans="1:2">
      <c r="A348" s="345">
        <f t="shared" si="5"/>
        <v>43811</v>
      </c>
      <c r="B348" s="344">
        <v>31.88</v>
      </c>
    </row>
    <row r="349" spans="1:2">
      <c r="A349" s="345">
        <f t="shared" si="5"/>
        <v>43812</v>
      </c>
      <c r="B349" s="344">
        <v>28.998999999999999</v>
      </c>
    </row>
    <row r="350" spans="1:2">
      <c r="A350" s="345">
        <f t="shared" si="5"/>
        <v>43813</v>
      </c>
      <c r="B350" s="344">
        <v>27.081</v>
      </c>
    </row>
    <row r="351" spans="1:2">
      <c r="A351" s="345">
        <f t="shared" si="5"/>
        <v>43814</v>
      </c>
      <c r="B351" s="344">
        <v>33.89</v>
      </c>
    </row>
    <row r="352" spans="1:2">
      <c r="A352" s="345">
        <f t="shared" si="5"/>
        <v>43815</v>
      </c>
      <c r="B352" s="344">
        <v>32.521000000000001</v>
      </c>
    </row>
    <row r="353" spans="1:2">
      <c r="A353" s="345">
        <f t="shared" si="5"/>
        <v>43816</v>
      </c>
      <c r="B353" s="344">
        <v>32.369</v>
      </c>
    </row>
    <row r="354" spans="1:2">
      <c r="A354" s="345">
        <f t="shared" si="5"/>
        <v>43817</v>
      </c>
      <c r="B354" s="344">
        <v>32.71</v>
      </c>
    </row>
    <row r="355" spans="1:2">
      <c r="A355" s="345">
        <f t="shared" si="5"/>
        <v>43818</v>
      </c>
      <c r="B355" s="344">
        <v>41.19</v>
      </c>
    </row>
    <row r="356" spans="1:2">
      <c r="A356" s="345">
        <f t="shared" si="5"/>
        <v>43819</v>
      </c>
      <c r="B356" s="344">
        <v>44</v>
      </c>
    </row>
    <row r="357" spans="1:2">
      <c r="A357" s="345">
        <f t="shared" si="5"/>
        <v>43820</v>
      </c>
      <c r="B357" s="344">
        <v>44.298999999999999</v>
      </c>
    </row>
    <row r="358" spans="1:2">
      <c r="A358" s="345">
        <f t="shared" si="5"/>
        <v>43821</v>
      </c>
      <c r="B358" s="344">
        <v>48.680999999999997</v>
      </c>
    </row>
    <row r="359" spans="1:2">
      <c r="A359" s="345">
        <f t="shared" si="5"/>
        <v>43822</v>
      </c>
      <c r="B359" s="344">
        <v>45.527000000000001</v>
      </c>
    </row>
    <row r="360" spans="1:2">
      <c r="A360" s="345">
        <f t="shared" si="5"/>
        <v>43823</v>
      </c>
      <c r="B360" s="344">
        <v>47.908000000000001</v>
      </c>
    </row>
    <row r="361" spans="1:2">
      <c r="A361" s="345">
        <f t="shared" si="5"/>
        <v>43824</v>
      </c>
      <c r="B361" s="344">
        <v>49.18</v>
      </c>
    </row>
    <row r="362" spans="1:2">
      <c r="A362" s="345">
        <f t="shared" si="5"/>
        <v>43825</v>
      </c>
      <c r="B362" s="344">
        <v>48.895000000000003</v>
      </c>
    </row>
    <row r="363" spans="1:2">
      <c r="A363" s="345">
        <f t="shared" si="5"/>
        <v>43826</v>
      </c>
      <c r="B363" s="344">
        <v>49.02</v>
      </c>
    </row>
    <row r="364" spans="1:2">
      <c r="A364" s="345">
        <f t="shared" si="5"/>
        <v>43827</v>
      </c>
      <c r="B364" s="344">
        <v>49.905000000000001</v>
      </c>
    </row>
    <row r="365" spans="1:2">
      <c r="A365" s="345">
        <f t="shared" si="5"/>
        <v>43828</v>
      </c>
      <c r="B365" s="344">
        <v>40.933</v>
      </c>
    </row>
    <row r="366" spans="1:2">
      <c r="A366" s="345">
        <f t="shared" si="5"/>
        <v>43829</v>
      </c>
      <c r="B366" s="344">
        <v>39.872</v>
      </c>
    </row>
    <row r="367" spans="1:2">
      <c r="A367" s="346" t="s">
        <v>321</v>
      </c>
      <c r="B367" s="347">
        <f>SUM(B2:B366)</f>
        <v>16679.091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CC40F-7DE7-40C6-8C33-C372F7D652DE}">
  <dimension ref="A1:B184"/>
  <sheetViews>
    <sheetView zoomScale="115" zoomScaleNormal="115" workbookViewId="0">
      <selection activeCell="A3" sqref="A3"/>
    </sheetView>
  </sheetViews>
  <sheetFormatPr defaultColWidth="9.23046875" defaultRowHeight="14.5"/>
  <cols>
    <col min="1" max="1" width="10.3828125" style="349" bestFit="1" customWidth="1"/>
    <col min="2" max="2" width="9.4609375" style="342" bestFit="1" customWidth="1"/>
    <col min="3" max="16384" width="9.23046875" style="342"/>
  </cols>
  <sheetData>
    <row r="1" spans="1:2" ht="21">
      <c r="A1" s="341" t="s">
        <v>322</v>
      </c>
      <c r="B1" s="341" t="s">
        <v>338</v>
      </c>
    </row>
    <row r="2" spans="1:2">
      <c r="A2" s="345">
        <v>43830</v>
      </c>
      <c r="B2" s="344">
        <v>49.271000000000001</v>
      </c>
    </row>
    <row r="3" spans="1:2">
      <c r="A3" s="345">
        <f>A2+1</f>
        <v>43831</v>
      </c>
      <c r="B3" s="344">
        <v>51.2</v>
      </c>
    </row>
    <row r="4" spans="1:2">
      <c r="A4" s="345">
        <f t="shared" ref="A4:A67" si="0">A3+1</f>
        <v>43832</v>
      </c>
      <c r="B4" s="344">
        <v>51.497</v>
      </c>
    </row>
    <row r="5" spans="1:2">
      <c r="A5" s="345">
        <f t="shared" si="0"/>
        <v>43833</v>
      </c>
      <c r="B5" s="344">
        <v>47.92</v>
      </c>
    </row>
    <row r="6" spans="1:2">
      <c r="A6" s="345">
        <f t="shared" si="0"/>
        <v>43834</v>
      </c>
      <c r="B6" s="344">
        <v>48.966000000000001</v>
      </c>
    </row>
    <row r="7" spans="1:2">
      <c r="A7" s="345">
        <f t="shared" si="0"/>
        <v>43835</v>
      </c>
      <c r="B7" s="344">
        <v>50.216999999999999</v>
      </c>
    </row>
    <row r="8" spans="1:2">
      <c r="A8" s="345">
        <f t="shared" si="0"/>
        <v>43836</v>
      </c>
      <c r="B8" s="344">
        <v>38.517000000000003</v>
      </c>
    </row>
    <row r="9" spans="1:2">
      <c r="A9" s="345">
        <f t="shared" si="0"/>
        <v>43837</v>
      </c>
      <c r="B9" s="344">
        <v>39.115000000000002</v>
      </c>
    </row>
    <row r="10" spans="1:2">
      <c r="A10" s="345">
        <f t="shared" si="0"/>
        <v>43838</v>
      </c>
      <c r="B10" s="344">
        <v>58.69</v>
      </c>
    </row>
    <row r="11" spans="1:2">
      <c r="A11" s="345">
        <f t="shared" si="0"/>
        <v>43839</v>
      </c>
      <c r="B11" s="344">
        <v>30.7</v>
      </c>
    </row>
    <row r="12" spans="1:2">
      <c r="A12" s="345">
        <f t="shared" si="0"/>
        <v>43840</v>
      </c>
      <c r="B12" s="344">
        <v>49.6</v>
      </c>
    </row>
    <row r="13" spans="1:2">
      <c r="A13" s="345">
        <f t="shared" si="0"/>
        <v>43841</v>
      </c>
      <c r="B13" s="344">
        <v>49.387999999999998</v>
      </c>
    </row>
    <row r="14" spans="1:2">
      <c r="A14" s="345">
        <f t="shared" si="0"/>
        <v>43842</v>
      </c>
      <c r="B14" s="344">
        <v>44.8</v>
      </c>
    </row>
    <row r="15" spans="1:2">
      <c r="A15" s="345">
        <f t="shared" si="0"/>
        <v>43843</v>
      </c>
      <c r="B15" s="344">
        <v>45.695</v>
      </c>
    </row>
    <row r="16" spans="1:2">
      <c r="A16" s="345">
        <f t="shared" si="0"/>
        <v>43844</v>
      </c>
      <c r="B16" s="344">
        <v>49.198</v>
      </c>
    </row>
    <row r="17" spans="1:2">
      <c r="A17" s="345">
        <f t="shared" si="0"/>
        <v>43845</v>
      </c>
      <c r="B17" s="344">
        <v>48.512999999999998</v>
      </c>
    </row>
    <row r="18" spans="1:2">
      <c r="A18" s="345">
        <f t="shared" si="0"/>
        <v>43846</v>
      </c>
      <c r="B18" s="344">
        <v>48.991999999999997</v>
      </c>
    </row>
    <row r="19" spans="1:2">
      <c r="A19" s="345">
        <f t="shared" si="0"/>
        <v>43847</v>
      </c>
      <c r="B19" s="344">
        <v>50.323999999999998</v>
      </c>
    </row>
    <row r="20" spans="1:2">
      <c r="A20" s="345">
        <f t="shared" si="0"/>
        <v>43848</v>
      </c>
      <c r="B20" s="344">
        <v>52.146999999999998</v>
      </c>
    </row>
    <row r="21" spans="1:2">
      <c r="A21" s="345">
        <f t="shared" si="0"/>
        <v>43849</v>
      </c>
      <c r="B21" s="344">
        <v>51.015999999999998</v>
      </c>
    </row>
    <row r="22" spans="1:2">
      <c r="A22" s="345">
        <f t="shared" si="0"/>
        <v>43850</v>
      </c>
      <c r="B22" s="344">
        <v>36.414999999999999</v>
      </c>
    </row>
    <row r="23" spans="1:2">
      <c r="A23" s="345">
        <f t="shared" si="0"/>
        <v>43851</v>
      </c>
      <c r="B23" s="344">
        <v>51.351999999999997</v>
      </c>
    </row>
    <row r="24" spans="1:2">
      <c r="A24" s="345">
        <f t="shared" si="0"/>
        <v>43852</v>
      </c>
      <c r="B24" s="344">
        <v>45.814</v>
      </c>
    </row>
    <row r="25" spans="1:2">
      <c r="A25" s="345">
        <f t="shared" si="0"/>
        <v>43853</v>
      </c>
      <c r="B25" s="344">
        <v>34.281999999999996</v>
      </c>
    </row>
    <row r="26" spans="1:2">
      <c r="A26" s="345">
        <f t="shared" si="0"/>
        <v>43854</v>
      </c>
      <c r="B26" s="344">
        <v>48.579000000000001</v>
      </c>
    </row>
    <row r="27" spans="1:2">
      <c r="A27" s="345">
        <f t="shared" si="0"/>
        <v>43855</v>
      </c>
      <c r="B27" s="344">
        <v>50.725999999999999</v>
      </c>
    </row>
    <row r="28" spans="1:2">
      <c r="A28" s="345">
        <f t="shared" si="0"/>
        <v>43856</v>
      </c>
      <c r="B28" s="344">
        <v>51.997</v>
      </c>
    </row>
    <row r="29" spans="1:2">
      <c r="A29" s="345">
        <f t="shared" si="0"/>
        <v>43857</v>
      </c>
      <c r="B29" s="344">
        <v>40.097000000000001</v>
      </c>
    </row>
    <row r="30" spans="1:2">
      <c r="A30" s="345">
        <f t="shared" si="0"/>
        <v>43858</v>
      </c>
      <c r="B30" s="344">
        <v>50.164999999999999</v>
      </c>
    </row>
    <row r="31" spans="1:2">
      <c r="A31" s="345">
        <f t="shared" si="0"/>
        <v>43859</v>
      </c>
      <c r="B31" s="344">
        <v>50.567999999999998</v>
      </c>
    </row>
    <row r="32" spans="1:2">
      <c r="A32" s="345">
        <f t="shared" si="0"/>
        <v>43860</v>
      </c>
      <c r="B32" s="344">
        <v>50.911999999999999</v>
      </c>
    </row>
    <row r="33" spans="1:2">
      <c r="A33" s="343">
        <f t="shared" si="0"/>
        <v>43861</v>
      </c>
      <c r="B33" s="344">
        <v>52.64</v>
      </c>
    </row>
    <row r="34" spans="1:2">
      <c r="A34" s="343">
        <f t="shared" si="0"/>
        <v>43862</v>
      </c>
      <c r="B34" s="344">
        <v>54.345999999999997</v>
      </c>
    </row>
    <row r="35" spans="1:2">
      <c r="A35" s="343">
        <f t="shared" si="0"/>
        <v>43863</v>
      </c>
      <c r="B35" s="344">
        <v>55.161000000000001</v>
      </c>
    </row>
    <row r="36" spans="1:2">
      <c r="A36" s="343">
        <f t="shared" si="0"/>
        <v>43864</v>
      </c>
      <c r="B36" s="344">
        <v>41.652000000000001</v>
      </c>
    </row>
    <row r="37" spans="1:2">
      <c r="A37" s="343">
        <f t="shared" si="0"/>
        <v>43865</v>
      </c>
      <c r="B37" s="344">
        <v>55.350999999999999</v>
      </c>
    </row>
    <row r="38" spans="1:2">
      <c r="A38" s="343">
        <f t="shared" si="0"/>
        <v>43866</v>
      </c>
      <c r="B38" s="344">
        <v>48.22</v>
      </c>
    </row>
    <row r="39" spans="1:2">
      <c r="A39" s="343">
        <f t="shared" si="0"/>
        <v>43867</v>
      </c>
      <c r="B39" s="344">
        <v>50.965000000000003</v>
      </c>
    </row>
    <row r="40" spans="1:2">
      <c r="A40" s="343">
        <f t="shared" si="0"/>
        <v>43868</v>
      </c>
      <c r="B40" s="344">
        <v>42.176000000000002</v>
      </c>
    </row>
    <row r="41" spans="1:2">
      <c r="A41" s="343">
        <f t="shared" si="0"/>
        <v>43869</v>
      </c>
      <c r="B41" s="344">
        <v>59.884999999999998</v>
      </c>
    </row>
    <row r="42" spans="1:2">
      <c r="A42" s="343">
        <f t="shared" si="0"/>
        <v>43870</v>
      </c>
      <c r="B42" s="344">
        <v>51.534999999999997</v>
      </c>
    </row>
    <row r="43" spans="1:2">
      <c r="A43" s="343">
        <f t="shared" si="0"/>
        <v>43871</v>
      </c>
      <c r="B43" s="344">
        <v>47.432000000000002</v>
      </c>
    </row>
    <row r="44" spans="1:2">
      <c r="A44" s="343">
        <f t="shared" si="0"/>
        <v>43872</v>
      </c>
      <c r="B44" s="344">
        <v>58.429000000000002</v>
      </c>
    </row>
    <row r="45" spans="1:2">
      <c r="A45" s="343">
        <f t="shared" si="0"/>
        <v>43873</v>
      </c>
      <c r="B45" s="344">
        <v>56.899000000000001</v>
      </c>
    </row>
    <row r="46" spans="1:2">
      <c r="A46" s="343">
        <f t="shared" si="0"/>
        <v>43874</v>
      </c>
      <c r="B46" s="344">
        <v>54.094999999999999</v>
      </c>
    </row>
    <row r="47" spans="1:2">
      <c r="A47" s="343">
        <f t="shared" si="0"/>
        <v>43875</v>
      </c>
      <c r="B47" s="344">
        <v>51.723999999999997</v>
      </c>
    </row>
    <row r="48" spans="1:2">
      <c r="A48" s="343">
        <f t="shared" si="0"/>
        <v>43876</v>
      </c>
      <c r="B48" s="344">
        <v>49.847000000000001</v>
      </c>
    </row>
    <row r="49" spans="1:2">
      <c r="A49" s="343">
        <f t="shared" si="0"/>
        <v>43877</v>
      </c>
      <c r="B49" s="344">
        <v>51.332999999999998</v>
      </c>
    </row>
    <row r="50" spans="1:2">
      <c r="A50" s="343">
        <f t="shared" si="0"/>
        <v>43878</v>
      </c>
      <c r="B50" s="344">
        <v>46.33</v>
      </c>
    </row>
    <row r="51" spans="1:2">
      <c r="A51" s="343">
        <f t="shared" si="0"/>
        <v>43879</v>
      </c>
      <c r="B51" s="344">
        <v>48.98</v>
      </c>
    </row>
    <row r="52" spans="1:2">
      <c r="A52" s="343">
        <f t="shared" si="0"/>
        <v>43880</v>
      </c>
      <c r="B52" s="344">
        <v>46.31</v>
      </c>
    </row>
    <row r="53" spans="1:2">
      <c r="A53" s="343">
        <f t="shared" si="0"/>
        <v>43881</v>
      </c>
      <c r="B53" s="344">
        <v>52.31</v>
      </c>
    </row>
    <row r="54" spans="1:2">
      <c r="A54" s="343">
        <f t="shared" si="0"/>
        <v>43882</v>
      </c>
      <c r="B54" s="344">
        <v>52.01</v>
      </c>
    </row>
    <row r="55" spans="1:2">
      <c r="A55" s="343">
        <f t="shared" si="0"/>
        <v>43883</v>
      </c>
      <c r="B55" s="344">
        <v>50.613999999999997</v>
      </c>
    </row>
    <row r="56" spans="1:2">
      <c r="A56" s="343">
        <f t="shared" si="0"/>
        <v>43884</v>
      </c>
      <c r="B56" s="344">
        <v>52.006999999999998</v>
      </c>
    </row>
    <row r="57" spans="1:2">
      <c r="A57" s="343">
        <f t="shared" si="0"/>
        <v>43885</v>
      </c>
      <c r="B57" s="344">
        <v>48.753999999999998</v>
      </c>
    </row>
    <row r="58" spans="1:2">
      <c r="A58" s="343">
        <f t="shared" si="0"/>
        <v>43886</v>
      </c>
      <c r="B58" s="344">
        <v>52.527999999999999</v>
      </c>
    </row>
    <row r="59" spans="1:2">
      <c r="A59" s="343">
        <f t="shared" si="0"/>
        <v>43887</v>
      </c>
      <c r="B59" s="344">
        <v>52.180999999999997</v>
      </c>
    </row>
    <row r="60" spans="1:2">
      <c r="A60" s="343">
        <f t="shared" si="0"/>
        <v>43888</v>
      </c>
      <c r="B60" s="344">
        <v>52.668999999999997</v>
      </c>
    </row>
    <row r="61" spans="1:2">
      <c r="A61" s="343">
        <f t="shared" si="0"/>
        <v>43889</v>
      </c>
      <c r="B61" s="344">
        <v>46.710999999999999</v>
      </c>
    </row>
    <row r="62" spans="1:2">
      <c r="A62" s="345">
        <f t="shared" si="0"/>
        <v>43890</v>
      </c>
      <c r="B62" s="344">
        <v>53.116999999999997</v>
      </c>
    </row>
    <row r="63" spans="1:2">
      <c r="A63" s="345">
        <f t="shared" si="0"/>
        <v>43891</v>
      </c>
      <c r="B63" s="344">
        <v>50.86</v>
      </c>
    </row>
    <row r="64" spans="1:2">
      <c r="A64" s="345">
        <f t="shared" si="0"/>
        <v>43892</v>
      </c>
      <c r="B64" s="344">
        <v>44.784999999999997</v>
      </c>
    </row>
    <row r="65" spans="1:2">
      <c r="A65" s="345">
        <f t="shared" si="0"/>
        <v>43893</v>
      </c>
      <c r="B65" s="344">
        <v>40.805</v>
      </c>
    </row>
    <row r="66" spans="1:2">
      <c r="A66" s="345">
        <f t="shared" si="0"/>
        <v>43894</v>
      </c>
      <c r="B66" s="344">
        <v>38.805</v>
      </c>
    </row>
    <row r="67" spans="1:2">
      <c r="A67" s="345">
        <f t="shared" si="0"/>
        <v>43895</v>
      </c>
      <c r="B67" s="344">
        <v>40.545000000000002</v>
      </c>
    </row>
    <row r="68" spans="1:2">
      <c r="A68" s="345">
        <f t="shared" ref="A68:A131" si="1">A67+1</f>
        <v>43896</v>
      </c>
      <c r="B68" s="344">
        <v>43.45</v>
      </c>
    </row>
    <row r="69" spans="1:2">
      <c r="A69" s="345">
        <f t="shared" si="1"/>
        <v>43897</v>
      </c>
      <c r="B69" s="344">
        <v>44.984999999999999</v>
      </c>
    </row>
    <row r="70" spans="1:2">
      <c r="A70" s="345">
        <f t="shared" si="1"/>
        <v>43898</v>
      </c>
      <c r="B70" s="344">
        <v>43.66</v>
      </c>
    </row>
    <row r="71" spans="1:2">
      <c r="A71" s="345">
        <f t="shared" si="1"/>
        <v>43899</v>
      </c>
      <c r="B71" s="344">
        <v>41.156999999999996</v>
      </c>
    </row>
    <row r="72" spans="1:2">
      <c r="A72" s="345">
        <f t="shared" si="1"/>
        <v>43900</v>
      </c>
      <c r="B72" s="344">
        <v>16.603999999999999</v>
      </c>
    </row>
    <row r="73" spans="1:2">
      <c r="A73" s="345">
        <f t="shared" si="1"/>
        <v>43901</v>
      </c>
      <c r="B73" s="344">
        <v>6.04</v>
      </c>
    </row>
    <row r="74" spans="1:2">
      <c r="A74" s="345">
        <f t="shared" si="1"/>
        <v>43902</v>
      </c>
      <c r="B74" s="344">
        <v>6.0890000000000004</v>
      </c>
    </row>
    <row r="75" spans="1:2">
      <c r="A75" s="345">
        <f t="shared" si="1"/>
        <v>43903</v>
      </c>
      <c r="B75" s="344">
        <v>5.9279999999999999</v>
      </c>
    </row>
    <row r="76" spans="1:2">
      <c r="A76" s="345">
        <f t="shared" si="1"/>
        <v>43904</v>
      </c>
      <c r="B76" s="344">
        <v>24.359000000000002</v>
      </c>
    </row>
    <row r="77" spans="1:2">
      <c r="A77" s="345">
        <f t="shared" si="1"/>
        <v>43905</v>
      </c>
      <c r="B77" s="344">
        <v>25.015999999999998</v>
      </c>
    </row>
    <row r="78" spans="1:2">
      <c r="A78" s="345">
        <f t="shared" si="1"/>
        <v>43906</v>
      </c>
      <c r="B78" s="344">
        <v>24.962</v>
      </c>
    </row>
    <row r="79" spans="1:2">
      <c r="A79" s="345">
        <f t="shared" si="1"/>
        <v>43907</v>
      </c>
      <c r="B79" s="344">
        <v>24.704999999999998</v>
      </c>
    </row>
    <row r="80" spans="1:2">
      <c r="A80" s="345">
        <f t="shared" si="1"/>
        <v>43908</v>
      </c>
      <c r="B80" s="344">
        <v>24.459</v>
      </c>
    </row>
    <row r="81" spans="1:2">
      <c r="A81" s="345">
        <f t="shared" si="1"/>
        <v>43909</v>
      </c>
      <c r="B81" s="344">
        <v>25.356000000000002</v>
      </c>
    </row>
    <row r="82" spans="1:2">
      <c r="A82" s="345">
        <f t="shared" si="1"/>
        <v>43910</v>
      </c>
      <c r="B82" s="344">
        <v>24.907</v>
      </c>
    </row>
    <row r="83" spans="1:2">
      <c r="A83" s="345">
        <f t="shared" si="1"/>
        <v>43911</v>
      </c>
      <c r="B83" s="344">
        <v>25.058</v>
      </c>
    </row>
    <row r="84" spans="1:2">
      <c r="A84" s="345">
        <f t="shared" si="1"/>
        <v>43912</v>
      </c>
      <c r="B84" s="344">
        <v>25.015000000000001</v>
      </c>
    </row>
    <row r="85" spans="1:2">
      <c r="A85" s="345">
        <f t="shared" si="1"/>
        <v>43913</v>
      </c>
      <c r="B85" s="344">
        <v>25.085000000000001</v>
      </c>
    </row>
    <row r="86" spans="1:2">
      <c r="A86" s="345">
        <f t="shared" si="1"/>
        <v>43914</v>
      </c>
      <c r="B86" s="344">
        <v>24.734999999999999</v>
      </c>
    </row>
    <row r="87" spans="1:2">
      <c r="A87" s="345">
        <f t="shared" si="1"/>
        <v>43915</v>
      </c>
      <c r="B87" s="344">
        <v>25.324999999999999</v>
      </c>
    </row>
    <row r="88" spans="1:2">
      <c r="A88" s="345">
        <f t="shared" si="1"/>
        <v>43916</v>
      </c>
      <c r="B88" s="344">
        <v>25.405000000000001</v>
      </c>
    </row>
    <row r="89" spans="1:2">
      <c r="A89" s="345">
        <f t="shared" si="1"/>
        <v>43917</v>
      </c>
      <c r="B89" s="344">
        <v>33.979999999999997</v>
      </c>
    </row>
    <row r="90" spans="1:2">
      <c r="A90" s="345">
        <f t="shared" si="1"/>
        <v>43918</v>
      </c>
      <c r="B90" s="344">
        <v>44.094999999999999</v>
      </c>
    </row>
    <row r="91" spans="1:2">
      <c r="A91" s="345">
        <f t="shared" si="1"/>
        <v>43919</v>
      </c>
      <c r="B91" s="344">
        <v>44.771000000000001</v>
      </c>
    </row>
    <row r="92" spans="1:2">
      <c r="A92" s="345">
        <f t="shared" si="1"/>
        <v>43920</v>
      </c>
      <c r="B92" s="344">
        <v>43.545999999999999</v>
      </c>
    </row>
    <row r="93" spans="1:2">
      <c r="A93" s="343">
        <f t="shared" si="1"/>
        <v>43921</v>
      </c>
      <c r="B93" s="344">
        <v>44.448</v>
      </c>
    </row>
    <row r="94" spans="1:2">
      <c r="A94" s="343">
        <f t="shared" si="1"/>
        <v>43922</v>
      </c>
      <c r="B94" s="344">
        <v>39.11</v>
      </c>
    </row>
    <row r="95" spans="1:2">
      <c r="A95" s="343">
        <f t="shared" si="1"/>
        <v>43923</v>
      </c>
      <c r="B95" s="344">
        <v>41.033999999999999</v>
      </c>
    </row>
    <row r="96" spans="1:2">
      <c r="A96" s="343">
        <f t="shared" si="1"/>
        <v>43924</v>
      </c>
      <c r="B96" s="344">
        <v>41.392000000000003</v>
      </c>
    </row>
    <row r="97" spans="1:2">
      <c r="A97" s="343">
        <f t="shared" si="1"/>
        <v>43925</v>
      </c>
      <c r="B97" s="344">
        <v>40.168999999999997</v>
      </c>
    </row>
    <row r="98" spans="1:2">
      <c r="A98" s="343">
        <f t="shared" si="1"/>
        <v>43926</v>
      </c>
      <c r="B98" s="344">
        <v>40.664000000000001</v>
      </c>
    </row>
    <row r="99" spans="1:2">
      <c r="A99" s="343">
        <f t="shared" si="1"/>
        <v>43927</v>
      </c>
      <c r="B99" s="344">
        <v>40.299999999999997</v>
      </c>
    </row>
    <row r="100" spans="1:2">
      <c r="A100" s="343">
        <f t="shared" si="1"/>
        <v>43928</v>
      </c>
      <c r="B100" s="344">
        <v>40.612000000000002</v>
      </c>
    </row>
    <row r="101" spans="1:2">
      <c r="A101" s="343">
        <f t="shared" si="1"/>
        <v>43929</v>
      </c>
      <c r="B101" s="344">
        <v>38.774999999999999</v>
      </c>
    </row>
    <row r="102" spans="1:2">
      <c r="A102" s="343">
        <f t="shared" si="1"/>
        <v>43930</v>
      </c>
      <c r="B102" s="344">
        <v>32.463000000000001</v>
      </c>
    </row>
    <row r="103" spans="1:2">
      <c r="A103" s="343">
        <f t="shared" si="1"/>
        <v>43931</v>
      </c>
      <c r="B103" s="344">
        <v>38.201999999999998</v>
      </c>
    </row>
    <row r="104" spans="1:2">
      <c r="A104" s="343">
        <f t="shared" si="1"/>
        <v>43932</v>
      </c>
      <c r="B104" s="344">
        <v>40.042999999999999</v>
      </c>
    </row>
    <row r="105" spans="1:2">
      <c r="A105" s="343">
        <f t="shared" si="1"/>
        <v>43933</v>
      </c>
      <c r="B105" s="344">
        <v>40.405000000000001</v>
      </c>
    </row>
    <row r="106" spans="1:2">
      <c r="A106" s="343">
        <f t="shared" si="1"/>
        <v>43934</v>
      </c>
      <c r="B106" s="344">
        <v>40.936999999999998</v>
      </c>
    </row>
    <row r="107" spans="1:2">
      <c r="A107" s="343">
        <f t="shared" si="1"/>
        <v>43935</v>
      </c>
      <c r="B107" s="344">
        <v>38.662999999999997</v>
      </c>
    </row>
    <row r="108" spans="1:2">
      <c r="A108" s="343">
        <f t="shared" si="1"/>
        <v>43936</v>
      </c>
      <c r="B108" s="344">
        <v>41.015000000000001</v>
      </c>
    </row>
    <row r="109" spans="1:2">
      <c r="A109" s="343">
        <f t="shared" si="1"/>
        <v>43937</v>
      </c>
      <c r="B109" s="344">
        <v>40.645000000000003</v>
      </c>
    </row>
    <row r="110" spans="1:2">
      <c r="A110" s="343">
        <f t="shared" si="1"/>
        <v>43938</v>
      </c>
      <c r="B110" s="344">
        <v>41.435000000000002</v>
      </c>
    </row>
    <row r="111" spans="1:2">
      <c r="A111" s="343">
        <f t="shared" si="1"/>
        <v>43939</v>
      </c>
      <c r="B111" s="344">
        <v>40.823999999999998</v>
      </c>
    </row>
    <row r="112" spans="1:2">
      <c r="A112" s="343">
        <f t="shared" si="1"/>
        <v>43940</v>
      </c>
      <c r="B112" s="344">
        <v>40.993000000000002</v>
      </c>
    </row>
    <row r="113" spans="1:2">
      <c r="A113" s="343">
        <f t="shared" si="1"/>
        <v>43941</v>
      </c>
      <c r="B113" s="344">
        <v>38.447000000000003</v>
      </c>
    </row>
    <row r="114" spans="1:2">
      <c r="A114" s="343">
        <f t="shared" si="1"/>
        <v>43942</v>
      </c>
      <c r="B114" s="344">
        <v>45.030999999999999</v>
      </c>
    </row>
    <row r="115" spans="1:2">
      <c r="A115" s="343">
        <f t="shared" si="1"/>
        <v>43943</v>
      </c>
      <c r="B115" s="344">
        <v>55.19</v>
      </c>
    </row>
    <row r="116" spans="1:2">
      <c r="A116" s="343">
        <f t="shared" si="1"/>
        <v>43944</v>
      </c>
      <c r="B116" s="344">
        <v>54.55</v>
      </c>
    </row>
    <row r="117" spans="1:2">
      <c r="A117" s="343">
        <f t="shared" si="1"/>
        <v>43945</v>
      </c>
      <c r="B117" s="344">
        <v>55.820999999999998</v>
      </c>
    </row>
    <row r="118" spans="1:2">
      <c r="A118" s="343">
        <f t="shared" si="1"/>
        <v>43946</v>
      </c>
      <c r="B118" s="344">
        <v>53.933</v>
      </c>
    </row>
    <row r="119" spans="1:2">
      <c r="A119" s="343">
        <f t="shared" si="1"/>
        <v>43947</v>
      </c>
      <c r="B119" s="344">
        <v>51.311999999999998</v>
      </c>
    </row>
    <row r="120" spans="1:2">
      <c r="A120" s="343">
        <f t="shared" si="1"/>
        <v>43948</v>
      </c>
      <c r="B120" s="344">
        <v>50.908999999999999</v>
      </c>
    </row>
    <row r="121" spans="1:2">
      <c r="A121" s="343">
        <f t="shared" si="1"/>
        <v>43949</v>
      </c>
      <c r="B121" s="344">
        <v>55.265999999999998</v>
      </c>
    </row>
    <row r="122" spans="1:2">
      <c r="A122" s="343">
        <f t="shared" si="1"/>
        <v>43950</v>
      </c>
      <c r="B122" s="344">
        <v>54.543999999999997</v>
      </c>
    </row>
    <row r="123" spans="1:2">
      <c r="A123" s="345">
        <f t="shared" si="1"/>
        <v>43951</v>
      </c>
      <c r="B123" s="344">
        <v>53.082000000000001</v>
      </c>
    </row>
    <row r="124" spans="1:2">
      <c r="A124" s="345">
        <f t="shared" si="1"/>
        <v>43952</v>
      </c>
      <c r="B124" s="344">
        <v>54.375999999999998</v>
      </c>
    </row>
    <row r="125" spans="1:2">
      <c r="A125" s="345">
        <f t="shared" si="1"/>
        <v>43953</v>
      </c>
      <c r="B125" s="344">
        <v>55.042000000000002</v>
      </c>
    </row>
    <row r="126" spans="1:2">
      <c r="A126" s="345">
        <f t="shared" si="1"/>
        <v>43954</v>
      </c>
      <c r="B126" s="344">
        <v>54.734999999999999</v>
      </c>
    </row>
    <row r="127" spans="1:2">
      <c r="A127" s="345">
        <f t="shared" si="1"/>
        <v>43955</v>
      </c>
      <c r="B127" s="344">
        <v>51.59</v>
      </c>
    </row>
    <row r="128" spans="1:2">
      <c r="A128" s="345">
        <f t="shared" si="1"/>
        <v>43956</v>
      </c>
      <c r="B128" s="344">
        <v>46.61</v>
      </c>
    </row>
    <row r="129" spans="1:2">
      <c r="A129" s="345">
        <f t="shared" si="1"/>
        <v>43957</v>
      </c>
      <c r="B129" s="344">
        <v>44.045000000000002</v>
      </c>
    </row>
    <row r="130" spans="1:2">
      <c r="A130" s="345">
        <f t="shared" si="1"/>
        <v>43958</v>
      </c>
      <c r="B130" s="344">
        <v>55.02</v>
      </c>
    </row>
    <row r="131" spans="1:2">
      <c r="A131" s="345">
        <f t="shared" si="1"/>
        <v>43959</v>
      </c>
      <c r="B131" s="344">
        <v>45.134999999999998</v>
      </c>
    </row>
    <row r="132" spans="1:2">
      <c r="A132" s="345">
        <f t="shared" ref="A132:A183" si="2">A131+1</f>
        <v>43960</v>
      </c>
      <c r="B132" s="344">
        <v>45.97</v>
      </c>
    </row>
    <row r="133" spans="1:2">
      <c r="A133" s="345">
        <f t="shared" si="2"/>
        <v>43961</v>
      </c>
      <c r="B133" s="344">
        <v>32.96</v>
      </c>
    </row>
    <row r="134" spans="1:2">
      <c r="A134" s="345">
        <f t="shared" si="2"/>
        <v>43962</v>
      </c>
      <c r="B134" s="344">
        <v>29.085999999999999</v>
      </c>
    </row>
    <row r="135" spans="1:2">
      <c r="A135" s="345">
        <f t="shared" si="2"/>
        <v>43963</v>
      </c>
      <c r="B135" s="344">
        <v>37.033999999999999</v>
      </c>
    </row>
    <row r="136" spans="1:2">
      <c r="A136" s="345">
        <f t="shared" si="2"/>
        <v>43964</v>
      </c>
      <c r="B136" s="344">
        <v>41.79</v>
      </c>
    </row>
    <row r="137" spans="1:2">
      <c r="A137" s="345">
        <f t="shared" si="2"/>
        <v>43965</v>
      </c>
      <c r="B137" s="344">
        <v>48.75</v>
      </c>
    </row>
    <row r="138" spans="1:2">
      <c r="A138" s="345">
        <f t="shared" si="2"/>
        <v>43966</v>
      </c>
      <c r="B138" s="344">
        <v>38.96</v>
      </c>
    </row>
    <row r="139" spans="1:2">
      <c r="A139" s="345">
        <f t="shared" si="2"/>
        <v>43967</v>
      </c>
      <c r="B139" s="344">
        <v>44.869</v>
      </c>
    </row>
    <row r="140" spans="1:2">
      <c r="A140" s="345">
        <f t="shared" si="2"/>
        <v>43968</v>
      </c>
      <c r="B140" s="344">
        <v>49.683</v>
      </c>
    </row>
    <row r="141" spans="1:2">
      <c r="A141" s="345">
        <f t="shared" si="2"/>
        <v>43969</v>
      </c>
      <c r="B141" s="344">
        <v>43.847999999999999</v>
      </c>
    </row>
    <row r="142" spans="1:2">
      <c r="A142" s="345">
        <f t="shared" si="2"/>
        <v>43970</v>
      </c>
      <c r="B142" s="344">
        <v>54.598999999999997</v>
      </c>
    </row>
    <row r="143" spans="1:2">
      <c r="A143" s="345">
        <f t="shared" si="2"/>
        <v>43971</v>
      </c>
      <c r="B143" s="344">
        <v>52.04</v>
      </c>
    </row>
    <row r="144" spans="1:2">
      <c r="A144" s="345">
        <f t="shared" si="2"/>
        <v>43972</v>
      </c>
      <c r="B144" s="344">
        <v>56.085999999999999</v>
      </c>
    </row>
    <row r="145" spans="1:2">
      <c r="A145" s="345">
        <f t="shared" si="2"/>
        <v>43973</v>
      </c>
      <c r="B145" s="344">
        <v>56.139000000000003</v>
      </c>
    </row>
    <row r="146" spans="1:2">
      <c r="A146" s="345">
        <f t="shared" si="2"/>
        <v>43974</v>
      </c>
      <c r="B146" s="344">
        <v>54.436</v>
      </c>
    </row>
    <row r="147" spans="1:2">
      <c r="A147" s="345">
        <f t="shared" si="2"/>
        <v>43975</v>
      </c>
      <c r="B147" s="344">
        <v>55.29</v>
      </c>
    </row>
    <row r="148" spans="1:2">
      <c r="A148" s="345">
        <f t="shared" si="2"/>
        <v>43976</v>
      </c>
      <c r="B148" s="344">
        <v>52.59</v>
      </c>
    </row>
    <row r="149" spans="1:2">
      <c r="A149" s="345">
        <f t="shared" si="2"/>
        <v>43977</v>
      </c>
      <c r="B149" s="344">
        <v>54.32</v>
      </c>
    </row>
    <row r="150" spans="1:2">
      <c r="A150" s="345">
        <f t="shared" si="2"/>
        <v>43978</v>
      </c>
      <c r="B150" s="344">
        <v>52.3</v>
      </c>
    </row>
    <row r="151" spans="1:2">
      <c r="A151" s="345">
        <f t="shared" si="2"/>
        <v>43979</v>
      </c>
      <c r="B151" s="344">
        <v>52.8</v>
      </c>
    </row>
    <row r="152" spans="1:2">
      <c r="A152" s="345">
        <f t="shared" si="2"/>
        <v>43980</v>
      </c>
      <c r="B152" s="344">
        <v>30</v>
      </c>
    </row>
    <row r="153" spans="1:2">
      <c r="A153" s="345">
        <f t="shared" si="2"/>
        <v>43981</v>
      </c>
      <c r="B153" s="344">
        <v>48.65</v>
      </c>
    </row>
    <row r="154" spans="1:2">
      <c r="A154" s="343">
        <f t="shared" si="2"/>
        <v>43982</v>
      </c>
      <c r="B154" s="344">
        <v>53.51</v>
      </c>
    </row>
    <row r="155" spans="1:2">
      <c r="A155" s="343">
        <f t="shared" si="2"/>
        <v>43983</v>
      </c>
      <c r="B155" s="344">
        <v>46.320999999999998</v>
      </c>
    </row>
    <row r="156" spans="1:2">
      <c r="A156" s="343">
        <f t="shared" si="2"/>
        <v>43984</v>
      </c>
      <c r="B156" s="344">
        <v>52.598999999999997</v>
      </c>
    </row>
    <row r="157" spans="1:2">
      <c r="A157" s="343">
        <f t="shared" si="2"/>
        <v>43985</v>
      </c>
      <c r="B157" s="344">
        <v>52.424999999999997</v>
      </c>
    </row>
    <row r="158" spans="1:2">
      <c r="A158" s="343">
        <f t="shared" si="2"/>
        <v>43986</v>
      </c>
      <c r="B158" s="344">
        <v>52.685000000000002</v>
      </c>
    </row>
    <row r="159" spans="1:2">
      <c r="A159" s="343">
        <f t="shared" si="2"/>
        <v>43987</v>
      </c>
      <c r="B159" s="344">
        <v>52.68</v>
      </c>
    </row>
    <row r="160" spans="1:2">
      <c r="A160" s="343">
        <f t="shared" si="2"/>
        <v>43988</v>
      </c>
      <c r="B160" s="344">
        <v>50.902999999999999</v>
      </c>
    </row>
    <row r="161" spans="1:2">
      <c r="A161" s="343">
        <f t="shared" si="2"/>
        <v>43989</v>
      </c>
      <c r="B161" s="344">
        <v>52.478000000000002</v>
      </c>
    </row>
    <row r="162" spans="1:2">
      <c r="A162" s="343">
        <f t="shared" si="2"/>
        <v>43990</v>
      </c>
      <c r="B162" s="344">
        <v>44.847999999999999</v>
      </c>
    </row>
    <row r="163" spans="1:2">
      <c r="A163" s="343">
        <f t="shared" si="2"/>
        <v>43991</v>
      </c>
      <c r="B163" s="344">
        <v>51.701000000000001</v>
      </c>
    </row>
    <row r="164" spans="1:2">
      <c r="A164" s="343">
        <f t="shared" si="2"/>
        <v>43992</v>
      </c>
      <c r="B164" s="344">
        <v>53.25</v>
      </c>
    </row>
    <row r="165" spans="1:2">
      <c r="A165" s="343">
        <f t="shared" si="2"/>
        <v>43993</v>
      </c>
      <c r="B165" s="344">
        <v>49.2</v>
      </c>
    </row>
    <row r="166" spans="1:2">
      <c r="A166" s="343">
        <f t="shared" si="2"/>
        <v>43994</v>
      </c>
      <c r="B166" s="344">
        <v>50.378999999999998</v>
      </c>
    </row>
    <row r="167" spans="1:2">
      <c r="A167" s="343">
        <f t="shared" si="2"/>
        <v>43995</v>
      </c>
      <c r="B167" s="344">
        <v>42.570999999999998</v>
      </c>
    </row>
    <row r="168" spans="1:2">
      <c r="A168" s="343">
        <f t="shared" si="2"/>
        <v>43996</v>
      </c>
      <c r="B168" s="344">
        <v>46.058999999999997</v>
      </c>
    </row>
    <row r="169" spans="1:2">
      <c r="A169" s="343">
        <f t="shared" si="2"/>
        <v>43997</v>
      </c>
      <c r="B169" s="344">
        <v>26.741</v>
      </c>
    </row>
    <row r="170" spans="1:2">
      <c r="A170" s="343">
        <f t="shared" si="2"/>
        <v>43998</v>
      </c>
      <c r="B170" s="344">
        <v>33.46</v>
      </c>
    </row>
    <row r="171" spans="1:2">
      <c r="A171" s="343">
        <f t="shared" si="2"/>
        <v>43999</v>
      </c>
      <c r="B171" s="344">
        <v>36.700000000000003</v>
      </c>
    </row>
    <row r="172" spans="1:2">
      <c r="A172" s="343">
        <f t="shared" si="2"/>
        <v>44000</v>
      </c>
      <c r="B172" s="344">
        <v>37.74</v>
      </c>
    </row>
    <row r="173" spans="1:2">
      <c r="A173" s="343">
        <f t="shared" si="2"/>
        <v>44001</v>
      </c>
      <c r="B173" s="344">
        <v>44.69</v>
      </c>
    </row>
    <row r="174" spans="1:2">
      <c r="A174" s="343">
        <f t="shared" si="2"/>
        <v>44002</v>
      </c>
      <c r="B174" s="344">
        <v>44.335000000000001</v>
      </c>
    </row>
    <row r="175" spans="1:2">
      <c r="A175" s="343">
        <f t="shared" si="2"/>
        <v>44003</v>
      </c>
      <c r="B175" s="344">
        <v>50.034999999999997</v>
      </c>
    </row>
    <row r="176" spans="1:2">
      <c r="A176" s="343">
        <f t="shared" si="2"/>
        <v>44004</v>
      </c>
      <c r="B176" s="344">
        <v>51.359000000000002</v>
      </c>
    </row>
    <row r="177" spans="1:2">
      <c r="A177" s="343">
        <f t="shared" si="2"/>
        <v>44005</v>
      </c>
      <c r="B177" s="344">
        <v>43.331000000000003</v>
      </c>
    </row>
    <row r="178" spans="1:2">
      <c r="A178" s="343">
        <f t="shared" si="2"/>
        <v>44006</v>
      </c>
      <c r="B178" s="344">
        <v>49.02</v>
      </c>
    </row>
    <row r="179" spans="1:2">
      <c r="A179" s="343">
        <f t="shared" si="2"/>
        <v>44007</v>
      </c>
      <c r="B179" s="344">
        <v>53.94</v>
      </c>
    </row>
    <row r="180" spans="1:2">
      <c r="A180" s="343">
        <f t="shared" si="2"/>
        <v>44008</v>
      </c>
      <c r="B180" s="344">
        <v>53.4</v>
      </c>
    </row>
    <row r="181" spans="1:2">
      <c r="A181" s="343">
        <f t="shared" si="2"/>
        <v>44009</v>
      </c>
      <c r="B181" s="344">
        <v>53.148000000000003</v>
      </c>
    </row>
    <row r="182" spans="1:2">
      <c r="A182" s="343">
        <f t="shared" si="2"/>
        <v>44010</v>
      </c>
      <c r="B182" s="344">
        <v>51.667999999999999</v>
      </c>
    </row>
    <row r="183" spans="1:2">
      <c r="A183" s="343">
        <f t="shared" si="2"/>
        <v>44011</v>
      </c>
      <c r="B183" s="344">
        <v>52.673999999999999</v>
      </c>
    </row>
    <row r="184" spans="1:2">
      <c r="A184" s="346" t="s">
        <v>321</v>
      </c>
      <c r="B184" s="347">
        <f>SUM(B2:B183)</f>
        <v>8160.1929999999984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5"/>
  <sheetViews>
    <sheetView zoomScale="85" zoomScaleNormal="85" workbookViewId="0">
      <selection activeCell="F14" sqref="F14"/>
    </sheetView>
  </sheetViews>
  <sheetFormatPr defaultColWidth="9" defaultRowHeight="13.5"/>
  <cols>
    <col min="1" max="1" width="24.84375" customWidth="1"/>
    <col min="2" max="2" width="21.765625" customWidth="1"/>
    <col min="4" max="4" width="21.4609375" customWidth="1"/>
    <col min="5" max="5" width="3.23046875" customWidth="1"/>
    <col min="6" max="6" width="16.61328125" customWidth="1"/>
    <col min="7" max="8" width="10.3828125" bestFit="1" customWidth="1"/>
    <col min="11" max="11" width="9.84375" bestFit="1" customWidth="1"/>
  </cols>
  <sheetData>
    <row r="1" spans="1:12" ht="44.25" customHeight="1">
      <c r="A1" s="52" t="s">
        <v>314</v>
      </c>
      <c r="B1" s="168" t="s">
        <v>212</v>
      </c>
      <c r="C1" s="168" t="s">
        <v>213</v>
      </c>
      <c r="D1" s="168" t="s">
        <v>214</v>
      </c>
      <c r="H1" t="s">
        <v>229</v>
      </c>
    </row>
    <row r="2" spans="1:12">
      <c r="A2" s="169" t="s">
        <v>337</v>
      </c>
      <c r="B2" s="32">
        <f>'Baseline Emission'!E26</f>
        <v>69672.264661023015</v>
      </c>
      <c r="C2" s="32">
        <f>'Project Emission-2'!F2</f>
        <v>6123.2801933118399</v>
      </c>
      <c r="D2" s="32">
        <f>B2-C2</f>
        <v>63548.984467711176</v>
      </c>
      <c r="F2" s="170">
        <v>43333</v>
      </c>
      <c r="G2" s="170">
        <v>43464</v>
      </c>
      <c r="H2" s="120">
        <f>+G2-F2+1</f>
        <v>132</v>
      </c>
      <c r="I2" s="118"/>
    </row>
    <row r="3" spans="1:12">
      <c r="A3" s="31">
        <v>2023</v>
      </c>
      <c r="B3" s="32">
        <f>'Baseline Emission'!E27</f>
        <v>125564.82629905577</v>
      </c>
      <c r="C3" s="32">
        <f>'Project Emission-2'!F3</f>
        <v>20981.644364720596</v>
      </c>
      <c r="D3" s="32">
        <f t="shared" ref="D3:D6" si="0">B3-C3</f>
        <v>104583.18193433518</v>
      </c>
      <c r="F3" s="119"/>
      <c r="G3" s="119"/>
      <c r="H3" s="118">
        <v>365</v>
      </c>
      <c r="I3" s="118"/>
    </row>
    <row r="4" spans="1:12">
      <c r="A4" s="31" t="s">
        <v>329</v>
      </c>
      <c r="B4" s="32">
        <f>'Baseline Emission'!E28</f>
        <v>38440.592311167813</v>
      </c>
      <c r="C4" s="32">
        <f>'Project Emission-2'!F4</f>
        <v>8751.7688436809822</v>
      </c>
      <c r="D4" s="32">
        <f t="shared" si="0"/>
        <v>29688.823467486829</v>
      </c>
      <c r="F4" s="170">
        <v>43830</v>
      </c>
      <c r="G4" s="170">
        <v>43981</v>
      </c>
      <c r="H4" s="120">
        <f>+G4-F4+1</f>
        <v>152</v>
      </c>
      <c r="I4" s="118"/>
      <c r="J4" s="170">
        <v>43830</v>
      </c>
      <c r="K4" s="170">
        <v>44195</v>
      </c>
      <c r="L4" s="120">
        <f>+K4-J4+1</f>
        <v>366</v>
      </c>
    </row>
    <row r="5" spans="1:12">
      <c r="A5" s="33" t="s">
        <v>131</v>
      </c>
      <c r="B5" s="34">
        <f>((B2*365/$H$2)+B3+(B4*366/$H$4))/3</f>
        <v>136926.69813255835</v>
      </c>
      <c r="C5" s="34">
        <f>((C2*365/$H$2)+C3+(C4*366/$H$4))/3</f>
        <v>19662.260001904084</v>
      </c>
      <c r="D5" s="34">
        <f>B5-C5</f>
        <v>117264.43813065426</v>
      </c>
    </row>
    <row r="6" spans="1:12">
      <c r="A6" s="35" t="s">
        <v>73</v>
      </c>
      <c r="B6" s="32">
        <f>SUM(B2:B4)</f>
        <v>233677.68327124661</v>
      </c>
      <c r="C6" s="32">
        <f>SUM(C2:C4)</f>
        <v>35856.693401713419</v>
      </c>
      <c r="D6" s="32">
        <f t="shared" si="0"/>
        <v>197820.98986953319</v>
      </c>
      <c r="G6" t="s">
        <v>230</v>
      </c>
      <c r="H6" s="118">
        <f>+SUM(H2:H4)</f>
        <v>649</v>
      </c>
    </row>
    <row r="10" spans="1:12" ht="40.5">
      <c r="A10" s="52" t="s">
        <v>335</v>
      </c>
      <c r="B10" s="168" t="s">
        <v>212</v>
      </c>
      <c r="C10" s="168" t="s">
        <v>213</v>
      </c>
      <c r="D10" s="168" t="s">
        <v>214</v>
      </c>
    </row>
    <row r="11" spans="1:12">
      <c r="A11" s="169" t="s">
        <v>337</v>
      </c>
      <c r="B11" s="32">
        <f>B12*H2/H3</f>
        <v>44044.241095890407</v>
      </c>
      <c r="C11" s="32">
        <f>C12*H2/H3</f>
        <v>2045.5367456676461</v>
      </c>
      <c r="D11" s="32">
        <f>B11-C11</f>
        <v>41998.704350222761</v>
      </c>
    </row>
    <row r="12" spans="1:12">
      <c r="A12" s="31">
        <v>2023</v>
      </c>
      <c r="B12" s="32">
        <v>121789</v>
      </c>
      <c r="C12" s="32">
        <v>5656.2190315809912</v>
      </c>
      <c r="D12" s="32">
        <v>116132.78096841901</v>
      </c>
    </row>
    <row r="13" spans="1:12">
      <c r="A13" s="31" t="s">
        <v>329</v>
      </c>
      <c r="B13" s="32">
        <f>B12*H4/366</f>
        <v>50579.038251366117</v>
      </c>
      <c r="C13" s="32">
        <f>C12*H4/366</f>
        <v>2349.0308546456577</v>
      </c>
      <c r="D13" s="32">
        <f>B13-C13</f>
        <v>48230.007396720459</v>
      </c>
    </row>
    <row r="14" spans="1:12">
      <c r="A14" s="33" t="s">
        <v>131</v>
      </c>
      <c r="B14" s="34">
        <f>(B11*365/$H$2+B12+B13*366/$H$4)/3</f>
        <v>121789</v>
      </c>
      <c r="C14" s="34">
        <f>(C11*365/$H$2+C12+C13*366/$H$4)/3</f>
        <v>5656.2190315809903</v>
      </c>
      <c r="D14" s="34">
        <f>((D11*365/$H$2)+D12+(D13*366/$H$4))/3</f>
        <v>116132.780968419</v>
      </c>
    </row>
    <row r="15" spans="1:12">
      <c r="A15" s="35" t="s">
        <v>336</v>
      </c>
      <c r="B15" s="32">
        <f>B11+B12+B13</f>
        <v>216412.27934725652</v>
      </c>
      <c r="C15" s="32">
        <f>C11+C12+C13</f>
        <v>10050.786631894294</v>
      </c>
      <c r="D15" s="32">
        <f>D11+D12+D13</f>
        <v>206361.49271536223</v>
      </c>
    </row>
  </sheetData>
  <phoneticPr fontId="7" type="noConversion"/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9"/>
  <sheetViews>
    <sheetView zoomScale="80" zoomScaleNormal="80" workbookViewId="0">
      <pane ySplit="1" topLeftCell="A15" activePane="bottomLeft" state="frozen"/>
      <selection pane="bottomLeft" activeCell="G31" sqref="G31"/>
    </sheetView>
  </sheetViews>
  <sheetFormatPr defaultColWidth="9" defaultRowHeight="13.5"/>
  <cols>
    <col min="1" max="1" width="19.23046875" style="2" customWidth="1"/>
    <col min="2" max="2" width="16.23046875" style="2" customWidth="1"/>
    <col min="3" max="3" width="28" style="2" customWidth="1"/>
    <col min="4" max="4" width="26.84375" style="2" customWidth="1"/>
    <col min="5" max="5" width="35.15234375" style="2" customWidth="1"/>
    <col min="6" max="6" width="40.23046875" style="2" customWidth="1"/>
    <col min="7" max="7" width="34.765625" style="2" customWidth="1"/>
    <col min="8" max="8" width="14.84375" style="2" customWidth="1"/>
    <col min="9" max="9" width="21.3828125" style="2" customWidth="1"/>
    <col min="10" max="10" width="12.61328125" style="2" customWidth="1"/>
    <col min="11" max="11" width="12.15234375" style="2" bestFit="1" customWidth="1"/>
    <col min="12" max="12" width="11.3828125" style="2" bestFit="1" customWidth="1"/>
    <col min="13" max="16384" width="9" style="2"/>
  </cols>
  <sheetData>
    <row r="1" spans="1:12" ht="14" thickBot="1">
      <c r="A1" s="2" t="s">
        <v>11</v>
      </c>
      <c r="B1" s="2" t="s">
        <v>0</v>
      </c>
      <c r="C1" s="2" t="s">
        <v>2</v>
      </c>
      <c r="D1" s="2" t="s">
        <v>12</v>
      </c>
      <c r="E1" s="2" t="s">
        <v>91</v>
      </c>
      <c r="F1" s="2" t="s">
        <v>1</v>
      </c>
      <c r="G1" s="2" t="s">
        <v>4</v>
      </c>
    </row>
    <row r="2" spans="1:12" ht="19.5">
      <c r="A2" s="381" t="s">
        <v>211</v>
      </c>
      <c r="B2" s="382"/>
      <c r="C2" s="382"/>
      <c r="D2" s="382"/>
      <c r="E2" s="382"/>
      <c r="F2" s="382"/>
      <c r="G2" s="383"/>
    </row>
    <row r="3" spans="1:12" ht="69.75" customHeight="1">
      <c r="A3" s="189" t="s">
        <v>227</v>
      </c>
      <c r="B3" s="141" t="s">
        <v>18</v>
      </c>
      <c r="C3" s="141" t="s">
        <v>19</v>
      </c>
      <c r="D3" s="142">
        <f>SUM(B26:B28)</f>
        <v>210107.39835804506</v>
      </c>
      <c r="E3" s="48"/>
      <c r="F3" s="48" t="s">
        <v>215</v>
      </c>
      <c r="G3" s="154" t="s">
        <v>76</v>
      </c>
      <c r="I3" s="39"/>
    </row>
    <row r="4" spans="1:12" ht="30" customHeight="1">
      <c r="A4" s="155" t="s">
        <v>20</v>
      </c>
      <c r="B4" s="44"/>
      <c r="C4" s="50" t="s">
        <v>21</v>
      </c>
      <c r="D4" s="43">
        <v>28</v>
      </c>
      <c r="E4" s="139" t="s">
        <v>192</v>
      </c>
      <c r="F4" s="44" t="s">
        <v>226</v>
      </c>
      <c r="G4" s="156"/>
    </row>
    <row r="5" spans="1:12" ht="27">
      <c r="A5" s="155" t="s">
        <v>22</v>
      </c>
      <c r="B5" s="45" t="s">
        <v>23</v>
      </c>
      <c r="C5" s="45" t="s">
        <v>24</v>
      </c>
      <c r="D5" s="44">
        <v>6.7000000000000002E-4</v>
      </c>
      <c r="E5" s="139" t="s">
        <v>192</v>
      </c>
      <c r="F5" s="44" t="s">
        <v>100</v>
      </c>
      <c r="G5" s="156"/>
      <c r="I5" s="122"/>
    </row>
    <row r="6" spans="1:12" ht="46.5" customHeight="1">
      <c r="A6" s="155" t="s">
        <v>25</v>
      </c>
      <c r="B6" s="44"/>
      <c r="C6" s="45" t="s">
        <v>26</v>
      </c>
      <c r="D6" s="51">
        <f>+'Average Temp'!$C$12</f>
        <v>0.71439999999999992</v>
      </c>
      <c r="E6" s="139" t="s">
        <v>192</v>
      </c>
      <c r="F6" s="44" t="s">
        <v>138</v>
      </c>
      <c r="G6" s="156" t="s">
        <v>250</v>
      </c>
    </row>
    <row r="7" spans="1:12" ht="54.65" customHeight="1">
      <c r="A7" s="157" t="s">
        <v>206</v>
      </c>
      <c r="B7" s="44" t="s">
        <v>88</v>
      </c>
      <c r="C7" s="44" t="s">
        <v>205</v>
      </c>
      <c r="D7" s="140">
        <v>1</v>
      </c>
      <c r="E7" s="139" t="s">
        <v>192</v>
      </c>
      <c r="F7" s="44"/>
      <c r="G7" s="156"/>
    </row>
    <row r="8" spans="1:12" ht="46.5" customHeight="1">
      <c r="A8" s="157" t="s">
        <v>141</v>
      </c>
      <c r="B8" s="45" t="s">
        <v>28</v>
      </c>
      <c r="C8" s="45" t="s">
        <v>27</v>
      </c>
      <c r="D8" s="44">
        <v>0.24</v>
      </c>
      <c r="E8" s="139" t="s">
        <v>192</v>
      </c>
      <c r="F8" s="44" t="s">
        <v>249</v>
      </c>
      <c r="G8" s="156" t="s">
        <v>93</v>
      </c>
    </row>
    <row r="9" spans="1:12" ht="39" customHeight="1">
      <c r="A9" s="157" t="s">
        <v>141</v>
      </c>
      <c r="B9" s="45" t="s">
        <v>28</v>
      </c>
      <c r="C9" s="45" t="s">
        <v>27</v>
      </c>
      <c r="D9" s="44">
        <v>0.39</v>
      </c>
      <c r="E9" s="139" t="s">
        <v>192</v>
      </c>
      <c r="F9" s="44" t="s">
        <v>249</v>
      </c>
      <c r="G9" s="156" t="s">
        <v>255</v>
      </c>
      <c r="H9" s="19" t="s">
        <v>148</v>
      </c>
    </row>
    <row r="10" spans="1:12" ht="37.5" customHeight="1">
      <c r="A10" s="207" t="s">
        <v>202</v>
      </c>
      <c r="B10" s="26" t="s">
        <v>203</v>
      </c>
      <c r="C10" s="26" t="s">
        <v>204</v>
      </c>
      <c r="D10" s="208">
        <f>+E10*365</f>
        <v>1642.5</v>
      </c>
      <c r="E10" s="209">
        <v>4.5</v>
      </c>
      <c r="F10" s="206" t="s">
        <v>253</v>
      </c>
      <c r="G10" s="125" t="s">
        <v>93</v>
      </c>
      <c r="H10" s="19"/>
    </row>
    <row r="11" spans="1:12" ht="38.25" customHeight="1">
      <c r="A11" s="207" t="s">
        <v>202</v>
      </c>
      <c r="B11" s="26" t="s">
        <v>203</v>
      </c>
      <c r="C11" s="26" t="s">
        <v>204</v>
      </c>
      <c r="D11" s="210">
        <f>+E11*365</f>
        <v>7.3</v>
      </c>
      <c r="E11" s="209">
        <v>0.02</v>
      </c>
      <c r="F11" s="206" t="s">
        <v>254</v>
      </c>
      <c r="G11" s="125" t="s">
        <v>255</v>
      </c>
      <c r="H11" s="19"/>
    </row>
    <row r="12" spans="1:12" ht="37.5" customHeight="1">
      <c r="A12" s="157" t="s">
        <v>101</v>
      </c>
      <c r="B12" s="44" t="s">
        <v>105</v>
      </c>
      <c r="C12" s="44"/>
      <c r="D12" s="194">
        <f>+'Baseline Heat'!C31+'Baseline Heat'!F31+'Baseline Heat'!C31</f>
        <v>24256.340132519654</v>
      </c>
      <c r="E12" s="44"/>
      <c r="F12" s="44" t="s">
        <v>243</v>
      </c>
      <c r="G12" s="156"/>
    </row>
    <row r="13" spans="1:12">
      <c r="A13" s="157" t="s">
        <v>102</v>
      </c>
      <c r="B13" s="44" t="s">
        <v>106</v>
      </c>
      <c r="C13" s="45"/>
      <c r="D13" s="44">
        <v>190</v>
      </c>
      <c r="E13" s="44"/>
      <c r="F13" s="44" t="s">
        <v>117</v>
      </c>
      <c r="G13" s="156"/>
    </row>
    <row r="14" spans="1:12">
      <c r="A14" s="157" t="s">
        <v>103</v>
      </c>
      <c r="B14" s="46" t="s">
        <v>127</v>
      </c>
      <c r="C14" s="46"/>
      <c r="D14" s="46">
        <v>11.5</v>
      </c>
      <c r="E14" s="46"/>
      <c r="F14" s="46" t="s">
        <v>117</v>
      </c>
      <c r="G14" s="158"/>
      <c r="H14" s="5"/>
      <c r="I14" s="5"/>
      <c r="J14" s="5"/>
      <c r="K14" s="5"/>
      <c r="L14" s="5"/>
    </row>
    <row r="15" spans="1:12" ht="47.15" customHeight="1">
      <c r="A15" s="157" t="s">
        <v>104</v>
      </c>
      <c r="B15" s="46" t="s">
        <v>107</v>
      </c>
      <c r="C15" s="46"/>
      <c r="D15" s="46">
        <v>2793</v>
      </c>
      <c r="E15" s="46"/>
      <c r="F15" s="47" t="s">
        <v>116</v>
      </c>
      <c r="G15" s="158"/>
      <c r="H15" s="29"/>
      <c r="I15" s="5"/>
      <c r="J15" s="5"/>
      <c r="K15" s="5"/>
      <c r="L15" s="5"/>
    </row>
    <row r="16" spans="1:12" ht="54">
      <c r="A16" s="157" t="s">
        <v>119</v>
      </c>
      <c r="B16" s="46" t="s">
        <v>118</v>
      </c>
      <c r="C16" s="46"/>
      <c r="D16" s="46">
        <v>427.5</v>
      </c>
      <c r="E16" s="46"/>
      <c r="F16" s="47" t="s">
        <v>120</v>
      </c>
      <c r="G16" s="158"/>
      <c r="H16" s="28"/>
      <c r="I16" s="5"/>
      <c r="J16" s="5"/>
      <c r="K16" s="5"/>
      <c r="L16" s="5"/>
    </row>
    <row r="17" spans="1:12" ht="54" customHeight="1">
      <c r="A17" s="159" t="s">
        <v>114</v>
      </c>
      <c r="B17" s="147" t="s">
        <v>113</v>
      </c>
      <c r="C17" s="48" t="s">
        <v>115</v>
      </c>
      <c r="D17" s="149">
        <f>'Baseline Heat'!C11</f>
        <v>3551.1142367813986</v>
      </c>
      <c r="E17" s="147"/>
      <c r="F17" s="147" t="s">
        <v>215</v>
      </c>
      <c r="G17" s="160"/>
      <c r="H17" s="38"/>
      <c r="I17" s="38"/>
      <c r="J17" s="5"/>
      <c r="K17" s="5"/>
      <c r="L17" s="5"/>
    </row>
    <row r="18" spans="1:12" ht="53.15" customHeight="1">
      <c r="A18" s="161" t="s">
        <v>32</v>
      </c>
      <c r="B18" s="141" t="s">
        <v>18</v>
      </c>
      <c r="C18" s="48" t="s">
        <v>97</v>
      </c>
      <c r="D18" s="148">
        <f>SUM(D26:D28)</f>
        <v>20019.170676420159</v>
      </c>
      <c r="E18" s="141" t="s">
        <v>31</v>
      </c>
      <c r="F18" s="48" t="s">
        <v>215</v>
      </c>
      <c r="G18" s="154"/>
      <c r="H18" s="38"/>
      <c r="I18" s="38"/>
    </row>
    <row r="19" spans="1:12">
      <c r="A19" s="162" t="s">
        <v>14</v>
      </c>
      <c r="B19" s="50" t="s">
        <v>75</v>
      </c>
      <c r="C19" s="143" t="s">
        <v>13</v>
      </c>
      <c r="D19" s="144">
        <v>6.4020000000000001</v>
      </c>
      <c r="E19" s="49"/>
      <c r="F19" s="44" t="s">
        <v>95</v>
      </c>
      <c r="G19" s="163"/>
    </row>
    <row r="20" spans="1:12">
      <c r="A20" s="164" t="s">
        <v>15</v>
      </c>
      <c r="B20" s="50" t="s">
        <v>17</v>
      </c>
      <c r="C20" s="50" t="s">
        <v>16</v>
      </c>
      <c r="D20" s="144">
        <v>7000</v>
      </c>
      <c r="E20" s="50"/>
      <c r="F20" s="49"/>
      <c r="G20" s="165"/>
    </row>
    <row r="21" spans="1:12" ht="28" customHeight="1" thickBot="1">
      <c r="A21" s="166" t="s">
        <v>5</v>
      </c>
      <c r="B21" s="49" t="s">
        <v>7</v>
      </c>
      <c r="C21" s="49" t="s">
        <v>6</v>
      </c>
      <c r="D21" s="192">
        <f>+'CM '!B10</f>
        <v>0.57055</v>
      </c>
      <c r="E21" s="49"/>
      <c r="F21" s="49" t="s">
        <v>140</v>
      </c>
      <c r="G21" s="167"/>
    </row>
    <row r="22" spans="1:12" ht="47.15" customHeight="1" thickBot="1">
      <c r="A22" s="151" t="s">
        <v>207</v>
      </c>
      <c r="B22" s="152" t="s">
        <v>208</v>
      </c>
      <c r="C22" s="152" t="s">
        <v>228</v>
      </c>
      <c r="D22" s="153">
        <f>ROUNDDOWN(D18+D3+D17,0)</f>
        <v>233677</v>
      </c>
      <c r="E22" s="152" t="s">
        <v>210</v>
      </c>
      <c r="F22" s="145"/>
      <c r="G22" s="146"/>
    </row>
    <row r="23" spans="1:12">
      <c r="D23" s="122"/>
      <c r="E23" s="122"/>
      <c r="F23" s="123"/>
      <c r="G23" s="122"/>
    </row>
    <row r="24" spans="1:12" ht="57" customHeight="1" thickBot="1">
      <c r="A24" s="271"/>
      <c r="B24" s="271"/>
      <c r="C24" s="271"/>
      <c r="D24" s="271"/>
      <c r="E24" s="271"/>
      <c r="F24" s="271"/>
    </row>
    <row r="25" spans="1:12" ht="43" thickBot="1">
      <c r="A25" s="16"/>
      <c r="B25" s="258" t="s">
        <v>287</v>
      </c>
      <c r="C25" s="259" t="s">
        <v>309</v>
      </c>
      <c r="D25" s="259" t="s">
        <v>288</v>
      </c>
      <c r="E25" s="260" t="s">
        <v>289</v>
      </c>
      <c r="F25" s="269"/>
    </row>
    <row r="26" spans="1:12">
      <c r="A26" s="265" t="s">
        <v>358</v>
      </c>
      <c r="B26" s="272">
        <f>('Baseline Emission'!D4*'Baseline Emission'!D5*'Baseline Emission'!D6*('Baseline Emission'!D8*C42*'Baseline Emission'!D10*'Baseline Emission'!D7)+'Baseline Emission'!D4*'Baseline Emission'!D5*'Baseline Emission'!D6*('Baseline Emission'!D7*'Baseline Emission'!D9*'Baseline Emission'!D11*C47))*I41/365</f>
        <v>65463.112246371827</v>
      </c>
      <c r="C26" s="371">
        <f>('Baseline Heat'!C31*('Baseline Emission'!D15-'Baseline Emission'!D16)*10^-6)/'Baseline Heat'!C13*'Baseline Heat'!C14</f>
        <v>665.98308013268763</v>
      </c>
      <c r="D26" s="377">
        <f>'EPIAS Records'!C21</f>
        <v>3543.1693345184999</v>
      </c>
      <c r="E26" s="372">
        <f>B26+C26+D26</f>
        <v>69672.264661023015</v>
      </c>
      <c r="F26" s="270"/>
    </row>
    <row r="27" spans="1:12">
      <c r="A27" s="266">
        <v>2023</v>
      </c>
      <c r="B27" s="328">
        <f>'Baseline Emission'!D4*'Baseline Emission'!D5*'Baseline Emission'!D6*('Baseline Emission'!D8*D42*'Baseline Emission'!D10*'Baseline Emission'!D7)+'Baseline Emission'!D4*'Baseline Emission'!D5*'Baseline Emission'!D6*('Baseline Emission'!D7*'Baseline Emission'!D9*'Baseline Emission'!D11*D47)</f>
        <v>111964.9781106528</v>
      </c>
      <c r="C27" s="373">
        <f>('Baseline Heat'!F31*('Baseline Emission'!D15-'Baseline Emission'!D16)*10^-6)/'Baseline Heat'!C13*'Baseline Heat'!C14</f>
        <v>2054.6051780853909</v>
      </c>
      <c r="D27" s="378">
        <f>'EPIAS Records'!C22</f>
        <v>11545.24301031759</v>
      </c>
      <c r="E27" s="374">
        <f t="shared" ref="E27:E28" si="0">B27+C27+D27</f>
        <v>125564.82629905577</v>
      </c>
      <c r="F27" s="270"/>
    </row>
    <row r="28" spans="1:12" ht="14" thickBot="1">
      <c r="A28" s="267" t="s">
        <v>330</v>
      </c>
      <c r="B28" s="329">
        <f>('Baseline Emission'!D4*'Baseline Emission'!D5*'Baseline Emission'!D6*('Baseline Emission'!D8*E42*'Baseline Emission'!D10*'Baseline Emission'!D7)+'Baseline Emission'!D4*'Baseline Emission'!D5*'Baseline Emission'!D6*('Baseline Emission'!D7*'Baseline Emission'!D9*'Baseline Emission'!D11*E47))*I43/366</f>
        <v>32679.308001020425</v>
      </c>
      <c r="C28" s="375">
        <f>('Baseline Heat'!I31*('Baseline Emission'!D15-'Baseline Emission'!D16)*10^-6)/'Baseline Heat'!C13*'Baseline Heat'!C14</f>
        <v>830.52597856332045</v>
      </c>
      <c r="D28" s="379">
        <f>'EPIAS Records'!C23</f>
        <v>4930.7583315840684</v>
      </c>
      <c r="E28" s="376">
        <f t="shared" si="0"/>
        <v>38440.592311167813</v>
      </c>
      <c r="F28" s="270"/>
    </row>
    <row r="29" spans="1:12" ht="31" customHeight="1">
      <c r="A29"/>
      <c r="B29"/>
      <c r="C29"/>
      <c r="D29"/>
      <c r="E29"/>
      <c r="F29" s="270"/>
    </row>
    <row r="30" spans="1:12" ht="14" thickBot="1">
      <c r="A30"/>
      <c r="B30"/>
      <c r="C30"/>
      <c r="D30"/>
      <c r="E30"/>
    </row>
    <row r="31" spans="1:12" ht="14" thickBot="1">
      <c r="A31" s="202" t="s">
        <v>235</v>
      </c>
      <c r="B31" s="200" t="s">
        <v>236</v>
      </c>
      <c r="C31" s="201">
        <v>2022</v>
      </c>
      <c r="D31" s="201">
        <v>2023</v>
      </c>
      <c r="E31" s="310">
        <v>2024</v>
      </c>
      <c r="G31" s="352"/>
      <c r="H31" s="352"/>
      <c r="I31" s="352"/>
      <c r="J31" s="352"/>
    </row>
    <row r="32" spans="1:12" ht="27.5" thickBot="1">
      <c r="A32" s="257" t="s">
        <v>237</v>
      </c>
      <c r="B32" s="255" t="s">
        <v>238</v>
      </c>
      <c r="C32" s="255">
        <v>1200</v>
      </c>
      <c r="D32" s="255">
        <v>1000</v>
      </c>
      <c r="E32" s="311">
        <v>1000</v>
      </c>
      <c r="G32" s="352"/>
      <c r="H32" s="353"/>
      <c r="I32" s="353"/>
      <c r="J32" s="353"/>
      <c r="K32" s="354"/>
    </row>
    <row r="33" spans="1:13" ht="48" customHeight="1" thickBot="1">
      <c r="A33" s="257" t="s">
        <v>239</v>
      </c>
      <c r="B33" s="255" t="s">
        <v>238</v>
      </c>
      <c r="C33" s="255">
        <v>2900</v>
      </c>
      <c r="D33" s="255">
        <v>2500</v>
      </c>
      <c r="E33" s="311">
        <v>2000</v>
      </c>
      <c r="G33" s="352"/>
      <c r="H33" s="353"/>
      <c r="I33" s="353"/>
      <c r="J33" s="353"/>
      <c r="K33" s="354"/>
    </row>
    <row r="34" spans="1:13" ht="27.5" thickBot="1">
      <c r="A34" s="257" t="s">
        <v>283</v>
      </c>
      <c r="B34" s="255" t="s">
        <v>238</v>
      </c>
      <c r="C34" s="255">
        <v>250</v>
      </c>
      <c r="D34" s="255">
        <v>230</v>
      </c>
      <c r="E34" s="294"/>
      <c r="H34" s="355"/>
      <c r="I34" s="355"/>
      <c r="J34" s="355"/>
      <c r="K34" s="355"/>
      <c r="L34" s="355"/>
    </row>
    <row r="35" spans="1:13" ht="27.5" thickBot="1">
      <c r="A35" s="257" t="s">
        <v>301</v>
      </c>
      <c r="B35" s="255" t="s">
        <v>238</v>
      </c>
      <c r="C35" s="294"/>
      <c r="D35" s="255">
        <v>2200</v>
      </c>
      <c r="E35" s="255">
        <v>2190</v>
      </c>
      <c r="K35" s="355"/>
    </row>
    <row r="36" spans="1:13" ht="14" thickBot="1">
      <c r="A36" s="257" t="s">
        <v>320</v>
      </c>
      <c r="B36" s="255" t="s">
        <v>238</v>
      </c>
      <c r="C36" s="255">
        <v>1200</v>
      </c>
      <c r="D36" s="294"/>
      <c r="E36" s="294"/>
    </row>
    <row r="37" spans="1:13" ht="14" thickBot="1">
      <c r="A37" s="257" t="s">
        <v>319</v>
      </c>
      <c r="B37" s="255" t="s">
        <v>238</v>
      </c>
      <c r="C37" s="255">
        <v>1000</v>
      </c>
      <c r="D37" s="294"/>
      <c r="E37" s="294"/>
    </row>
    <row r="38" spans="1:13" ht="14" thickBot="1">
      <c r="A38" s="257" t="s">
        <v>286</v>
      </c>
      <c r="B38" s="255" t="s">
        <v>238</v>
      </c>
      <c r="C38" s="255">
        <v>3500</v>
      </c>
      <c r="D38" s="255">
        <v>3500</v>
      </c>
      <c r="E38" s="294"/>
    </row>
    <row r="39" spans="1:13" ht="14" thickBot="1">
      <c r="A39" s="257" t="s">
        <v>316</v>
      </c>
      <c r="B39" s="255" t="s">
        <v>238</v>
      </c>
      <c r="C39" s="255">
        <v>3796</v>
      </c>
      <c r="D39" s="255">
        <v>4273</v>
      </c>
      <c r="E39" s="255">
        <v>3027</v>
      </c>
    </row>
    <row r="40" spans="1:13" ht="32.15" customHeight="1" thickBot="1">
      <c r="A40" s="257" t="s">
        <v>317</v>
      </c>
      <c r="B40" s="312" t="s">
        <v>318</v>
      </c>
      <c r="C40" s="255">
        <v>500</v>
      </c>
      <c r="D40" s="294"/>
      <c r="E40" s="294"/>
      <c r="G40"/>
      <c r="H40"/>
      <c r="I40" t="s">
        <v>229</v>
      </c>
    </row>
    <row r="41" spans="1:13" ht="14.5" thickBot="1">
      <c r="A41" s="257" t="s">
        <v>285</v>
      </c>
      <c r="B41" s="255" t="s">
        <v>238</v>
      </c>
      <c r="C41" s="255">
        <v>2190</v>
      </c>
      <c r="D41" s="255">
        <v>2230</v>
      </c>
      <c r="E41" s="255">
        <v>2440</v>
      </c>
      <c r="G41" s="170">
        <v>43333</v>
      </c>
      <c r="H41" s="170">
        <v>43464</v>
      </c>
      <c r="I41" s="120">
        <f>+H41-G41+1</f>
        <v>132</v>
      </c>
    </row>
    <row r="42" spans="1:13" ht="14.5" thickBot="1">
      <c r="A42" s="384" t="s">
        <v>240</v>
      </c>
      <c r="B42" s="385"/>
      <c r="C42" s="316">
        <f>SUM(C32:C41)</f>
        <v>16536</v>
      </c>
      <c r="D42" s="316">
        <f>SUM(D32:D41)</f>
        <v>15933</v>
      </c>
      <c r="E42" s="316">
        <f>SUM(E32:E41)</f>
        <v>10657</v>
      </c>
      <c r="G42" s="119"/>
      <c r="H42" s="119"/>
      <c r="I42" s="118">
        <v>365</v>
      </c>
    </row>
    <row r="43" spans="1:13" ht="30" customHeight="1" thickBot="1">
      <c r="A43" s="257" t="s">
        <v>241</v>
      </c>
      <c r="B43" s="255" t="s">
        <v>147</v>
      </c>
      <c r="C43" s="255">
        <v>1500000</v>
      </c>
      <c r="D43" s="255">
        <v>160000</v>
      </c>
      <c r="E43" s="255">
        <v>330000</v>
      </c>
      <c r="G43" s="170">
        <v>43830</v>
      </c>
      <c r="H43" s="170">
        <v>43981</v>
      </c>
      <c r="I43" s="120">
        <f>+H43-G43+1</f>
        <v>152</v>
      </c>
      <c r="K43" s="170">
        <v>43830</v>
      </c>
      <c r="L43" s="170">
        <v>44195</v>
      </c>
      <c r="M43" s="120">
        <f>+L43-K43+1</f>
        <v>366</v>
      </c>
    </row>
    <row r="44" spans="1:13" ht="33.65" customHeight="1" thickBot="1">
      <c r="A44" s="257" t="s">
        <v>307</v>
      </c>
      <c r="B44" s="255" t="s">
        <v>147</v>
      </c>
      <c r="C44" s="255">
        <v>155000</v>
      </c>
      <c r="D44" s="255">
        <v>153000</v>
      </c>
      <c r="E44" s="255">
        <v>162000</v>
      </c>
      <c r="G44"/>
      <c r="H44"/>
      <c r="I44"/>
    </row>
    <row r="45" spans="1:13" ht="14.5" thickBot="1">
      <c r="A45" s="257" t="s">
        <v>284</v>
      </c>
      <c r="B45" s="255" t="s">
        <v>147</v>
      </c>
      <c r="C45" s="255">
        <v>700000</v>
      </c>
      <c r="D45" s="255">
        <v>310000</v>
      </c>
      <c r="E45" s="294"/>
      <c r="G45"/>
      <c r="H45" t="s">
        <v>230</v>
      </c>
      <c r="I45" s="118">
        <f>+SUM(I41:I43)</f>
        <v>649</v>
      </c>
    </row>
    <row r="46" spans="1:13" ht="27.5" thickBot="1">
      <c r="A46" s="257" t="s">
        <v>302</v>
      </c>
      <c r="B46" s="255" t="s">
        <v>147</v>
      </c>
      <c r="C46" s="255">
        <v>99500</v>
      </c>
      <c r="D46" s="255">
        <v>105300</v>
      </c>
      <c r="E46" s="255">
        <v>94700</v>
      </c>
    </row>
    <row r="47" spans="1:13" ht="14" thickBot="1">
      <c r="A47" s="384" t="s">
        <v>242</v>
      </c>
      <c r="B47" s="385"/>
      <c r="C47" s="256">
        <f>SUM(C43:C46)</f>
        <v>2454500</v>
      </c>
      <c r="D47" s="256">
        <f>SUM(D43:D46)</f>
        <v>728300</v>
      </c>
      <c r="E47" s="256">
        <f>SUM(E43:E46)</f>
        <v>586700</v>
      </c>
    </row>
    <row r="49" ht="22" customHeight="1"/>
    <row r="50" ht="26.15" customHeight="1"/>
    <row r="51" ht="33" customHeight="1"/>
    <row r="54" ht="25.5" customHeight="1"/>
    <row r="56" ht="37.5" customHeight="1"/>
    <row r="57" ht="18" customHeight="1"/>
    <row r="58" ht="32.15" customHeight="1"/>
    <row r="59" ht="27.65" customHeight="1"/>
  </sheetData>
  <mergeCells count="3">
    <mergeCell ref="A2:G2"/>
    <mergeCell ref="A42:B42"/>
    <mergeCell ref="A47:B47"/>
  </mergeCells>
  <phoneticPr fontId="7" type="noConversion"/>
  <dataValidations count="1">
    <dataValidation allowBlank="1" showInputMessage="1" showErrorMessage="1" sqref="D4" xr:uid="{00000000-0002-0000-0400-000000000000}"/>
  </dataValidations>
  <hyperlinks>
    <hyperlink ref="F15" r:id="rId1" xr:uid="{00000000-0004-0000-0400-000000000000}"/>
    <hyperlink ref="H9" r:id="rId2" xr:uid="{00000000-0004-0000-0400-000001000000}"/>
  </hyperlinks>
  <pageMargins left="0.7" right="0.7" top="0.75" bottom="0.75" header="0.3" footer="0.3"/>
  <pageSetup orientation="portrait" horizontalDpi="300" verticalDpi="300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8"/>
  <sheetViews>
    <sheetView topLeftCell="A8" zoomScale="85" workbookViewId="0">
      <selection activeCell="C31" sqref="C31"/>
    </sheetView>
  </sheetViews>
  <sheetFormatPr defaultRowHeight="13.5"/>
  <cols>
    <col min="2" max="2" width="15.3828125" customWidth="1"/>
    <col min="3" max="3" width="16.4609375" customWidth="1"/>
    <col min="5" max="5" width="16.23046875" customWidth="1"/>
    <col min="6" max="6" width="14.15234375" customWidth="1"/>
    <col min="7" max="7" width="10.84375" bestFit="1" customWidth="1"/>
    <col min="8" max="9" width="16.4609375" customWidth="1"/>
    <col min="13" max="13" width="11.15234375" customWidth="1"/>
  </cols>
  <sheetData>
    <row r="1" spans="1:13" ht="14" thickBot="1"/>
    <row r="2" spans="1:13" ht="13.5" customHeight="1">
      <c r="A2" s="365"/>
      <c r="B2" s="366"/>
      <c r="C2" s="366"/>
      <c r="D2" s="366"/>
      <c r="E2" s="366"/>
      <c r="F2" s="369"/>
      <c r="G2" s="369"/>
      <c r="H2" s="369"/>
    </row>
    <row r="3" spans="1:13" ht="141.5" customHeight="1" thickBot="1">
      <c r="A3" s="367"/>
      <c r="B3" s="368"/>
      <c r="C3" s="368"/>
      <c r="D3" s="368"/>
      <c r="E3" s="368"/>
      <c r="F3" s="369"/>
      <c r="G3" s="369"/>
      <c r="H3" s="369"/>
    </row>
    <row r="5" spans="1:13" ht="15.5">
      <c r="A5" s="386" t="s">
        <v>110</v>
      </c>
      <c r="B5" s="386"/>
      <c r="C5" s="27" t="s">
        <v>3</v>
      </c>
      <c r="D5" s="387" t="s">
        <v>122</v>
      </c>
      <c r="E5" s="387"/>
      <c r="F5" s="387"/>
      <c r="G5" s="387"/>
      <c r="H5" s="387"/>
      <c r="I5" s="387"/>
      <c r="J5" s="387"/>
      <c r="K5" s="387"/>
      <c r="L5" s="387"/>
      <c r="M5" s="387"/>
    </row>
    <row r="6" spans="1:13">
      <c r="A6" s="386" t="s">
        <v>315</v>
      </c>
      <c r="B6" s="386"/>
      <c r="C6" s="27" t="s">
        <v>108</v>
      </c>
      <c r="D6" s="387" t="s">
        <v>123</v>
      </c>
      <c r="E6" s="387"/>
      <c r="F6" s="387"/>
      <c r="G6" s="387"/>
      <c r="H6" s="387"/>
      <c r="I6" s="387"/>
      <c r="J6" s="387"/>
      <c r="K6" s="387"/>
      <c r="L6" s="387"/>
      <c r="M6" s="387"/>
    </row>
    <row r="7" spans="1:13" ht="15.5">
      <c r="A7" s="386" t="s">
        <v>121</v>
      </c>
      <c r="B7" s="386"/>
      <c r="C7" s="27" t="s">
        <v>88</v>
      </c>
      <c r="D7" s="387" t="s">
        <v>112</v>
      </c>
      <c r="E7" s="387"/>
      <c r="F7" s="387"/>
      <c r="G7" s="387"/>
      <c r="H7" s="387"/>
      <c r="I7" s="387"/>
      <c r="J7" s="387"/>
      <c r="K7" s="387"/>
      <c r="L7" s="387"/>
      <c r="M7" s="387"/>
    </row>
    <row r="8" spans="1:13" ht="15.5">
      <c r="A8" s="386" t="s">
        <v>109</v>
      </c>
      <c r="B8" s="386"/>
      <c r="C8" s="27" t="s">
        <v>125</v>
      </c>
      <c r="D8" s="387" t="s">
        <v>124</v>
      </c>
      <c r="E8" s="387"/>
      <c r="F8" s="387"/>
      <c r="G8" s="387"/>
      <c r="H8" s="387"/>
      <c r="I8" s="387"/>
      <c r="J8" s="387"/>
      <c r="K8" s="387"/>
      <c r="L8" s="387"/>
      <c r="M8" s="387"/>
    </row>
    <row r="10" spans="1:13">
      <c r="F10" s="388" t="s">
        <v>111</v>
      </c>
      <c r="G10" s="388"/>
      <c r="H10" s="388"/>
      <c r="I10" s="388"/>
      <c r="J10" s="388"/>
      <c r="K10" s="388"/>
      <c r="L10" s="388"/>
      <c r="M10" s="388"/>
    </row>
    <row r="11" spans="1:13" ht="15.5">
      <c r="A11" s="386" t="s">
        <v>110</v>
      </c>
      <c r="B11" s="386"/>
      <c r="C11" s="41">
        <f>C12/C13*C14</f>
        <v>3551.1142367813986</v>
      </c>
      <c r="D11" s="387" t="s">
        <v>3</v>
      </c>
      <c r="E11" s="387"/>
      <c r="F11" s="389" t="s">
        <v>126</v>
      </c>
      <c r="G11" s="390"/>
      <c r="H11" s="390"/>
      <c r="I11" s="390"/>
      <c r="J11" s="390"/>
      <c r="K11" s="390"/>
      <c r="L11" s="390"/>
      <c r="M11" s="391"/>
    </row>
    <row r="12" spans="1:13" ht="15" customHeight="1">
      <c r="A12" s="386" t="s">
        <v>315</v>
      </c>
      <c r="B12" s="386"/>
      <c r="C12" s="30">
        <f>(C31+F31+I31)*('Baseline Emission'!D15-'Baseline Emission'!D16)*10^-6</f>
        <v>60.166208063331261</v>
      </c>
      <c r="D12" s="387" t="s">
        <v>108</v>
      </c>
      <c r="E12" s="387"/>
      <c r="F12" s="387" t="s">
        <v>129</v>
      </c>
      <c r="G12" s="387"/>
      <c r="H12" s="387"/>
      <c r="I12" s="387"/>
      <c r="J12" s="387"/>
      <c r="K12" s="387"/>
      <c r="L12" s="387"/>
      <c r="M12" s="387"/>
    </row>
    <row r="13" spans="1:13" ht="15.5">
      <c r="A13" s="386" t="s">
        <v>121</v>
      </c>
      <c r="B13" s="386"/>
      <c r="C13" s="30">
        <v>0.92</v>
      </c>
      <c r="D13" s="387" t="s">
        <v>128</v>
      </c>
      <c r="E13" s="387"/>
      <c r="F13" s="387" t="s">
        <v>248</v>
      </c>
      <c r="G13" s="387"/>
      <c r="H13" s="387"/>
      <c r="I13" s="387"/>
      <c r="J13" s="387"/>
      <c r="K13" s="387"/>
      <c r="L13" s="387"/>
      <c r="M13" s="387"/>
    </row>
    <row r="14" spans="1:13" ht="15.5">
      <c r="A14" s="386" t="s">
        <v>109</v>
      </c>
      <c r="B14" s="386"/>
      <c r="C14" s="42">
        <v>54.3</v>
      </c>
      <c r="D14" s="387" t="s">
        <v>125</v>
      </c>
      <c r="E14" s="387"/>
      <c r="F14" s="387" t="s">
        <v>130</v>
      </c>
      <c r="G14" s="387"/>
      <c r="H14" s="387"/>
      <c r="I14" s="387"/>
      <c r="J14" s="387"/>
      <c r="K14" s="387"/>
      <c r="L14" s="387"/>
      <c r="M14" s="387"/>
    </row>
    <row r="15" spans="1:13">
      <c r="A15" s="363"/>
      <c r="B15" s="363"/>
      <c r="C15" s="363"/>
      <c r="D15" s="363"/>
      <c r="E15" s="363"/>
    </row>
    <row r="17" spans="2:9" ht="50.25" customHeight="1">
      <c r="B17" s="392" t="s">
        <v>339</v>
      </c>
      <c r="C17" s="392"/>
      <c r="E17" s="392" t="s">
        <v>276</v>
      </c>
      <c r="F17" s="392"/>
      <c r="H17" s="392" t="s">
        <v>331</v>
      </c>
      <c r="I17" s="392"/>
    </row>
    <row r="18" spans="2:9" ht="14.5">
      <c r="B18" s="195" t="s">
        <v>231</v>
      </c>
      <c r="C18" s="195" t="s">
        <v>232</v>
      </c>
      <c r="E18" s="195" t="s">
        <v>231</v>
      </c>
      <c r="F18" s="195" t="s">
        <v>232</v>
      </c>
      <c r="H18" s="195" t="s">
        <v>231</v>
      </c>
      <c r="I18" s="195" t="s">
        <v>232</v>
      </c>
    </row>
    <row r="19" spans="2:9" ht="14.5">
      <c r="B19" s="252"/>
      <c r="C19" s="253"/>
      <c r="E19" s="196" t="s">
        <v>277</v>
      </c>
      <c r="F19" s="197">
        <f>1496*Production!C13</f>
        <v>1326.3677779204679</v>
      </c>
      <c r="H19" s="196" t="s">
        <v>277</v>
      </c>
      <c r="I19" s="197">
        <f>1466.673*Production!C20</f>
        <v>1300.6848252394318</v>
      </c>
    </row>
    <row r="20" spans="2:9" ht="14.5">
      <c r="B20" s="252"/>
      <c r="C20" s="253"/>
      <c r="E20" s="196" t="s">
        <v>278</v>
      </c>
      <c r="F20" s="197">
        <f>1363.1*Production!D13</f>
        <v>1186.0311979522482</v>
      </c>
      <c r="H20" s="196" t="s">
        <v>278</v>
      </c>
      <c r="I20" s="197">
        <f>Production!D20*1483.094</f>
        <v>1348.1862162896418</v>
      </c>
    </row>
    <row r="21" spans="2:9" ht="14.5">
      <c r="B21" s="252"/>
      <c r="C21" s="253"/>
      <c r="E21" s="196" t="s">
        <v>261</v>
      </c>
      <c r="F21" s="197">
        <f>1429.8*Production!E13</f>
        <v>1217.3818544193095</v>
      </c>
      <c r="H21" s="196" t="s">
        <v>261</v>
      </c>
      <c r="I21" s="197">
        <f>967.609*Production!E20</f>
        <v>829.73292694673125</v>
      </c>
    </row>
    <row r="22" spans="2:9" ht="14.5">
      <c r="B22" s="252"/>
      <c r="C22" s="253"/>
      <c r="E22" s="196" t="s">
        <v>262</v>
      </c>
      <c r="F22" s="197">
        <f>1454.086*Production!F13</f>
        <v>1268.4896893213042</v>
      </c>
      <c r="H22" s="196" t="s">
        <v>262</v>
      </c>
      <c r="I22" s="197">
        <f>1317.132*Production!F20</f>
        <v>1165.9181930438901</v>
      </c>
    </row>
    <row r="23" spans="2:9" ht="14.5">
      <c r="B23" s="254"/>
      <c r="C23" s="253"/>
      <c r="E23" s="251" t="s">
        <v>263</v>
      </c>
      <c r="F23" s="197">
        <f>1567.397*Production!G13</f>
        <v>1403.6131176451884</v>
      </c>
      <c r="H23" s="251" t="s">
        <v>263</v>
      </c>
      <c r="I23" s="197">
        <f>1491.835*Production!G20</f>
        <v>1304.1257812507463</v>
      </c>
    </row>
    <row r="24" spans="2:9" ht="14.5">
      <c r="B24" s="252"/>
      <c r="C24" s="253"/>
      <c r="E24" s="196" t="s">
        <v>279</v>
      </c>
      <c r="F24" s="197">
        <f>1306.347*Production!H13</f>
        <v>1157.5525032754838</v>
      </c>
      <c r="H24" s="252"/>
      <c r="I24" s="253"/>
    </row>
    <row r="25" spans="2:9" ht="14.5">
      <c r="B25" s="252"/>
      <c r="C25" s="253"/>
      <c r="E25" s="196" t="s">
        <v>265</v>
      </c>
      <c r="F25" s="197">
        <f>1499.733*Production!I13</f>
        <v>1315.2134308114271</v>
      </c>
      <c r="H25" s="252"/>
      <c r="I25" s="253"/>
    </row>
    <row r="26" spans="2:9" ht="14.5">
      <c r="B26" s="196" t="s">
        <v>280</v>
      </c>
      <c r="C26" s="197">
        <f>Production!J6*Production!J7</f>
        <v>292.51101397994</v>
      </c>
      <c r="E26" s="196" t="s">
        <v>280</v>
      </c>
      <c r="F26" s="197">
        <f>1352.95*Production!J13</f>
        <v>1159.1579158457282</v>
      </c>
      <c r="H26" s="252"/>
      <c r="I26" s="253"/>
    </row>
    <row r="27" spans="2:9" ht="14.5">
      <c r="B27" s="196" t="s">
        <v>267</v>
      </c>
      <c r="C27" s="197">
        <f>1044.9*Production!K6</f>
        <v>908.71039479658145</v>
      </c>
      <c r="E27" s="196" t="s">
        <v>267</v>
      </c>
      <c r="F27" s="197">
        <f>1253.5*Production!K13</f>
        <v>1121.0716984978064</v>
      </c>
      <c r="H27" s="252"/>
      <c r="I27" s="253"/>
    </row>
    <row r="28" spans="2:9" ht="14.5">
      <c r="B28" s="196" t="s">
        <v>281</v>
      </c>
      <c r="C28" s="197">
        <f>1147.8*Production!L6</f>
        <v>970.11951716588521</v>
      </c>
      <c r="E28" s="196" t="s">
        <v>281</v>
      </c>
      <c r="F28" s="197">
        <f>1340.566*Production!L13</f>
        <v>1211.2635550422954</v>
      </c>
      <c r="H28" s="252"/>
      <c r="I28" s="253"/>
    </row>
    <row r="29" spans="2:9" ht="14.5">
      <c r="B29" s="196" t="s">
        <v>282</v>
      </c>
      <c r="C29" s="197">
        <f>1443.6*Production!M6</f>
        <v>1258.2779789516703</v>
      </c>
      <c r="E29" s="196" t="s">
        <v>282</v>
      </c>
      <c r="F29" s="197">
        <f>1370.884*Production!M13</f>
        <v>1242.5143552432216</v>
      </c>
      <c r="H29" s="252"/>
      <c r="I29" s="253"/>
    </row>
    <row r="30" spans="2:9" ht="14.5">
      <c r="B30" s="196" t="s">
        <v>270</v>
      </c>
      <c r="C30" s="197">
        <f>1548.9*Production!N6</f>
        <v>1340.4894141790387</v>
      </c>
      <c r="E30" s="196" t="s">
        <v>270</v>
      </c>
      <c r="F30" s="197">
        <f>1244.71*Production!N13</f>
        <v>1107.4663983989412</v>
      </c>
      <c r="H30" s="252"/>
      <c r="I30" s="253"/>
    </row>
    <row r="31" spans="2:9" ht="14.5">
      <c r="B31" s="198" t="s">
        <v>233</v>
      </c>
      <c r="C31" s="199">
        <f>SUM(C19:C30)</f>
        <v>4770.1083190731151</v>
      </c>
      <c r="E31" s="198" t="s">
        <v>233</v>
      </c>
      <c r="F31" s="199">
        <f>SUM(F19:F30)</f>
        <v>14716.123494373422</v>
      </c>
      <c r="H31" s="198" t="s">
        <v>233</v>
      </c>
      <c r="I31" s="199">
        <f>SUM(I19:I24)</f>
        <v>5948.6479427704417</v>
      </c>
    </row>
    <row r="32" spans="2:9" ht="14.5">
      <c r="B32" s="314"/>
      <c r="C32" s="315"/>
      <c r="E32" s="314"/>
      <c r="F32" s="315"/>
      <c r="H32" s="314"/>
      <c r="I32" s="315"/>
    </row>
    <row r="34" spans="2:6">
      <c r="B34" s="386" t="s">
        <v>315</v>
      </c>
      <c r="C34" s="386"/>
      <c r="F34" s="313">
        <f>SUM(C31,F31,I31)</f>
        <v>25434.879756216978</v>
      </c>
    </row>
    <row r="35" spans="2:6">
      <c r="B35">
        <v>2022</v>
      </c>
      <c r="C35" s="364">
        <f>C31*('Baseline Emission'!D15-'Baseline Emission'!D16)*10^-6</f>
        <v>11.283691228767454</v>
      </c>
    </row>
    <row r="36" spans="2:6">
      <c r="B36">
        <v>2023</v>
      </c>
      <c r="C36" s="364">
        <f>F31*('Baseline Emission'!D15-'Baseline Emission'!D16)*10^-6</f>
        <v>34.810990125940329</v>
      </c>
    </row>
    <row r="37" spans="2:6">
      <c r="B37">
        <v>2024</v>
      </c>
      <c r="C37" s="364">
        <f>I31*('Baseline Emission'!D15-'Baseline Emission'!D16)*10^-6</f>
        <v>14.071526708623479</v>
      </c>
    </row>
    <row r="38" spans="2:6">
      <c r="B38" t="s">
        <v>271</v>
      </c>
      <c r="C38" s="364">
        <f>SUM(C35:C37)</f>
        <v>60.166208063331261</v>
      </c>
    </row>
  </sheetData>
  <mergeCells count="25">
    <mergeCell ref="F12:M12"/>
    <mergeCell ref="F13:M13"/>
    <mergeCell ref="F14:M14"/>
    <mergeCell ref="B34:C34"/>
    <mergeCell ref="H17:I17"/>
    <mergeCell ref="B17:C17"/>
    <mergeCell ref="E17:F17"/>
    <mergeCell ref="A12:B12"/>
    <mergeCell ref="A13:B13"/>
    <mergeCell ref="A14:B14"/>
    <mergeCell ref="D13:E13"/>
    <mergeCell ref="D12:E12"/>
    <mergeCell ref="D14:E14"/>
    <mergeCell ref="A5:B5"/>
    <mergeCell ref="A6:B6"/>
    <mergeCell ref="A7:B7"/>
    <mergeCell ref="A11:B11"/>
    <mergeCell ref="D8:M8"/>
    <mergeCell ref="A8:B8"/>
    <mergeCell ref="D11:E11"/>
    <mergeCell ref="F10:M10"/>
    <mergeCell ref="F11:M11"/>
    <mergeCell ref="D5:M5"/>
    <mergeCell ref="D7:M7"/>
    <mergeCell ref="D6:M6"/>
  </mergeCells>
  <pageMargins left="0.7" right="0.7" top="0.75" bottom="0.75" header="0.3" footer="0.3"/>
  <pageSetup paperSize="9" orientation="portrait" horizontalDpi="4294967293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4"/>
  <sheetViews>
    <sheetView zoomScale="85" zoomScaleNormal="85" workbookViewId="0">
      <pane ySplit="1" topLeftCell="A22" activePane="bottomLeft" state="frozen"/>
      <selection pane="bottomLeft" activeCell="A8" sqref="A8:XFD8"/>
    </sheetView>
  </sheetViews>
  <sheetFormatPr defaultColWidth="9" defaultRowHeight="13.5"/>
  <cols>
    <col min="1" max="1" width="16.765625" style="1" customWidth="1"/>
    <col min="2" max="2" width="17" style="1" customWidth="1"/>
    <col min="3" max="3" width="23.23046875" style="1" customWidth="1"/>
    <col min="4" max="4" width="14" style="1" customWidth="1"/>
    <col min="5" max="5" width="37.15234375" style="1" customWidth="1"/>
    <col min="6" max="6" width="31.765625" style="1" customWidth="1"/>
    <col min="7" max="7" width="32.84375" style="1" customWidth="1"/>
    <col min="8" max="8" width="11.84375" style="1" bestFit="1" customWidth="1"/>
    <col min="9" max="9" width="13.4609375" style="1" bestFit="1" customWidth="1"/>
    <col min="10" max="11" width="12.3828125" style="1" bestFit="1" customWidth="1"/>
    <col min="12" max="12" width="11.61328125" style="1" customWidth="1"/>
    <col min="13" max="13" width="15.765625" style="1" bestFit="1" customWidth="1"/>
    <col min="14" max="16384" width="9" style="1"/>
  </cols>
  <sheetData>
    <row r="1" spans="1:7" ht="14" thickBot="1">
      <c r="A1" s="1" t="s">
        <v>11</v>
      </c>
      <c r="B1" s="1" t="s">
        <v>0</v>
      </c>
      <c r="C1" s="1" t="s">
        <v>2</v>
      </c>
      <c r="D1" s="1" t="s">
        <v>12</v>
      </c>
      <c r="E1" s="1" t="s">
        <v>91</v>
      </c>
      <c r="F1" s="1" t="s">
        <v>1</v>
      </c>
      <c r="G1" s="1" t="s">
        <v>4</v>
      </c>
    </row>
    <row r="2" spans="1:7" ht="54">
      <c r="A2" s="78" t="s">
        <v>163</v>
      </c>
      <c r="B2" s="53" t="s">
        <v>33</v>
      </c>
      <c r="C2" s="53" t="s">
        <v>79</v>
      </c>
      <c r="D2" s="113">
        <f>SUM('Project Emission-2'!B2:B4)</f>
        <v>27393.264168271297</v>
      </c>
      <c r="E2" s="53" t="s">
        <v>158</v>
      </c>
      <c r="F2" s="53" t="s">
        <v>164</v>
      </c>
      <c r="G2" s="54" t="s">
        <v>192</v>
      </c>
    </row>
    <row r="3" spans="1:7" ht="75" customHeight="1" thickBot="1">
      <c r="A3" s="55" t="s">
        <v>159</v>
      </c>
      <c r="B3" s="56" t="s">
        <v>160</v>
      </c>
      <c r="C3" s="56" t="s">
        <v>132</v>
      </c>
      <c r="D3" s="150">
        <f>+'Baseline Emission'!D29</f>
        <v>0</v>
      </c>
      <c r="E3" s="56"/>
      <c r="F3" s="56" t="s">
        <v>209</v>
      </c>
      <c r="G3" s="57" t="s">
        <v>234</v>
      </c>
    </row>
    <row r="4" spans="1:7" ht="59.25" customHeight="1">
      <c r="A4" s="55" t="s">
        <v>161</v>
      </c>
      <c r="B4" s="56" t="s">
        <v>133</v>
      </c>
      <c r="C4" s="56"/>
      <c r="D4" s="58">
        <v>2.8000000000000001E-2</v>
      </c>
      <c r="E4" s="56"/>
      <c r="F4" s="53" t="s">
        <v>164</v>
      </c>
      <c r="G4" s="57" t="s">
        <v>134</v>
      </c>
    </row>
    <row r="5" spans="1:7" ht="27.5" thickBot="1">
      <c r="A5" s="59" t="s">
        <v>162</v>
      </c>
      <c r="B5" s="60"/>
      <c r="C5" s="61" t="s">
        <v>21</v>
      </c>
      <c r="D5" s="62">
        <v>28</v>
      </c>
      <c r="E5" s="60"/>
      <c r="F5" s="60" t="s">
        <v>145</v>
      </c>
      <c r="G5" s="63"/>
    </row>
    <row r="6" spans="1:7" ht="40.5">
      <c r="A6" s="9" t="s">
        <v>22</v>
      </c>
      <c r="B6" s="1" t="s">
        <v>23</v>
      </c>
      <c r="C6" s="1" t="s">
        <v>24</v>
      </c>
      <c r="D6" s="2">
        <v>6.7000000000000002E-4</v>
      </c>
      <c r="E6" s="2"/>
      <c r="F6" s="2" t="s">
        <v>100</v>
      </c>
      <c r="G6" s="10"/>
    </row>
    <row r="7" spans="1:7" ht="40.5">
      <c r="A7" s="9" t="s">
        <v>25</v>
      </c>
      <c r="B7" s="2"/>
      <c r="C7" s="1" t="s">
        <v>26</v>
      </c>
      <c r="D7" s="18">
        <f>+'Baseline Emission'!D6</f>
        <v>0.71439999999999992</v>
      </c>
      <c r="E7" s="2"/>
      <c r="F7" s="1" t="s">
        <v>74</v>
      </c>
      <c r="G7" s="10" t="s">
        <v>139</v>
      </c>
    </row>
    <row r="8" spans="1:7" ht="27">
      <c r="A8" s="16" t="s">
        <v>82</v>
      </c>
      <c r="B8" s="2"/>
      <c r="C8" s="2" t="s">
        <v>83</v>
      </c>
      <c r="D8" s="6">
        <v>1</v>
      </c>
      <c r="E8" s="2"/>
      <c r="F8" s="2"/>
      <c r="G8" s="11"/>
    </row>
    <row r="9" spans="1:7" ht="14" thickBot="1">
      <c r="A9" s="12" t="s">
        <v>29</v>
      </c>
      <c r="B9" s="13"/>
      <c r="C9" s="14" t="s">
        <v>30</v>
      </c>
      <c r="D9" s="13"/>
      <c r="E9" s="13"/>
      <c r="F9" s="13"/>
      <c r="G9" s="15"/>
    </row>
    <row r="10" spans="1:7" ht="14" thickBot="1"/>
    <row r="11" spans="1:7" ht="44.5" customHeight="1">
      <c r="A11" s="96" t="s">
        <v>166</v>
      </c>
      <c r="B11" s="80" t="s">
        <v>34</v>
      </c>
      <c r="C11" s="80" t="s">
        <v>35</v>
      </c>
      <c r="D11" s="80">
        <f>D14*(1-D13)*D12</f>
        <v>0</v>
      </c>
      <c r="E11" s="86" t="s">
        <v>357</v>
      </c>
      <c r="F11" s="81" t="s">
        <v>355</v>
      </c>
      <c r="G11" s="82" t="s">
        <v>354</v>
      </c>
    </row>
    <row r="12" spans="1:7" ht="27">
      <c r="A12" s="83" t="s">
        <v>20</v>
      </c>
      <c r="B12" s="84"/>
      <c r="C12" s="85" t="s">
        <v>21</v>
      </c>
      <c r="D12" s="86">
        <v>28</v>
      </c>
      <c r="E12" s="87"/>
      <c r="F12" s="87"/>
      <c r="G12" s="88"/>
    </row>
    <row r="13" spans="1:7" ht="15.5">
      <c r="A13" s="83" t="s">
        <v>36</v>
      </c>
      <c r="B13" s="87"/>
      <c r="C13" s="87" t="s">
        <v>37</v>
      </c>
      <c r="D13" s="89">
        <v>0.5</v>
      </c>
      <c r="E13" s="87"/>
      <c r="F13" s="84" t="s">
        <v>92</v>
      </c>
      <c r="G13" s="90" t="s">
        <v>96</v>
      </c>
    </row>
    <row r="14" spans="1:7" ht="27">
      <c r="A14" s="83" t="s">
        <v>68</v>
      </c>
      <c r="B14" s="87"/>
      <c r="C14" s="87" t="s">
        <v>69</v>
      </c>
      <c r="D14" s="87">
        <f>D15*D16*D17</f>
        <v>0</v>
      </c>
      <c r="E14" s="87" t="s">
        <v>356</v>
      </c>
      <c r="F14" s="87"/>
      <c r="G14" s="88"/>
    </row>
    <row r="15" spans="1:7" ht="51" customHeight="1">
      <c r="A15" s="83" t="s">
        <v>44</v>
      </c>
      <c r="B15" s="87" t="s">
        <v>45</v>
      </c>
      <c r="C15" s="84" t="s">
        <v>87</v>
      </c>
      <c r="D15" s="87">
        <v>0</v>
      </c>
      <c r="E15" s="87"/>
      <c r="F15" s="87"/>
      <c r="G15" s="88"/>
    </row>
    <row r="16" spans="1:7" ht="56.5" customHeight="1">
      <c r="A16" s="91" t="s">
        <v>94</v>
      </c>
      <c r="B16" s="84" t="s">
        <v>88</v>
      </c>
      <c r="C16" s="84" t="s">
        <v>86</v>
      </c>
      <c r="D16" s="89">
        <v>0.59299999999999997</v>
      </c>
      <c r="E16" s="87"/>
      <c r="F16" s="87"/>
      <c r="G16" s="90"/>
    </row>
    <row r="17" spans="1:13" ht="27.5" thickBot="1">
      <c r="A17" s="92" t="s">
        <v>84</v>
      </c>
      <c r="B17" s="93" t="s">
        <v>85</v>
      </c>
      <c r="C17" s="94" t="s">
        <v>70</v>
      </c>
      <c r="D17" s="94">
        <v>6.7000000000000002E-4</v>
      </c>
      <c r="E17" s="94"/>
      <c r="F17" s="94"/>
      <c r="G17" s="95"/>
    </row>
    <row r="18" spans="1:13" ht="14" thickBot="1"/>
    <row r="19" spans="1:13" ht="27">
      <c r="A19" s="97" t="s">
        <v>167</v>
      </c>
      <c r="B19" s="98" t="s">
        <v>3</v>
      </c>
      <c r="C19" s="98" t="s">
        <v>98</v>
      </c>
      <c r="D19" s="295">
        <f>SUM('Project Emission-2'!D2:D4)</f>
        <v>3.8370861421209668</v>
      </c>
      <c r="E19" s="98"/>
      <c r="F19" s="99"/>
      <c r="G19" s="100"/>
    </row>
    <row r="20" spans="1:13" ht="54">
      <c r="A20" s="101" t="s">
        <v>142</v>
      </c>
      <c r="B20" s="102" t="s">
        <v>89</v>
      </c>
      <c r="C20" s="102" t="s">
        <v>300</v>
      </c>
      <c r="D20" s="293">
        <f>'EPIAS Records'!C15+'EPIAS Records'!F15+'EPIAS Records'!I15</f>
        <v>5.965829032258064</v>
      </c>
      <c r="E20" s="102"/>
      <c r="F20" s="103" t="s">
        <v>99</v>
      </c>
      <c r="G20" s="104"/>
    </row>
    <row r="21" spans="1:13" ht="68.25" customHeight="1" thickBot="1">
      <c r="A21" s="101" t="s">
        <v>143</v>
      </c>
      <c r="B21" s="102" t="s">
        <v>88</v>
      </c>
      <c r="C21" s="102" t="s">
        <v>144</v>
      </c>
      <c r="D21" s="105">
        <v>0.13</v>
      </c>
      <c r="E21" s="102"/>
      <c r="F21" s="370" t="s">
        <v>360</v>
      </c>
      <c r="G21" s="106"/>
      <c r="H21" s="4"/>
      <c r="I21" s="3"/>
    </row>
    <row r="22" spans="1:13">
      <c r="A22" s="101" t="s">
        <v>10</v>
      </c>
      <c r="B22" s="102" t="s">
        <v>9</v>
      </c>
      <c r="C22" s="102" t="s">
        <v>8</v>
      </c>
      <c r="D22" s="107">
        <v>7000</v>
      </c>
      <c r="E22" s="102"/>
      <c r="F22" s="108"/>
      <c r="G22" s="104"/>
      <c r="H22" s="4"/>
      <c r="I22" s="3"/>
      <c r="J22" s="8"/>
      <c r="K22" s="23"/>
      <c r="L22" s="23"/>
      <c r="M22" s="24"/>
    </row>
    <row r="23" spans="1:13" ht="43" customHeight="1" thickBot="1">
      <c r="A23" s="109" t="s">
        <v>359</v>
      </c>
      <c r="B23" s="110" t="s">
        <v>7</v>
      </c>
      <c r="C23" s="110" t="s">
        <v>90</v>
      </c>
      <c r="D23" s="193">
        <f>'Baseline Emission'!D21</f>
        <v>0.57055</v>
      </c>
      <c r="E23" s="110"/>
      <c r="F23" s="110" t="str">
        <f>'Baseline Emission'!F21</f>
        <v>Calculated as per the applied tool. See CM Calculation Excel Sheet</v>
      </c>
      <c r="G23" s="111"/>
      <c r="H23" s="4"/>
      <c r="I23" s="3"/>
      <c r="J23" s="21"/>
      <c r="L23" s="7"/>
      <c r="M23" s="10"/>
    </row>
    <row r="24" spans="1:13" ht="24" customHeight="1" thickBot="1">
      <c r="A24" s="4"/>
      <c r="B24" s="4"/>
      <c r="C24" s="4"/>
      <c r="D24" s="17"/>
      <c r="E24" s="4"/>
      <c r="F24" s="4"/>
      <c r="H24" s="4"/>
      <c r="I24" s="3"/>
      <c r="J24" s="21"/>
      <c r="M24" s="11"/>
    </row>
    <row r="25" spans="1:13" ht="84" customHeight="1">
      <c r="A25" s="79" t="s">
        <v>165</v>
      </c>
      <c r="B25" s="64" t="s">
        <v>137</v>
      </c>
      <c r="C25" s="64" t="s">
        <v>80</v>
      </c>
      <c r="D25" s="112">
        <f>SUM('Project Emission-2'!E2:E4)</f>
        <v>8459.5921472999999</v>
      </c>
      <c r="E25" s="65"/>
      <c r="F25" s="66" t="s">
        <v>152</v>
      </c>
      <c r="G25" s="67" t="s">
        <v>153</v>
      </c>
      <c r="H25" s="4"/>
      <c r="I25" s="3"/>
      <c r="J25" s="21"/>
      <c r="L25" s="7"/>
      <c r="M25" s="10"/>
    </row>
    <row r="26" spans="1:13" ht="64.5" customHeight="1" thickBot="1">
      <c r="A26" s="68" t="s">
        <v>77</v>
      </c>
      <c r="B26" s="69" t="s">
        <v>81</v>
      </c>
      <c r="C26" s="69" t="s">
        <v>78</v>
      </c>
      <c r="D26" s="70">
        <f>SUM('Project Emission-2'!J2:J4)</f>
        <v>168372.54</v>
      </c>
      <c r="E26" s="71"/>
      <c r="F26" s="69"/>
      <c r="G26" s="72"/>
      <c r="H26" s="4"/>
      <c r="I26" s="3"/>
      <c r="J26" s="22"/>
      <c r="K26" s="20"/>
      <c r="L26" s="14"/>
      <c r="M26" s="15"/>
    </row>
    <row r="27" spans="1:13" ht="64.5" customHeight="1">
      <c r="A27" s="68" t="s">
        <v>154</v>
      </c>
      <c r="B27" s="69" t="s">
        <v>135</v>
      </c>
      <c r="C27" s="69" t="s">
        <v>155</v>
      </c>
      <c r="D27" s="70">
        <f>+D26</f>
        <v>168372.54</v>
      </c>
      <c r="E27" s="71"/>
      <c r="F27" s="70"/>
      <c r="G27" s="72"/>
      <c r="H27" s="4"/>
      <c r="I27" s="3"/>
      <c r="J27" s="36"/>
      <c r="K27" s="37"/>
    </row>
    <row r="28" spans="1:13" ht="64.5" customHeight="1">
      <c r="A28" s="68" t="s">
        <v>149</v>
      </c>
      <c r="B28" s="69" t="s">
        <v>150</v>
      </c>
      <c r="C28" s="69" t="s">
        <v>151</v>
      </c>
      <c r="D28" s="70">
        <v>245</v>
      </c>
      <c r="E28" s="71"/>
      <c r="F28" s="69" t="s">
        <v>152</v>
      </c>
      <c r="G28" s="72" t="s">
        <v>153</v>
      </c>
      <c r="H28" s="4"/>
      <c r="I28" s="3"/>
      <c r="J28" s="36"/>
      <c r="K28" s="37"/>
    </row>
    <row r="29" spans="1:13" ht="76" customHeight="1" thickBot="1">
      <c r="A29" s="73" t="s">
        <v>156</v>
      </c>
      <c r="B29" s="74" t="s">
        <v>136</v>
      </c>
      <c r="C29" s="74" t="s">
        <v>157</v>
      </c>
      <c r="D29" s="75">
        <v>129</v>
      </c>
      <c r="E29" s="76"/>
      <c r="F29" s="74"/>
      <c r="G29" s="77"/>
      <c r="H29" s="4"/>
      <c r="I29" s="3"/>
      <c r="J29" s="36"/>
      <c r="K29" s="37"/>
    </row>
    <row r="30" spans="1:13" ht="18" thickBot="1">
      <c r="A30" s="115" t="s">
        <v>71</v>
      </c>
      <c r="B30" s="116" t="s">
        <v>33</v>
      </c>
      <c r="C30" s="116" t="s">
        <v>72</v>
      </c>
      <c r="D30" s="114">
        <f>D2+D11+D19+D25</f>
        <v>35856.693401713419</v>
      </c>
      <c r="E30" s="116" t="s">
        <v>168</v>
      </c>
      <c r="F30" s="116"/>
      <c r="G30" s="117"/>
      <c r="H30" s="40"/>
      <c r="I30" s="40"/>
    </row>
    <row r="40" spans="1:6">
      <c r="F40" s="1">
        <f>355*365</f>
        <v>129575</v>
      </c>
    </row>
    <row r="42" spans="1:6" ht="40.5" hidden="1">
      <c r="A42" s="1" t="s">
        <v>38</v>
      </c>
      <c r="B42" s="1" t="s">
        <v>39</v>
      </c>
      <c r="C42" s="1" t="s">
        <v>40</v>
      </c>
      <c r="E42" s="1" t="s">
        <v>47</v>
      </c>
    </row>
    <row r="43" spans="1:6" hidden="1"/>
    <row r="44" spans="1:6" ht="27" hidden="1">
      <c r="A44" s="1" t="s">
        <v>41</v>
      </c>
      <c r="B44" s="1" t="s">
        <v>42</v>
      </c>
      <c r="C44" s="1" t="s">
        <v>43</v>
      </c>
      <c r="E44" s="1" t="s">
        <v>48</v>
      </c>
    </row>
    <row r="45" spans="1:6" ht="54" hidden="1">
      <c r="A45" s="1" t="s">
        <v>44</v>
      </c>
      <c r="B45" s="1" t="s">
        <v>45</v>
      </c>
      <c r="C45" s="1" t="s">
        <v>46</v>
      </c>
    </row>
    <row r="46" spans="1:6" hidden="1"/>
    <row r="47" spans="1:6" ht="27" hidden="1">
      <c r="A47" s="1" t="s">
        <v>49</v>
      </c>
      <c r="B47" s="1" t="s">
        <v>50</v>
      </c>
      <c r="C47" s="1" t="s">
        <v>51</v>
      </c>
      <c r="D47" s="1">
        <v>101325</v>
      </c>
    </row>
    <row r="48" spans="1:6" ht="15.5" hidden="1">
      <c r="A48" s="1" t="s">
        <v>52</v>
      </c>
      <c r="B48" s="1" t="s">
        <v>53</v>
      </c>
      <c r="C48" s="1" t="s">
        <v>64</v>
      </c>
      <c r="D48" s="1">
        <v>8314</v>
      </c>
    </row>
    <row r="49" spans="1:5" ht="27" hidden="1">
      <c r="A49" s="1" t="s">
        <v>58</v>
      </c>
      <c r="B49" s="1" t="s">
        <v>59</v>
      </c>
      <c r="C49" s="1" t="s">
        <v>54</v>
      </c>
      <c r="E49" s="1" t="s">
        <v>60</v>
      </c>
    </row>
    <row r="50" spans="1:5" ht="27" hidden="1">
      <c r="A50" s="1" t="s">
        <v>61</v>
      </c>
      <c r="B50" s="1" t="s">
        <v>55</v>
      </c>
      <c r="C50" s="1" t="s">
        <v>56</v>
      </c>
      <c r="D50" s="1">
        <v>273.14999999999998</v>
      </c>
    </row>
    <row r="51" spans="1:5" hidden="1"/>
    <row r="52" spans="1:5" ht="40.5" hidden="1">
      <c r="A52" s="1" t="s">
        <v>62</v>
      </c>
      <c r="C52" s="1" t="s">
        <v>65</v>
      </c>
    </row>
    <row r="53" spans="1:5" ht="27" hidden="1">
      <c r="A53" s="1" t="s">
        <v>63</v>
      </c>
      <c r="C53" s="1" t="s">
        <v>66</v>
      </c>
    </row>
    <row r="54" spans="1:5" ht="27" hidden="1">
      <c r="A54" s="1" t="s">
        <v>57</v>
      </c>
      <c r="C54" s="1" t="s">
        <v>67</v>
      </c>
    </row>
  </sheetData>
  <phoneticPr fontId="7" type="noConversion"/>
  <dataValidations count="1">
    <dataValidation allowBlank="1" showInputMessage="1" showErrorMessage="1" sqref="D12 D5" xr:uid="{00000000-0002-0000-0600-000000000000}"/>
  </dataValidation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58086-E3A2-4927-AE98-49B39EA1FD7D}">
  <dimension ref="A1:O19"/>
  <sheetViews>
    <sheetView zoomScale="50" zoomScaleNormal="50" workbookViewId="0">
      <selection activeCell="J9" sqref="J9"/>
    </sheetView>
  </sheetViews>
  <sheetFormatPr defaultRowHeight="13.5"/>
  <cols>
    <col min="1" max="1" width="27.15234375" customWidth="1"/>
    <col min="2" max="2" width="18.15234375" customWidth="1"/>
    <col min="3" max="3" width="13.765625" bestFit="1" customWidth="1"/>
    <col min="4" max="5" width="14" customWidth="1"/>
    <col min="6" max="6" width="13.765625" customWidth="1"/>
    <col min="9" max="9" width="25" bestFit="1" customWidth="1"/>
    <col min="10" max="10" width="22.84375" customWidth="1"/>
    <col min="11" max="11" width="21.765625" customWidth="1"/>
    <col min="12" max="12" width="19.15234375" customWidth="1"/>
    <col min="13" max="13" width="9.15234375" bestFit="1" customWidth="1"/>
    <col min="14" max="14" width="10.61328125" customWidth="1"/>
    <col min="15" max="15" width="12" bestFit="1" customWidth="1"/>
  </cols>
  <sheetData>
    <row r="1" spans="1:15" ht="65.5" customHeight="1" thickBot="1">
      <c r="A1" s="16"/>
      <c r="B1" s="258" t="s">
        <v>290</v>
      </c>
      <c r="C1" s="259" t="s">
        <v>291</v>
      </c>
      <c r="D1" s="259" t="s">
        <v>292</v>
      </c>
      <c r="E1" s="259" t="s">
        <v>332</v>
      </c>
      <c r="F1" s="260" t="s">
        <v>289</v>
      </c>
      <c r="I1" s="296"/>
      <c r="J1" s="338" t="s">
        <v>303</v>
      </c>
      <c r="K1" s="339" t="s">
        <v>333</v>
      </c>
      <c r="L1" s="340" t="s">
        <v>334</v>
      </c>
    </row>
    <row r="2" spans="1:15" ht="16" thickBot="1">
      <c r="A2" s="265" t="s">
        <v>358</v>
      </c>
      <c r="B2" s="272">
        <f>K9*'Project Emission-Total'!D5*'Project Emission-Total'!D4</f>
        <v>4490.149014199269</v>
      </c>
      <c r="C2" s="262">
        <v>0</v>
      </c>
      <c r="D2" s="262">
        <f>'EPIAS Records'!C15*'CM '!B10*(1+'Project Emission-Total'!D21)</f>
        <v>3.4414776125709667</v>
      </c>
      <c r="E2" s="268">
        <f>(J2+K2+L2)*'Project Emission-Total'!$D$28*'Project Emission-Total'!$D$29*0.000001</f>
        <v>1629.6897014999997</v>
      </c>
      <c r="F2" s="263">
        <f>B2+C2+D2+E2</f>
        <v>6123.2801933118399</v>
      </c>
      <c r="I2" s="265" t="s">
        <v>358</v>
      </c>
      <c r="J2" s="350">
        <f>29548040/1000</f>
        <v>29548.04</v>
      </c>
      <c r="K2" s="350">
        <f>(19373280-478620)/1000</f>
        <v>18894.66</v>
      </c>
      <c r="L2" s="351">
        <f>3121600/1000</f>
        <v>3121.6</v>
      </c>
      <c r="M2" s="118">
        <f>SUM(J2:L2)</f>
        <v>51564.299999999996</v>
      </c>
      <c r="N2" s="241">
        <v>43333</v>
      </c>
      <c r="O2" s="241">
        <v>43464</v>
      </c>
    </row>
    <row r="3" spans="1:15" ht="16" thickBot="1">
      <c r="A3" s="266">
        <v>2023</v>
      </c>
      <c r="B3" s="272">
        <f>K10*'Project Emission-Total'!D5*'Project Emission-Total'!D4</f>
        <v>16131.764134295896</v>
      </c>
      <c r="C3" s="261">
        <v>0</v>
      </c>
      <c r="D3" s="261">
        <f>'EPIAS Records'!F15*'CM '!B10*(1+'Project Emission-Total'!D21)</f>
        <v>0.36478342469999991</v>
      </c>
      <c r="E3" s="268">
        <f>(J3+K3+L3)*'Project Emission-Total'!$D$28*'Project Emission-Total'!$D$29*0.000001</f>
        <v>4849.5154469999998</v>
      </c>
      <c r="F3" s="263">
        <f t="shared" ref="F3:F4" si="0">B3+C3+D3+E3</f>
        <v>20981.644364720596</v>
      </c>
      <c r="I3" s="266">
        <v>2023</v>
      </c>
      <c r="J3" s="350">
        <f>100834940/1000</f>
        <v>100834.94</v>
      </c>
      <c r="K3" s="350">
        <f>(45460540-142520)/1000</f>
        <v>45318.02</v>
      </c>
      <c r="L3" s="351">
        <f>7288440/1000</f>
        <v>7288.44</v>
      </c>
      <c r="M3" s="118">
        <f t="shared" ref="M3:M4" si="1">SUM(J3:L3)</f>
        <v>153441.4</v>
      </c>
      <c r="N3" s="241">
        <v>43465</v>
      </c>
      <c r="O3" s="241">
        <v>43829</v>
      </c>
    </row>
    <row r="4" spans="1:15" ht="16" thickBot="1">
      <c r="A4" s="267" t="s">
        <v>330</v>
      </c>
      <c r="B4" s="272">
        <f>K11*'Project Emission-Total'!D5*'Project Emission-Total'!D4</f>
        <v>6771.3510197761325</v>
      </c>
      <c r="C4" s="264">
        <v>0</v>
      </c>
      <c r="D4" s="264">
        <f>'EPIAS Records'!I15*'CM '!B10*(1-'Project Emission-Total'!D21)</f>
        <v>3.082510485E-2</v>
      </c>
      <c r="E4" s="268">
        <f>(J4+K4+L4)*'Project Emission-Total'!$D$28*'Project Emission-Total'!$D$29*0.000001</f>
        <v>1980.3869988000001</v>
      </c>
      <c r="F4" s="263">
        <f t="shared" si="0"/>
        <v>8751.7688436809822</v>
      </c>
      <c r="I4" s="267" t="s">
        <v>330</v>
      </c>
      <c r="J4" s="350">
        <f>37989560/1000</f>
        <v>37989.56</v>
      </c>
      <c r="K4" s="350">
        <f>22800520/1000</f>
        <v>22800.52</v>
      </c>
      <c r="L4" s="351">
        <f>1870480/1000</f>
        <v>1870.48</v>
      </c>
      <c r="M4" s="118">
        <f t="shared" si="1"/>
        <v>62660.560000000005</v>
      </c>
      <c r="N4" s="241">
        <v>43830</v>
      </c>
      <c r="O4" s="241">
        <v>43981</v>
      </c>
    </row>
    <row r="5" spans="1:15">
      <c r="I5" t="s">
        <v>308</v>
      </c>
      <c r="J5" s="118">
        <f>SUM(J2:J4)</f>
        <v>168372.54</v>
      </c>
      <c r="K5" s="118">
        <f>SUM(K2:K4)</f>
        <v>87013.2</v>
      </c>
      <c r="L5" s="118">
        <f>SUM(L2:L4)</f>
        <v>12280.519999999999</v>
      </c>
      <c r="M5" s="118">
        <f>J5+K5+L5</f>
        <v>267666.26</v>
      </c>
    </row>
    <row r="6" spans="1:15">
      <c r="J6" s="118"/>
      <c r="O6" s="380">
        <f>((M2*365/(O2-N2))+M3+(M4*365/(O4-N4)))/3</f>
        <v>149525.73015014408</v>
      </c>
    </row>
    <row r="7" spans="1:15" ht="14" thickBot="1"/>
    <row r="8" spans="1:15" ht="75.650000000000006" customHeight="1" thickBot="1">
      <c r="A8" s="393" t="s">
        <v>200</v>
      </c>
      <c r="B8" s="394"/>
      <c r="C8" s="394"/>
      <c r="D8" s="394"/>
      <c r="E8" s="394"/>
      <c r="F8" s="395"/>
      <c r="J8" s="282" t="s">
        <v>293</v>
      </c>
      <c r="K8" s="276" t="s">
        <v>326</v>
      </c>
    </row>
    <row r="9" spans="1:15" ht="28.5" customHeight="1" thickBot="1">
      <c r="A9" s="130" t="s">
        <v>11</v>
      </c>
      <c r="B9" s="130" t="s">
        <v>0</v>
      </c>
      <c r="C9" s="130" t="s">
        <v>2</v>
      </c>
      <c r="D9" s="130" t="s">
        <v>12</v>
      </c>
      <c r="E9" s="130" t="s">
        <v>91</v>
      </c>
      <c r="F9" s="131" t="s">
        <v>1</v>
      </c>
      <c r="I9" s="273" t="s">
        <v>358</v>
      </c>
      <c r="J9" s="277">
        <f>Production!O4</f>
        <v>2654225.1135384734</v>
      </c>
      <c r="K9" s="278">
        <f>SUM('2022 Biogas'!F12,'2022 Biogas'!F43,'2022 Biogas'!F75,'2022 Biogas'!F106,'2022 Biogas'!F138)</f>
        <v>5727.2308854582516</v>
      </c>
    </row>
    <row r="10" spans="1:15" ht="77.150000000000006" customHeight="1" thickBot="1">
      <c r="A10" s="132" t="s">
        <v>294</v>
      </c>
      <c r="B10" s="124" t="s">
        <v>295</v>
      </c>
      <c r="C10" s="124" t="s">
        <v>184</v>
      </c>
      <c r="D10" s="126">
        <f>K9+K10+K11</f>
        <v>34940.387969733798</v>
      </c>
      <c r="E10" s="133" t="s">
        <v>192</v>
      </c>
      <c r="F10" s="125" t="s">
        <v>198</v>
      </c>
      <c r="I10" s="274">
        <v>2023</v>
      </c>
      <c r="J10" s="279">
        <f>Production!O11</f>
        <v>9287650.7976415027</v>
      </c>
      <c r="K10" s="280">
        <f>SUM('2023 Biogas'!F33,'2023 Biogas'!F62,'2023 Biogas'!F94,'2023 Biogas'!F125,'2023 Biogas'!F157,'2023 Biogas'!F188,'2023 Biogas'!F220,'2023 Biogas'!F252,'2023 Biogas'!F283,'2023 Biogas'!F315,'2023 Biogas'!F346,'2023 Biogas'!F378)</f>
        <v>20576.22976313252</v>
      </c>
    </row>
    <row r="11" spans="1:15" ht="68" thickBot="1">
      <c r="A11" s="132" t="s">
        <v>199</v>
      </c>
      <c r="B11" s="124" t="s">
        <v>296</v>
      </c>
      <c r="C11" s="124" t="s">
        <v>184</v>
      </c>
      <c r="D11" s="127">
        <f>D10*1000</f>
        <v>34940387.969733797</v>
      </c>
      <c r="E11" s="124"/>
      <c r="F11" s="125" t="s">
        <v>198</v>
      </c>
      <c r="I11" s="275" t="s">
        <v>330</v>
      </c>
      <c r="J11" s="279">
        <f>Production!O18</f>
        <v>3869047.7598053906</v>
      </c>
      <c r="K11" s="281">
        <f>SUM('2024 Biogas'!F33,'2024 Biogas'!F63,'2024 Biogas'!F95,'2024 Biogas'!F126,'2024 Biogas'!F158)</f>
        <v>8636.9273211430263</v>
      </c>
    </row>
    <row r="12" spans="1:15" ht="68" thickBot="1">
      <c r="A12" s="132" t="s">
        <v>170</v>
      </c>
      <c r="B12" s="124" t="s">
        <v>297</v>
      </c>
      <c r="C12" s="124" t="s">
        <v>185</v>
      </c>
      <c r="D12" s="127">
        <f>J9+J10+J11</f>
        <v>15810923.670985367</v>
      </c>
      <c r="E12" s="133" t="s">
        <v>192</v>
      </c>
      <c r="F12" s="125"/>
    </row>
    <row r="13" spans="1:15" ht="68" thickBot="1">
      <c r="A13" s="132" t="s">
        <v>170</v>
      </c>
      <c r="B13" s="124" t="s">
        <v>183</v>
      </c>
      <c r="C13" s="124" t="s">
        <v>185</v>
      </c>
      <c r="D13" s="127"/>
      <c r="E13" s="133" t="s">
        <v>192</v>
      </c>
      <c r="F13" s="125" t="s">
        <v>195</v>
      </c>
      <c r="J13" s="331"/>
      <c r="K13" s="330" t="s">
        <v>328</v>
      </c>
    </row>
    <row r="14" spans="1:15" ht="148.5">
      <c r="A14" s="132" t="s">
        <v>171</v>
      </c>
      <c r="B14" s="124" t="s">
        <v>182</v>
      </c>
      <c r="C14" s="124" t="s">
        <v>186</v>
      </c>
      <c r="D14" s="128"/>
      <c r="E14" s="134" t="s">
        <v>192</v>
      </c>
      <c r="F14" s="125" t="s">
        <v>252</v>
      </c>
      <c r="J14" s="332">
        <v>2022</v>
      </c>
      <c r="K14" s="335">
        <f>AVERAGE(('2022 Biogas'!E12,'2022 Biogas'!E43,'2022 Biogas'!E75,'2022 Biogas'!E106,'2022 Biogas'!E138))</f>
        <v>58.157524731182789</v>
      </c>
      <c r="M14">
        <f>(K14+K15+K16)/3</f>
        <v>59.100954315788861</v>
      </c>
    </row>
    <row r="15" spans="1:15" ht="67.5">
      <c r="A15" s="132" t="s">
        <v>172</v>
      </c>
      <c r="B15" s="124" t="s">
        <v>178</v>
      </c>
      <c r="C15" s="124" t="s">
        <v>187</v>
      </c>
      <c r="D15" s="129">
        <f>+(D16*D17)/(D18*D19)</f>
        <v>3.7322764858321058</v>
      </c>
      <c r="E15" s="124"/>
      <c r="F15" s="125" t="s">
        <v>196</v>
      </c>
      <c r="J15" s="333">
        <v>2023</v>
      </c>
      <c r="K15" s="335">
        <f>AVERAGE(('2023 Biogas'!E33,'2023 Biogas'!E62,'2023 Biogas'!E94,'2023 Biogas'!E125,'2023 Biogas'!E157,'2023 Biogas'!E188,'2023 Biogas'!E220,'2023 Biogas'!E252,'2023 Biogas'!E283,'2023 Biogas'!E315,'2023 Biogas'!E346,'2023 Biogas'!E378))</f>
        <v>59.349179595494114</v>
      </c>
    </row>
    <row r="16" spans="1:15" ht="95" thickBot="1">
      <c r="A16" s="132" t="s">
        <v>179</v>
      </c>
      <c r="B16" s="124" t="s">
        <v>180</v>
      </c>
      <c r="C16" s="124" t="s">
        <v>188</v>
      </c>
      <c r="D16" s="124">
        <v>600</v>
      </c>
      <c r="E16" s="133" t="s">
        <v>192</v>
      </c>
      <c r="F16" s="125" t="s">
        <v>193</v>
      </c>
      <c r="J16" s="334">
        <v>2024</v>
      </c>
      <c r="K16" s="336">
        <f>AVERAGE(('2024 Biogas'!E33,'2024 Biogas'!E63,'2024 Biogas'!E95,'2024 Biogas'!E126,'2024 Biogas'!E158))</f>
        <v>59.796158620689667</v>
      </c>
    </row>
    <row r="17" spans="1:6" ht="40.5">
      <c r="A17" s="132" t="s">
        <v>173</v>
      </c>
      <c r="B17" s="124" t="s">
        <v>177</v>
      </c>
      <c r="C17" s="124" t="s">
        <v>189</v>
      </c>
      <c r="D17" s="124">
        <v>16.04</v>
      </c>
      <c r="E17" s="133" t="s">
        <v>192</v>
      </c>
      <c r="F17" s="125" t="s">
        <v>194</v>
      </c>
    </row>
    <row r="18" spans="1:6" ht="27">
      <c r="A18" s="132" t="s">
        <v>174</v>
      </c>
      <c r="B18" s="124" t="s">
        <v>176</v>
      </c>
      <c r="C18" s="124" t="s">
        <v>190</v>
      </c>
      <c r="D18" s="124">
        <v>8.3140000000000001</v>
      </c>
      <c r="E18" s="133" t="s">
        <v>192</v>
      </c>
      <c r="F18" s="125" t="s">
        <v>197</v>
      </c>
    </row>
    <row r="19" spans="1:6" ht="54">
      <c r="A19" s="135" t="s">
        <v>175</v>
      </c>
      <c r="B19" s="136" t="s">
        <v>181</v>
      </c>
      <c r="C19" s="136" t="s">
        <v>191</v>
      </c>
      <c r="D19" s="136">
        <v>310.14999999999998</v>
      </c>
      <c r="E19" s="137" t="s">
        <v>192</v>
      </c>
      <c r="F19" s="138" t="s">
        <v>201</v>
      </c>
    </row>
  </sheetData>
  <mergeCells count="1">
    <mergeCell ref="A8:F8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1"/>
  <sheetViews>
    <sheetView workbookViewId="0">
      <selection activeCell="C17" sqref="C17"/>
    </sheetView>
  </sheetViews>
  <sheetFormatPr defaultRowHeight="13.5"/>
  <cols>
    <col min="1" max="1" width="21" customWidth="1"/>
    <col min="2" max="2" width="29.3828125" customWidth="1"/>
    <col min="3" max="3" width="25.84375" customWidth="1"/>
    <col min="4" max="4" width="29.15234375" customWidth="1"/>
    <col min="5" max="5" width="19.84375" customWidth="1"/>
    <col min="6" max="6" width="14.84375" customWidth="1"/>
    <col min="7" max="7" width="19.765625" customWidth="1"/>
    <col min="8" max="8" width="19.61328125" customWidth="1"/>
  </cols>
  <sheetData>
    <row r="1" spans="1:8" ht="41.25" customHeight="1">
      <c r="A1" s="396" t="s">
        <v>343</v>
      </c>
      <c r="B1" s="396"/>
      <c r="C1" s="396"/>
      <c r="D1" s="396"/>
      <c r="E1" s="396"/>
      <c r="F1" s="17"/>
    </row>
    <row r="2" spans="1:8">
      <c r="A2" s="397" t="s">
        <v>342</v>
      </c>
      <c r="B2" s="397"/>
      <c r="C2" s="397"/>
      <c r="D2" s="397"/>
      <c r="E2" s="397"/>
      <c r="F2" s="17"/>
    </row>
    <row r="3" spans="1:8">
      <c r="A3" s="398" t="s">
        <v>169</v>
      </c>
      <c r="B3" s="398"/>
      <c r="C3" s="398"/>
      <c r="D3" s="398"/>
      <c r="E3" s="398"/>
      <c r="F3" s="398"/>
    </row>
    <row r="5" spans="1:8" ht="40.5">
      <c r="A5" s="26" t="s">
        <v>340</v>
      </c>
      <c r="B5" s="358">
        <v>328379.3</v>
      </c>
      <c r="C5" s="361" t="s">
        <v>351</v>
      </c>
      <c r="D5" s="26" t="s">
        <v>344</v>
      </c>
      <c r="E5" s="121">
        <v>1908.82</v>
      </c>
    </row>
    <row r="6" spans="1:8" ht="40.5">
      <c r="A6" s="26" t="s">
        <v>341</v>
      </c>
      <c r="B6" s="358">
        <v>331148.90000000002</v>
      </c>
      <c r="C6" s="362" t="s">
        <v>350</v>
      </c>
      <c r="D6" s="26" t="s">
        <v>345</v>
      </c>
      <c r="E6" s="121">
        <v>368.67</v>
      </c>
    </row>
    <row r="8" spans="1:8" ht="67.5">
      <c r="A8" s="2" t="s">
        <v>346</v>
      </c>
      <c r="D8" s="340" t="s">
        <v>347</v>
      </c>
      <c r="E8" s="339" t="s">
        <v>348</v>
      </c>
      <c r="F8" s="339" t="s">
        <v>349</v>
      </c>
      <c r="G8" s="340" t="s">
        <v>352</v>
      </c>
      <c r="H8" s="340" t="s">
        <v>353</v>
      </c>
    </row>
    <row r="9" spans="1:8">
      <c r="D9" s="359">
        <v>2022</v>
      </c>
      <c r="E9" s="360">
        <f>E5*1000/B5</f>
        <v>5.8128511754547256</v>
      </c>
      <c r="F9" s="360">
        <f>E6*1000/B5</f>
        <v>1.1226956144921438</v>
      </c>
      <c r="G9" s="360">
        <f>E9*'EPIAS Records'!D16/1000</f>
        <v>31.945446260115418</v>
      </c>
      <c r="H9" s="360">
        <f>F9*'EPIAS Records'!D16/1000</f>
        <v>6.1699519455562877</v>
      </c>
    </row>
    <row r="10" spans="1:8">
      <c r="D10" s="359">
        <v>2023</v>
      </c>
      <c r="E10" s="360">
        <f>E5*1000/B6</f>
        <v>5.7642347596504164</v>
      </c>
      <c r="F10" s="360">
        <f>E6*1000/B6</f>
        <v>1.113305827076581</v>
      </c>
      <c r="G10" s="360">
        <f>E10*'EPIAS Records'!G16/1000</f>
        <v>103.22207506447928</v>
      </c>
      <c r="H10" s="360">
        <f>F10*'EPIAS Records'!G16/1000</f>
        <v>19.936338897340544</v>
      </c>
    </row>
    <row r="11" spans="1:8">
      <c r="D11" s="359">
        <v>2024</v>
      </c>
      <c r="E11" s="360">
        <f>AVERAGE(E9:E10)</f>
        <v>5.788542967552571</v>
      </c>
      <c r="F11" s="360">
        <f>AVERAGE(F9:F10)</f>
        <v>1.1180007207843623</v>
      </c>
      <c r="G11" s="360">
        <f>'SOx and NOx'!E11*'EPIAS Records'!J16/1000</f>
        <v>44.270132863557691</v>
      </c>
      <c r="H11" s="360">
        <f>F11*'EPIAS Records'!J16/1000</f>
        <v>8.5503451780722202</v>
      </c>
    </row>
  </sheetData>
  <mergeCells count="3">
    <mergeCell ref="A1:E1"/>
    <mergeCell ref="A2:E2"/>
    <mergeCell ref="A3:F3"/>
  </mergeCells>
  <hyperlinks>
    <hyperlink ref="A2" r:id="rId1" xr:uid="{F1F0923E-B386-482F-8B81-C8C520F4CE6C}"/>
    <hyperlink ref="C6" r:id="rId2" xr:uid="{C55AD45D-52B7-4F75-BC6C-0D82343E7D9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Sheet3</vt:lpstr>
      <vt:lpstr>Sheet2</vt:lpstr>
      <vt:lpstr>Sheet1</vt:lpstr>
      <vt:lpstr>Emission reduction</vt:lpstr>
      <vt:lpstr>Baseline Emission</vt:lpstr>
      <vt:lpstr>Baseline Heat</vt:lpstr>
      <vt:lpstr>Project Emission-Total</vt:lpstr>
      <vt:lpstr>Project Emission-2</vt:lpstr>
      <vt:lpstr>SOx and NOx</vt:lpstr>
      <vt:lpstr>CM </vt:lpstr>
      <vt:lpstr>EPIAS Records</vt:lpstr>
      <vt:lpstr>Average Temp</vt:lpstr>
      <vt:lpstr>Production</vt:lpstr>
      <vt:lpstr>2022 Biogas</vt:lpstr>
      <vt:lpstr>2023 Biogas</vt:lpstr>
      <vt:lpstr>2024 Biogas</vt:lpstr>
      <vt:lpstr>2022-Steam</vt:lpstr>
      <vt:lpstr>2023-Steam</vt:lpstr>
      <vt:lpstr>2024-Steam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xiaodong jia</dc:creator>
  <cp:lastModifiedBy>Merve</cp:lastModifiedBy>
  <dcterms:created xsi:type="dcterms:W3CDTF">2008-09-03T12:42:16Z</dcterms:created>
  <dcterms:modified xsi:type="dcterms:W3CDTF">2025-05-21T10:45:55Z</dcterms:modified>
</cp:coreProperties>
</file>