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 updateLinks="never" defaultThemeVersion="124226"/>
  <bookViews>
    <workbookView xWindow="-15" yWindow="765" windowWidth="15420" windowHeight="5745" tabRatio="625" firstSheet="3" activeTab="4"/>
  </bookViews>
  <sheets>
    <sheet name="Sheet3" sheetId="6" state="hidden" r:id="rId1"/>
    <sheet name="Sheet2" sheetId="5" state="hidden" r:id="rId2"/>
    <sheet name="Sheet1" sheetId="4" state="hidden" r:id="rId3"/>
    <sheet name="Average Temp" sheetId="18" r:id="rId4"/>
    <sheet name="Baseline emission" sheetId="7" r:id="rId5"/>
    <sheet name="Baseline Heat" sheetId="20" r:id="rId6"/>
    <sheet name="Project emission" sheetId="8" r:id="rId7"/>
    <sheet name="Emission reduction" sheetId="9" r:id="rId8"/>
    <sheet name="SOx and NOx" sheetId="21" r:id="rId9"/>
    <sheet name="CM " sheetId="23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__W.O.R.K.B.O.O.K..C.O.N.T.E.N.T.S____">#REF!</definedName>
    <definedName name="_GHG2">#REF!</definedName>
    <definedName name="AllGas">#REF!</definedName>
    <definedName name="_xlnm.Extract">#REF!</definedName>
    <definedName name="Conservativeness">#REF!</definedName>
    <definedName name="CRF_4_KP__Doc">'[1]4(KP)'!$A$17:$E$18</definedName>
    <definedName name="CRF_4_KP__Main">'[1]4(KP)'!$A$5:$E$15</definedName>
    <definedName name="CRF_4_KP_I_A.1.1_Doc">#REF!</definedName>
    <definedName name="CRF_4_KP_I_A.1.1_Main">'[2]4(KP-I)A.1'!$A$6:$O$18</definedName>
    <definedName name="CRF_4_KP_I_A.1_Doc">'[3]4(KP-I)A'!$A$16:$AA$17</definedName>
    <definedName name="CRF_4_KP_I_A.1_Main">'[3]4(KP-I)A'!$A$6:$AA$14</definedName>
    <definedName name="CRF_4_KP_I_A.2.1_Doc">#REF!</definedName>
    <definedName name="CRF_4_KP_I_A.2.1_Main">'[4]4(KP-I)A.2'!$A$6:$B$9</definedName>
    <definedName name="CRF_4_KP_I_A.2_Doc">#REF!</definedName>
    <definedName name="CRF_4_KP_I_A.2_Main1">'[5]4(KP-I)A'!$A$6:$AA$14</definedName>
    <definedName name="CRF_4_KP_I_A.2_Main2">'[5]4(KP-I)A'!$A$18:$AA$24</definedName>
    <definedName name="CRF_4_KP_I_B.1.1_Doc">#REF!</definedName>
    <definedName name="CRF_4_KP_I_B.1.1_Main">'[6]4(KP-I)B.1'!$A$6:$C$10</definedName>
    <definedName name="CRF_4_KP_I_B.1.2_Doc">'[7]4(KP-I)B.1'!$A$13:$J$14</definedName>
    <definedName name="CRF_4_KP_I_B.1.2_Main">'[7]4(KP-I)B.1'!$A$7:$J$11</definedName>
    <definedName name="CRF_4_KP_I_B.1.3_Doc">#REF!</definedName>
    <definedName name="CRF_4_KP_I_B.1.3_Main">'[8]4(KP-I)B.1'!$A$6:$O$18</definedName>
    <definedName name="CRF_4_KP_I_B.1_Doc">'[9]4(KP-I)B'!$A$20:$AB$21</definedName>
    <definedName name="CRF_4_KP_I_B.1_Main">'[9]4(KP-I)B'!$A$6:$AB$18</definedName>
    <definedName name="CRF_4_KP_I_B.2_Doc">'[10]4(KP-I)B'!$A$13:$Z$14</definedName>
    <definedName name="CRF_4_KP_I_B.2_Main">'[10]4(KP-I)B'!$A$6:$Z$11</definedName>
    <definedName name="CRF_4_KP_I_B.3_Doc">'[11]4(KP-I)B'!$A$13:$Z$14</definedName>
    <definedName name="CRF_4_KP_I_B.3_Main">'[11]4(KP-I)B'!$A$6:$Z$11</definedName>
    <definedName name="CRF_4_KP_I_B.4_Doc">'[12]4(KP-I)B'!$A$13:$Z$14</definedName>
    <definedName name="CRF_4_KP_I_B.4_Main">'[12]4(KP-I)B'!$A$6:$Z$11</definedName>
    <definedName name="CRF_4_KP_I_B.5_Doc">'[13]4(KP-I)B'!$A$13:$Z$14</definedName>
    <definedName name="CRF_4_KP_I_B.5_Main">'[13]4(KP-I)B'!$A$6:$Z$11</definedName>
    <definedName name="CRF_4_KP_II_1_Doc">'[14]4(KP-II)1'!$A$15:$D$16</definedName>
    <definedName name="CRF_4_KP_II_1_Main">'[14]4(KP-II)1'!$A$6:$D$13</definedName>
    <definedName name="CRF_4_KP_II_2_Doc">'[15]4(KP-II)2'!$A$38:$F$39</definedName>
    <definedName name="CRF_4_KP_II_2_Main">'[15]4(KP-II)2'!$A$6:$F$36</definedName>
    <definedName name="CRF_4_KP_II_3_Doc">'[16]4(KP-II)3'!$A$23:$E$24</definedName>
    <definedName name="CRF_4_KP_II_3_Main">'[16]4(KP-II)3'!$A$6:$E$21</definedName>
    <definedName name="CRF_4_KP_II_4_Doc">'[17]4(KP-II)4'!$A$45:$J$46</definedName>
    <definedName name="CRF_4_KP_II_4_Main">'[17]4(KP-II)4'!$A$6:$J$43</definedName>
    <definedName name="CRF_4_KP_Recalculations_Doc">'[18]4(KP)Recalculations'!$A$74:$R$75</definedName>
    <definedName name="CRF_4_KP_Recalculations_Main1">'[18]4(KP)Recalculations'!$A$5:$R$60</definedName>
    <definedName name="CRF_4_KP_Recalculations_Main2">'[18]4(KP)Recalculations'!$A$62:$F$70</definedName>
    <definedName name="CRF_accounting_Main">[19]accounting!$A$7:$M$29</definedName>
    <definedName name="CRF_NIR_1_Add">'[20]NIR-1'!$A$33:$C$36</definedName>
    <definedName name="CRF_NIR_1_Main">'[20]NIR-1'!$A$5:$P$16</definedName>
    <definedName name="CRF_NIR_2.1_Main">'[21]NIR-2'!$A$5:$C$10</definedName>
    <definedName name="CRF_NIR_2_Main">'[22]NIR-2'!$A$5:$J$18</definedName>
    <definedName name="CRF_NIR_3_Main">'[23]NIR-3'!$A$5:$F$7</definedName>
    <definedName name="CRF_Table3.B_a_s2_Add">#REF!</definedName>
    <definedName name="CRF_Table7_Main">#REF!</definedName>
    <definedName name="ectract?">#REF!</definedName>
    <definedName name="ELECT_UNITS">[24]CONVERTION_FACTORS!$H$3:$H$5</definedName>
    <definedName name="ELECT_UNITS2">[25]CONVERTION_FACTORS!$H$3:$H$5</definedName>
    <definedName name="EM_UNITS">[24]CONVERTION_FACTORS!$G$3:$G$5</definedName>
    <definedName name="EM_UNITS2">[25]CONVERTION_FACTORS!$G$3:$G$5</definedName>
    <definedName name="EN_UNITS">[24]CONVERTION_FACTORS!$B$3:$B$7</definedName>
    <definedName name="EN_UNITS3">[25]CONVERTION_FACTORS!$B$3:$B$7</definedName>
    <definedName name="EN_Units2">[25]CONVERTION_FACTORS!$B$3:$B$7</definedName>
    <definedName name="GasFlow">#REF!</definedName>
    <definedName name="GasFlowType">#REF!</definedName>
    <definedName name="GasFlowUnits">#REF!</definedName>
    <definedName name="GasH2O">#REF!</definedName>
    <definedName name="GHG">#REF!</definedName>
    <definedName name="GHG_C">#REF!</definedName>
    <definedName name="GHG_E">#REF!</definedName>
    <definedName name="GHG_E_F">'[26]List of parameters'!$B$116:$B$126</definedName>
    <definedName name="GHG_EF">'[26]List of parameters'!$B$116:$B$126</definedName>
    <definedName name="GHG_G">#REF!</definedName>
    <definedName name="GHGD">#REF!</definedName>
    <definedName name="MMk">#REF!</definedName>
    <definedName name="MoistureScenarios">#REF!</definedName>
    <definedName name="Opciones">#REF!</definedName>
    <definedName name="Option_1">#REF!</definedName>
    <definedName name="Option1or2">#REF!</definedName>
    <definedName name="OptionButton3">#REF!</definedName>
    <definedName name="Volume_flow___dry_basis">#REF!</definedName>
    <definedName name="Volume_flow___wet_basis">#REF!</definedName>
    <definedName name="Volumetric_fraction">#REF!</definedName>
    <definedName name="wetdry">#REF!</definedName>
  </definedNames>
  <calcPr calcId="145621"/>
</workbook>
</file>

<file path=xl/calcChain.xml><?xml version="1.0" encoding="utf-8"?>
<calcChain xmlns="http://schemas.openxmlformats.org/spreadsheetml/2006/main">
  <c r="G28" i="8" l="1"/>
  <c r="D8" i="7"/>
  <c r="C12" i="18"/>
  <c r="B10" i="23" l="1"/>
  <c r="D16" i="7"/>
  <c r="D12" i="7"/>
  <c r="D66" i="7"/>
  <c r="D13" i="7" s="1"/>
  <c r="D62" i="7"/>
  <c r="I9" i="9" l="1"/>
  <c r="F50" i="7" l="1"/>
  <c r="D14" i="7" s="1"/>
  <c r="F47" i="7"/>
  <c r="D15" i="7" s="1"/>
  <c r="D26" i="7" l="1"/>
  <c r="D22" i="7" s="1"/>
  <c r="H2" i="9"/>
  <c r="H9" i="9" s="1"/>
  <c r="H10" i="9" s="1"/>
  <c r="H7" i="9"/>
  <c r="C12" i="20"/>
  <c r="D4" i="7"/>
  <c r="F41" i="8"/>
  <c r="D35" i="7"/>
  <c r="D37" i="7"/>
  <c r="D28" i="8"/>
  <c r="E7" i="21"/>
  <c r="B7" i="21"/>
  <c r="B6" i="21"/>
  <c r="E5" i="21"/>
  <c r="E6" i="21"/>
  <c r="D7" i="8"/>
  <c r="D8" i="8"/>
  <c r="D26" i="8"/>
  <c r="F24" i="8"/>
  <c r="D15" i="8"/>
  <c r="D12" i="8"/>
  <c r="D24" i="8" l="1"/>
  <c r="C11" i="20"/>
  <c r="C13" i="20"/>
  <c r="D33" i="7"/>
  <c r="D32" i="7" s="1"/>
  <c r="D21" i="8"/>
  <c r="D20" i="8" s="1"/>
  <c r="D3" i="7"/>
  <c r="D21" i="7" l="1"/>
  <c r="D28" i="7" s="1"/>
  <c r="B2" i="9" s="1"/>
  <c r="D42" i="7"/>
  <c r="D3" i="8" s="1"/>
  <c r="D2" i="8" s="1"/>
  <c r="D27" i="7" l="1"/>
  <c r="B3" i="9" s="1"/>
  <c r="D31" i="8"/>
  <c r="B4" i="9" l="1"/>
  <c r="B6" i="9"/>
  <c r="B7" i="9"/>
  <c r="B5" i="9"/>
  <c r="B9" i="9" s="1"/>
  <c r="B8" i="9" s="1"/>
  <c r="C7" i="9"/>
  <c r="C5" i="9"/>
  <c r="C2" i="9"/>
  <c r="D2" i="9" s="1"/>
  <c r="C6" i="9"/>
  <c r="D6" i="9" s="1"/>
  <c r="C4" i="9"/>
  <c r="D4" i="9" s="1"/>
  <c r="C3" i="9"/>
  <c r="D3" i="9" s="1"/>
  <c r="D7" i="9" l="1"/>
  <c r="D5" i="9"/>
  <c r="C9" i="9"/>
  <c r="C8" i="9" s="1"/>
  <c r="D9" i="9" l="1"/>
  <c r="D8" i="9" s="1"/>
</calcChain>
</file>

<file path=xl/sharedStrings.xml><?xml version="1.0" encoding="utf-8"?>
<sst xmlns="http://schemas.openxmlformats.org/spreadsheetml/2006/main" count="457" uniqueCount="346">
  <si>
    <t>Unit</t>
  </si>
  <si>
    <t>Caculation</t>
  </si>
  <si>
    <t>Reference</t>
  </si>
  <si>
    <t>Description</t>
  </si>
  <si>
    <t>tCO2</t>
  </si>
  <si>
    <t>Mark</t>
  </si>
  <si>
    <t>MWh/year</t>
  </si>
  <si>
    <r>
      <t>EG</t>
    </r>
    <r>
      <rPr>
        <vertAlign val="subscript"/>
        <sz val="10"/>
        <rFont val="Verdana"/>
        <family val="2"/>
      </rPr>
      <t>baseline</t>
    </r>
  </si>
  <si>
    <r>
      <t>EF</t>
    </r>
    <r>
      <rPr>
        <vertAlign val="subscript"/>
        <sz val="10"/>
        <rFont val="Verdana"/>
        <family val="2"/>
      </rPr>
      <t>y</t>
    </r>
  </si>
  <si>
    <t>Electricity to the grid in baseline</t>
  </si>
  <si>
    <t>Emission factor</t>
  </si>
  <si>
    <t>tCO2/MWh</t>
  </si>
  <si>
    <t>Operational time</t>
  </si>
  <si>
    <t>hour</t>
  </si>
  <si>
    <t>T</t>
  </si>
  <si>
    <t xml:space="preserve">Parameter </t>
  </si>
  <si>
    <t>Value</t>
  </si>
  <si>
    <r>
      <t>G</t>
    </r>
    <r>
      <rPr>
        <sz val="10"/>
        <rFont val="Verdana"/>
        <family val="2"/>
      </rPr>
      <t>eneration Capacity</t>
    </r>
    <phoneticPr fontId="5" type="noConversion"/>
  </si>
  <si>
    <t>P</t>
    <phoneticPr fontId="5" type="noConversion"/>
  </si>
  <si>
    <t>T</t>
    <phoneticPr fontId="5" type="noConversion"/>
  </si>
  <si>
    <r>
      <t>W</t>
    </r>
    <r>
      <rPr>
        <sz val="10"/>
        <rFont val="Verdana"/>
        <family val="2"/>
      </rPr>
      <t>orking time</t>
    </r>
    <phoneticPr fontId="5" type="noConversion"/>
  </si>
  <si>
    <t>Hours/y</t>
    <phoneticPr fontId="5" type="noConversion"/>
  </si>
  <si>
    <r>
      <t>P</t>
    </r>
    <r>
      <rPr>
        <sz val="10"/>
        <rFont val="Verdana"/>
        <family val="2"/>
      </rPr>
      <t>*T</t>
    </r>
    <phoneticPr fontId="5" type="noConversion"/>
  </si>
  <si>
    <t>tCO2e/a</t>
    <phoneticPr fontId="7" type="noConversion"/>
  </si>
  <si>
    <t>Baseline methane emission in year y</t>
    <phoneticPr fontId="7" type="noConversion"/>
  </si>
  <si>
    <r>
      <t>G</t>
    </r>
    <r>
      <rPr>
        <sz val="10"/>
        <rFont val="Verdana"/>
        <family val="2"/>
      </rPr>
      <t>WP</t>
    </r>
    <r>
      <rPr>
        <vertAlign val="subscript"/>
        <sz val="10"/>
        <rFont val="Verdana"/>
        <family val="2"/>
      </rPr>
      <t>CH4</t>
    </r>
    <phoneticPr fontId="7" type="noConversion"/>
  </si>
  <si>
    <t>Global warming potential of methane</t>
    <phoneticPr fontId="5" type="noConversion"/>
  </si>
  <si>
    <r>
      <t>D</t>
    </r>
    <r>
      <rPr>
        <vertAlign val="subscript"/>
        <sz val="10"/>
        <rFont val="Verdana"/>
        <family val="2"/>
      </rPr>
      <t>CH4</t>
    </r>
    <phoneticPr fontId="7" type="noConversion"/>
  </si>
  <si>
    <r>
      <t>t/m</t>
    </r>
    <r>
      <rPr>
        <vertAlign val="superscript"/>
        <sz val="10"/>
        <rFont val="Verdana"/>
        <family val="2"/>
      </rPr>
      <t>3</t>
    </r>
    <phoneticPr fontId="7" type="noConversion"/>
  </si>
  <si>
    <t>CH4 density at 20 degree of Celsius and 1 atm pressure</t>
    <phoneticPr fontId="7" type="noConversion"/>
  </si>
  <si>
    <r>
      <t>M</t>
    </r>
    <r>
      <rPr>
        <sz val="10"/>
        <rFont val="Verdana"/>
        <family val="2"/>
      </rPr>
      <t>CF</t>
    </r>
    <r>
      <rPr>
        <vertAlign val="subscript"/>
        <sz val="10"/>
        <rFont val="Verdana"/>
        <family val="2"/>
      </rPr>
      <t>j</t>
    </r>
    <phoneticPr fontId="7" type="noConversion"/>
  </si>
  <si>
    <r>
      <t>A</t>
    </r>
    <r>
      <rPr>
        <sz val="10"/>
        <rFont val="Verdana"/>
        <family val="2"/>
      </rPr>
      <t>nnual methane conversion factor for the baseline</t>
    </r>
    <phoneticPr fontId="7" type="noConversion"/>
  </si>
  <si>
    <r>
      <t>B</t>
    </r>
    <r>
      <rPr>
        <vertAlign val="subscript"/>
        <sz val="10"/>
        <rFont val="Verdana"/>
        <family val="2"/>
      </rPr>
      <t>0,LT</t>
    </r>
    <phoneticPr fontId="7" type="noConversion"/>
  </si>
  <si>
    <r>
      <t>M</t>
    </r>
    <r>
      <rPr>
        <sz val="10"/>
        <rFont val="Verdana"/>
        <family val="2"/>
      </rPr>
      <t>aximum methane producing potential of the volatile solid generated</t>
    </r>
    <phoneticPr fontId="7" type="noConversion"/>
  </si>
  <si>
    <r>
      <t>m</t>
    </r>
    <r>
      <rPr>
        <vertAlign val="superscript"/>
        <sz val="10"/>
        <rFont val="Verdana"/>
        <family val="2"/>
      </rPr>
      <t>3</t>
    </r>
    <r>
      <rPr>
        <sz val="10"/>
        <rFont val="Verdana"/>
        <family val="2"/>
      </rPr>
      <t>CH4/kg_dm</t>
    </r>
    <phoneticPr fontId="7" type="noConversion"/>
  </si>
  <si>
    <r>
      <t>L</t>
    </r>
    <r>
      <rPr>
        <sz val="10"/>
        <rFont val="Verdana"/>
        <family val="2"/>
      </rPr>
      <t>T</t>
    </r>
    <phoneticPr fontId="7" type="noConversion"/>
  </si>
  <si>
    <r>
      <t>A</t>
    </r>
    <r>
      <rPr>
        <sz val="10"/>
        <rFont val="Verdana"/>
        <family val="2"/>
      </rPr>
      <t>ll tpye of livestock</t>
    </r>
    <phoneticPr fontId="7" type="noConversion"/>
  </si>
  <si>
    <r>
      <t>E</t>
    </r>
    <r>
      <rPr>
        <sz val="10"/>
        <rFont val="Verdana"/>
        <family val="2"/>
      </rPr>
      <t>F</t>
    </r>
    <r>
      <rPr>
        <vertAlign val="subscript"/>
        <sz val="10"/>
        <rFont val="Verdana"/>
        <family val="2"/>
      </rPr>
      <t>y</t>
    </r>
    <r>
      <rPr>
        <sz val="10"/>
        <rFont val="Verdana"/>
        <family val="2"/>
      </rPr>
      <t>*EG</t>
    </r>
    <r>
      <rPr>
        <vertAlign val="subscript"/>
        <sz val="10"/>
        <rFont val="Verdana"/>
        <family val="2"/>
      </rPr>
      <t>baseline</t>
    </r>
    <phoneticPr fontId="7" type="noConversion"/>
  </si>
  <si>
    <r>
      <t>BE</t>
    </r>
    <r>
      <rPr>
        <vertAlign val="subscript"/>
        <sz val="10"/>
        <rFont val="Verdana"/>
        <family val="2"/>
      </rPr>
      <t>elec.</t>
    </r>
    <phoneticPr fontId="7" type="noConversion"/>
  </si>
  <si>
    <t>tCO2e</t>
    <phoneticPr fontId="7" type="noConversion"/>
  </si>
  <si>
    <t>tCO2</t>
    <phoneticPr fontId="7" type="noConversion"/>
  </si>
  <si>
    <t>Project emission from flaring of the residual gas stream</t>
    <phoneticPr fontId="7" type="noConversion"/>
  </si>
  <si>
    <r>
      <t>f</t>
    </r>
    <r>
      <rPr>
        <vertAlign val="subscript"/>
        <sz val="10"/>
        <rFont val="Verdana"/>
        <family val="2"/>
      </rPr>
      <t>flare</t>
    </r>
    <phoneticPr fontId="7" type="noConversion"/>
  </si>
  <si>
    <t xml:space="preserve">Flare efficiency </t>
    <phoneticPr fontId="7" type="noConversion"/>
  </si>
  <si>
    <r>
      <t>FM</t>
    </r>
    <r>
      <rPr>
        <vertAlign val="subscript"/>
        <sz val="10"/>
        <rFont val="Verdana"/>
        <family val="2"/>
      </rPr>
      <t>RG,h</t>
    </r>
    <phoneticPr fontId="7" type="noConversion"/>
  </si>
  <si>
    <t>kg/h</t>
    <phoneticPr fontId="7" type="noConversion"/>
  </si>
  <si>
    <t>Mass flow rate of CH4 in the residual gas stream in hour h</t>
    <phoneticPr fontId="7" type="noConversion"/>
  </si>
  <si>
    <r>
      <t>p</t>
    </r>
    <r>
      <rPr>
        <vertAlign val="subscript"/>
        <sz val="10"/>
        <rFont val="Verdana"/>
        <family val="2"/>
      </rPr>
      <t>RG,n,h</t>
    </r>
    <phoneticPr fontId="7" type="noConversion"/>
  </si>
  <si>
    <r>
      <t>kg/m</t>
    </r>
    <r>
      <rPr>
        <vertAlign val="superscript"/>
        <sz val="10"/>
        <rFont val="Verdana"/>
        <family val="2"/>
      </rPr>
      <t>3</t>
    </r>
    <phoneticPr fontId="7" type="noConversion"/>
  </si>
  <si>
    <t>density of residual gas at normal conditions in hour h</t>
    <phoneticPr fontId="7" type="noConversion"/>
  </si>
  <si>
    <r>
      <t>FV</t>
    </r>
    <r>
      <rPr>
        <vertAlign val="subscript"/>
        <sz val="10"/>
        <rFont val="Verdana"/>
        <family val="2"/>
      </rPr>
      <t>RG,h</t>
    </r>
    <phoneticPr fontId="7" type="noConversion"/>
  </si>
  <si>
    <r>
      <t>m</t>
    </r>
    <r>
      <rPr>
        <vertAlign val="superscript"/>
        <sz val="10"/>
        <rFont val="Verdana"/>
        <family val="2"/>
      </rPr>
      <t>3</t>
    </r>
    <r>
      <rPr>
        <sz val="10"/>
        <rFont val="Verdana"/>
        <family val="2"/>
      </rPr>
      <t>/h</t>
    </r>
    <phoneticPr fontId="7" type="noConversion"/>
  </si>
  <si>
    <t>Volumetric flow rate of the residual gas in dry basis at normal consitions in the hour h</t>
    <phoneticPr fontId="7" type="noConversion"/>
  </si>
  <si>
    <r>
      <t>p</t>
    </r>
    <r>
      <rPr>
        <vertAlign val="subscript"/>
        <sz val="10"/>
        <rFont val="Verdana"/>
        <family val="2"/>
      </rPr>
      <t>RG,n,h</t>
    </r>
    <r>
      <rPr>
        <sz val="10"/>
        <rFont val="Verdana"/>
        <family val="2"/>
      </rPr>
      <t>*FV</t>
    </r>
    <r>
      <rPr>
        <vertAlign val="subscript"/>
        <sz val="10"/>
        <rFont val="Verdana"/>
        <family val="2"/>
      </rPr>
      <t>RG,h</t>
    </r>
    <phoneticPr fontId="7" type="noConversion"/>
  </si>
  <si>
    <r>
      <t>P</t>
    </r>
    <r>
      <rPr>
        <vertAlign val="subscript"/>
        <sz val="10"/>
        <rFont val="Verdana"/>
        <family val="2"/>
      </rPr>
      <t>n</t>
    </r>
    <r>
      <rPr>
        <sz val="10"/>
        <rFont val="Verdana"/>
        <family val="2"/>
      </rPr>
      <t>/(R</t>
    </r>
    <r>
      <rPr>
        <vertAlign val="subscript"/>
        <sz val="10"/>
        <rFont val="Verdana"/>
        <family val="2"/>
      </rPr>
      <t>u</t>
    </r>
    <r>
      <rPr>
        <sz val="10"/>
        <rFont val="Verdana"/>
        <family val="2"/>
      </rPr>
      <t>/MM</t>
    </r>
    <r>
      <rPr>
        <vertAlign val="subscript"/>
        <sz val="10"/>
        <rFont val="Verdana"/>
        <family val="2"/>
      </rPr>
      <t>RG,h</t>
    </r>
    <r>
      <rPr>
        <sz val="10"/>
        <rFont val="Verdana"/>
        <family val="2"/>
      </rPr>
      <t>)/T</t>
    </r>
    <r>
      <rPr>
        <vertAlign val="subscript"/>
        <sz val="10"/>
        <rFont val="Verdana"/>
        <family val="2"/>
      </rPr>
      <t>n</t>
    </r>
    <phoneticPr fontId="7" type="noConversion"/>
  </si>
  <si>
    <r>
      <t>P</t>
    </r>
    <r>
      <rPr>
        <vertAlign val="subscript"/>
        <sz val="10"/>
        <rFont val="Verdana"/>
        <family val="2"/>
      </rPr>
      <t>n</t>
    </r>
    <phoneticPr fontId="7" type="noConversion"/>
  </si>
  <si>
    <t>Pa</t>
    <phoneticPr fontId="7" type="noConversion"/>
  </si>
  <si>
    <t>Atmospheric pressure at normal conditions</t>
    <phoneticPr fontId="7" type="noConversion"/>
  </si>
  <si>
    <r>
      <t>R</t>
    </r>
    <r>
      <rPr>
        <vertAlign val="subscript"/>
        <sz val="10"/>
        <rFont val="Verdana"/>
        <family val="2"/>
      </rPr>
      <t>u</t>
    </r>
    <phoneticPr fontId="7" type="noConversion"/>
  </si>
  <si>
    <r>
      <t>Pa.m</t>
    </r>
    <r>
      <rPr>
        <vertAlign val="superscript"/>
        <sz val="10"/>
        <rFont val="Verdana"/>
        <family val="2"/>
      </rPr>
      <t>3</t>
    </r>
    <r>
      <rPr>
        <sz val="10"/>
        <rFont val="Verdana"/>
        <family val="2"/>
      </rPr>
      <t>/kmol.k</t>
    </r>
    <phoneticPr fontId="7" type="noConversion"/>
  </si>
  <si>
    <t>Molecular mass of the residual gas in hour h</t>
    <phoneticPr fontId="7" type="noConversion"/>
  </si>
  <si>
    <t>K</t>
    <phoneticPr fontId="7" type="noConversion"/>
  </si>
  <si>
    <t>Temperature at normal consition</t>
    <phoneticPr fontId="7" type="noConversion"/>
  </si>
  <si>
    <t>i</t>
    <phoneticPr fontId="7" type="noConversion"/>
  </si>
  <si>
    <r>
      <t>MM</t>
    </r>
    <r>
      <rPr>
        <vertAlign val="subscript"/>
        <sz val="10"/>
        <rFont val="Arial Unicode MS"/>
        <family val="2"/>
        <charset val="134"/>
      </rPr>
      <t>RG,h</t>
    </r>
    <phoneticPr fontId="7" type="noConversion"/>
  </si>
  <si>
    <t>kg/kmol</t>
    <phoneticPr fontId="7" type="noConversion"/>
  </si>
  <si>
    <r>
      <t>∑fv</t>
    </r>
    <r>
      <rPr>
        <vertAlign val="subscript"/>
        <sz val="10"/>
        <rFont val="Arial Unicode MS"/>
        <family val="2"/>
        <charset val="134"/>
      </rPr>
      <t>i,h</t>
    </r>
    <r>
      <rPr>
        <sz val="10"/>
        <rFont val="Arial Unicode MS"/>
        <family val="2"/>
        <charset val="134"/>
      </rPr>
      <t>*MM</t>
    </r>
    <r>
      <rPr>
        <vertAlign val="subscript"/>
        <sz val="10"/>
        <rFont val="Arial Unicode MS"/>
        <family val="2"/>
        <charset val="134"/>
      </rPr>
      <t>i</t>
    </r>
    <phoneticPr fontId="7" type="noConversion"/>
  </si>
  <si>
    <r>
      <t>T</t>
    </r>
    <r>
      <rPr>
        <vertAlign val="subscript"/>
        <sz val="10"/>
        <rFont val="Arial Unicode MS"/>
        <family val="2"/>
        <charset val="134"/>
      </rPr>
      <t>n</t>
    </r>
    <phoneticPr fontId="7" type="noConversion"/>
  </si>
  <si>
    <r>
      <t>fv</t>
    </r>
    <r>
      <rPr>
        <vertAlign val="subscript"/>
        <sz val="10"/>
        <rFont val="Arial Unicode MS"/>
        <family val="2"/>
        <charset val="134"/>
      </rPr>
      <t>i,h</t>
    </r>
    <phoneticPr fontId="7" type="noConversion"/>
  </si>
  <si>
    <r>
      <t>MM</t>
    </r>
    <r>
      <rPr>
        <vertAlign val="subscript"/>
        <sz val="10"/>
        <rFont val="Arial Unicode MS"/>
        <family val="2"/>
        <charset val="134"/>
      </rPr>
      <t>i</t>
    </r>
    <phoneticPr fontId="7" type="noConversion"/>
  </si>
  <si>
    <t>Universal ideal gas constant</t>
    <phoneticPr fontId="7" type="noConversion"/>
  </si>
  <si>
    <t>Volumetric fraction of component I in the residual gas in the hour h</t>
    <phoneticPr fontId="7" type="noConversion"/>
  </si>
  <si>
    <t>Molecular mass of residual gas compont i</t>
    <phoneticPr fontId="7" type="noConversion"/>
  </si>
  <si>
    <t>The componets CH4, CO2, CO, H2…</t>
    <phoneticPr fontId="7" type="noConversion"/>
  </si>
  <si>
    <t>Tool equation 15</t>
    <phoneticPr fontId="7" type="noConversion"/>
  </si>
  <si>
    <r>
      <t>TM</t>
    </r>
    <r>
      <rPr>
        <vertAlign val="subscript"/>
        <sz val="10"/>
        <rFont val="Verdana"/>
        <family val="2"/>
      </rPr>
      <t>RG,h</t>
    </r>
    <phoneticPr fontId="7" type="noConversion"/>
  </si>
  <si>
    <t>Mass flow rate of CH4 in the residual gas in hour h</t>
    <phoneticPr fontId="7" type="noConversion"/>
  </si>
  <si>
    <r>
      <t>FV</t>
    </r>
    <r>
      <rPr>
        <vertAlign val="subscript"/>
        <sz val="10"/>
        <rFont val="Verdana"/>
        <family val="2"/>
      </rPr>
      <t>RG,h</t>
    </r>
    <r>
      <rPr>
        <sz val="10"/>
        <rFont val="Verdana"/>
        <family val="2"/>
      </rPr>
      <t>*fv</t>
    </r>
    <r>
      <rPr>
        <vertAlign val="subscript"/>
        <sz val="10"/>
        <rFont val="Verdana"/>
        <family val="2"/>
      </rPr>
      <t>CH4,RG,h</t>
    </r>
    <r>
      <rPr>
        <sz val="10"/>
        <rFont val="Verdana"/>
        <family val="2"/>
      </rPr>
      <t>*p</t>
    </r>
    <r>
      <rPr>
        <vertAlign val="subscript"/>
        <sz val="10"/>
        <rFont val="Verdana"/>
        <family val="2"/>
      </rPr>
      <t>CH4,n</t>
    </r>
    <phoneticPr fontId="7" type="noConversion"/>
  </si>
  <si>
    <t>Density of methane at normal conditions</t>
    <phoneticPr fontId="7" type="noConversion"/>
  </si>
  <si>
    <t>PE</t>
    <phoneticPr fontId="7" type="noConversion"/>
  </si>
  <si>
    <t>Project emission</t>
    <phoneticPr fontId="7" type="noConversion"/>
  </si>
  <si>
    <r>
      <t>T</t>
    </r>
    <r>
      <rPr>
        <sz val="10"/>
        <rFont val="Verdana"/>
        <family val="2"/>
      </rPr>
      <t>otal</t>
    </r>
    <phoneticPr fontId="7" type="noConversion"/>
  </si>
  <si>
    <t>IPCC 2006 Table 10.17, p.10.45,Chapter10, Volume 4</t>
    <phoneticPr fontId="7" type="noConversion"/>
  </si>
  <si>
    <t>IPCC 2006 Table 10A-4, p.10.77,Chapter 10, Volume 4</t>
    <phoneticPr fontId="7" type="noConversion"/>
  </si>
  <si>
    <t>MW</t>
    <phoneticPr fontId="5" type="noConversion"/>
  </si>
  <si>
    <t>Option b of the determination of baseline emission</t>
  </si>
  <si>
    <r>
      <t>Q</t>
    </r>
    <r>
      <rPr>
        <vertAlign val="subscript"/>
        <sz val="10"/>
        <rFont val="Verdana"/>
        <family val="2"/>
      </rPr>
      <t>manure,j,LT,y</t>
    </r>
  </si>
  <si>
    <t>Quantity of manure treated from livestock type LT and animal manure management system j</t>
  </si>
  <si>
    <t>Physical leakage of biogas in the manure management system that capture's CH4</t>
  </si>
  <si>
    <t>Emissions from incremental transportation in the year y</t>
  </si>
  <si>
    <t>tons/a, wet basis</t>
  </si>
  <si>
    <r>
      <t>MS%</t>
    </r>
    <r>
      <rPr>
        <vertAlign val="subscript"/>
        <sz val="10"/>
        <rFont val="Verdana"/>
        <family val="2"/>
      </rPr>
      <t>i,y</t>
    </r>
  </si>
  <si>
    <t>Fraction of manure handled in system i in year y</t>
  </si>
  <si>
    <r>
      <t>D</t>
    </r>
    <r>
      <rPr>
        <vertAlign val="subscript"/>
        <sz val="10"/>
        <rFont val="Verdana"/>
        <family val="2"/>
      </rPr>
      <t>CH4,n</t>
    </r>
  </si>
  <si>
    <r>
      <t>t/m</t>
    </r>
    <r>
      <rPr>
        <vertAlign val="superscript"/>
        <sz val="10"/>
        <rFont val="Verdana"/>
        <family val="2"/>
      </rPr>
      <t>3</t>
    </r>
  </si>
  <si>
    <t>Volumetric flow rate of methane in dry basis at normal conditions in the hour h</t>
  </si>
  <si>
    <t>Volumetric flow rate of the residual gas in dry basis at normal conditions in the hour h</t>
  </si>
  <si>
    <t>%</t>
  </si>
  <si>
    <t>Default value</t>
  </si>
  <si>
    <t>MWh</t>
  </si>
  <si>
    <r>
      <t xml:space="preserve">Quantity of the electricity imported from the grid and consumed by the project activity in year </t>
    </r>
    <r>
      <rPr>
        <i/>
        <sz val="11"/>
        <rFont val="Calibri"/>
        <family val="2"/>
      </rPr>
      <t>y</t>
    </r>
    <r>
      <rPr>
        <sz val="11"/>
        <rFont val="Calibri"/>
        <family val="2"/>
      </rPr>
      <t xml:space="preserve"> </t>
    </r>
  </si>
  <si>
    <r>
      <rPr>
        <sz val="10"/>
        <rFont val="宋体"/>
        <charset val="134"/>
      </rPr>
      <t>∑</t>
    </r>
    <r>
      <rPr>
        <sz val="10"/>
        <rFont val="Verdana"/>
        <family val="2"/>
      </rPr>
      <t>TM</t>
    </r>
    <r>
      <rPr>
        <vertAlign val="subscript"/>
        <sz val="10"/>
        <rFont val="Verdana"/>
        <family val="2"/>
      </rPr>
      <t>RG,h</t>
    </r>
    <r>
      <rPr>
        <sz val="10"/>
        <rFont val="Verdana"/>
        <family val="2"/>
      </rPr>
      <t>*(1-f</t>
    </r>
    <r>
      <rPr>
        <vertAlign val="subscript"/>
        <sz val="10"/>
        <rFont val="Verdana"/>
        <family val="2"/>
      </rPr>
      <t>flare</t>
    </r>
    <r>
      <rPr>
        <sz val="10"/>
        <rFont val="Verdana"/>
        <family val="2"/>
      </rPr>
      <t>)*GWP</t>
    </r>
    <r>
      <rPr>
        <vertAlign val="subscript"/>
        <sz val="10"/>
        <rFont val="Verdana"/>
        <family val="2"/>
      </rPr>
      <t>CH4</t>
    </r>
  </si>
  <si>
    <r>
      <t>EF</t>
    </r>
    <r>
      <rPr>
        <vertAlign val="subscript"/>
        <sz val="10"/>
        <rFont val="Verdana"/>
        <family val="2"/>
      </rPr>
      <t>CO2,grid,y</t>
    </r>
  </si>
  <si>
    <r>
      <t>CO</t>
    </r>
    <r>
      <rPr>
        <vertAlign val="subscript"/>
        <sz val="10"/>
        <rFont val="Verdana"/>
        <family val="2"/>
      </rPr>
      <t>2</t>
    </r>
    <r>
      <rPr>
        <sz val="10"/>
        <rFont val="Verdana"/>
        <family val="2"/>
      </rPr>
      <t xml:space="preserve"> emission factor of the grid in year </t>
    </r>
    <r>
      <rPr>
        <i/>
        <sz val="10"/>
        <rFont val="Verdana"/>
        <family val="2"/>
      </rPr>
      <t>y</t>
    </r>
  </si>
  <si>
    <t>Calculation</t>
  </si>
  <si>
    <t>Dairy cow</t>
  </si>
  <si>
    <t>Equipment specification</t>
  </si>
  <si>
    <t>Dairy cows</t>
  </si>
  <si>
    <r>
      <t>fv</t>
    </r>
    <r>
      <rPr>
        <vertAlign val="subscript"/>
        <sz val="10"/>
        <rFont val="Verdana"/>
        <family val="2"/>
      </rPr>
      <t>CH4,RG,h</t>
    </r>
  </si>
  <si>
    <t>Generation License</t>
  </si>
  <si>
    <t xml:space="preserve">Conservative value for open  flare </t>
  </si>
  <si>
    <t>Baseline CO2 emission from electricity generation replaced by the project in year y</t>
  </si>
  <si>
    <t>Emission through electricity consumption</t>
  </si>
  <si>
    <t>Internal consumption has been assumed as 10% of generation figures as per FSR</t>
  </si>
  <si>
    <t>Default Value</t>
  </si>
  <si>
    <t>Amount of steam produced</t>
  </si>
  <si>
    <t>Steam Temp</t>
  </si>
  <si>
    <t>Steam Pressure</t>
  </si>
  <si>
    <t>Enthalpy of output steam @ 11.5barg and 190C</t>
  </si>
  <si>
    <t>t/y</t>
  </si>
  <si>
    <t>C</t>
  </si>
  <si>
    <t>kj/kg</t>
  </si>
  <si>
    <t>TJ</t>
  </si>
  <si>
    <r>
      <t>EG</t>
    </r>
    <r>
      <rPr>
        <vertAlign val="subscript"/>
        <sz val="10"/>
        <rFont val="Verdana"/>
        <family val="2"/>
        <charset val="162"/>
      </rPr>
      <t>thermal,y</t>
    </r>
  </si>
  <si>
    <r>
      <t>EF</t>
    </r>
    <r>
      <rPr>
        <vertAlign val="subscript"/>
        <sz val="10"/>
        <rFont val="Verdana"/>
        <family val="2"/>
        <charset val="162"/>
      </rPr>
      <t>FF,CO2</t>
    </r>
  </si>
  <si>
    <r>
      <t>BE</t>
    </r>
    <r>
      <rPr>
        <vertAlign val="subscript"/>
        <sz val="10"/>
        <rFont val="Verdana"/>
        <family val="2"/>
        <charset val="162"/>
      </rPr>
      <t>thermal,CO2,y</t>
    </r>
  </si>
  <si>
    <t>References</t>
  </si>
  <si>
    <t>The efficiency of the plant using fossil fuel that would have been used in the absence of the project activity</t>
  </si>
  <si>
    <t>tCO2e/a</t>
  </si>
  <si>
    <r>
      <t>Be</t>
    </r>
    <r>
      <rPr>
        <vertAlign val="subscript"/>
        <sz val="10"/>
        <rFont val="Verdana"/>
        <family val="2"/>
        <charset val="162"/>
      </rPr>
      <t>heat</t>
    </r>
  </si>
  <si>
    <t>Baseline CO2 emission from heat generation replaced by the project in year y</t>
  </si>
  <si>
    <t>http://www.steamtablesonline.com/steam97web.aspx</t>
  </si>
  <si>
    <t>Project design</t>
  </si>
  <si>
    <t>kJ/kg</t>
  </si>
  <si>
    <t>Enthalpy at boiler inlet (at 102 °C feed water temperature to boiler as per PO)</t>
  </si>
  <si>
    <t>http://www.thermexcel.com/english/tables/eau_boui.htm</t>
  </si>
  <si>
    <r>
      <t>η</t>
    </r>
    <r>
      <rPr>
        <vertAlign val="subscript"/>
        <sz val="10"/>
        <rFont val="Verdana"/>
        <family val="2"/>
        <charset val="162"/>
      </rPr>
      <t>BL,thermal</t>
    </r>
  </si>
  <si>
    <t>The baseline emissions from steam/heat displaced by the project activity during the year y (tCO2)</t>
  </si>
  <si>
    <t>The net quantity of steam/heat supplied by the project activity during the year y (TJ)</t>
  </si>
  <si>
    <t>The CO2 emission factor of the fossil fuel that would have been used in the baseline plant</t>
  </si>
  <si>
    <t>tCO2/TJ</t>
  </si>
  <si>
    <t>Calculated</t>
  </si>
  <si>
    <t>bar</t>
  </si>
  <si>
    <t>dimensionless</t>
  </si>
  <si>
    <r>
      <t>BE</t>
    </r>
    <r>
      <rPr>
        <b/>
        <vertAlign val="subscript"/>
        <sz val="12"/>
        <rFont val="Verdana"/>
        <family val="2"/>
        <charset val="162"/>
      </rPr>
      <t>thermal,CO2,y</t>
    </r>
    <r>
      <rPr>
        <b/>
        <sz val="12"/>
        <rFont val="Verdana"/>
        <family val="2"/>
      </rPr>
      <t>= (EG</t>
    </r>
    <r>
      <rPr>
        <b/>
        <vertAlign val="subscript"/>
        <sz val="12"/>
        <rFont val="Verdana"/>
        <family val="2"/>
        <charset val="162"/>
      </rPr>
      <t>thermal,y</t>
    </r>
    <r>
      <rPr>
        <b/>
        <sz val="12"/>
        <rFont val="Verdana"/>
        <family val="2"/>
      </rPr>
      <t xml:space="preserve"> / </t>
    </r>
    <r>
      <rPr>
        <b/>
        <sz val="12"/>
        <rFont val="Arial Tur"/>
      </rPr>
      <t>η</t>
    </r>
    <r>
      <rPr>
        <b/>
        <vertAlign val="subscript"/>
        <sz val="12"/>
        <rFont val="Cambria"/>
        <family val="1"/>
        <charset val="162"/>
      </rPr>
      <t>BL,thermal</t>
    </r>
    <r>
      <rPr>
        <b/>
        <sz val="12"/>
        <rFont val="Verdana"/>
        <family val="2"/>
      </rPr>
      <t>)*EF</t>
    </r>
    <r>
      <rPr>
        <b/>
        <vertAlign val="subscript"/>
        <sz val="12"/>
        <rFont val="Verdana"/>
        <family val="2"/>
        <charset val="162"/>
      </rPr>
      <t>FF,CO2</t>
    </r>
  </si>
  <si>
    <t>Calculated using boiler maximum hourly steam output rate and operational hours</t>
  </si>
  <si>
    <t>IPCC 2006 Table 2.2 Lower Limit Value for Natural Gas</t>
  </si>
  <si>
    <t>Annual Average</t>
  </si>
  <si>
    <t>Quantity of methane produced in the anaerobic digester in year y</t>
  </si>
  <si>
    <t>fraction</t>
  </si>
  <si>
    <t>Default emission factor for lined concrete digesters with a gas holding system.</t>
  </si>
  <si>
    <t>tonnes</t>
  </si>
  <si>
    <t>km/truck</t>
  </si>
  <si>
    <r>
      <t>tCO</t>
    </r>
    <r>
      <rPr>
        <vertAlign val="subscript"/>
        <sz val="10"/>
        <rFont val="Verdana"/>
        <family val="2"/>
        <charset val="162"/>
      </rPr>
      <t>2</t>
    </r>
    <r>
      <rPr>
        <sz val="10"/>
        <rFont val="Verdana"/>
        <family val="2"/>
      </rPr>
      <t>e</t>
    </r>
  </si>
  <si>
    <t>IPCC 2006 Table 10.17, p.10.45,Chapter10, Volume 4</t>
  </si>
  <si>
    <t>Uncovered anaerobic lagoon for 14 Degrees Celcius</t>
  </si>
  <si>
    <t>Calculated as per the applied tool. See CM Calculation Excel Sheet</t>
  </si>
  <si>
    <r>
      <t>B</t>
    </r>
    <r>
      <rPr>
        <vertAlign val="subscript"/>
        <sz val="10"/>
        <rFont val="Verdana"/>
        <family val="2"/>
      </rPr>
      <t>0,LT</t>
    </r>
  </si>
  <si>
    <r>
      <t>EC</t>
    </r>
    <r>
      <rPr>
        <vertAlign val="subscript"/>
        <sz val="10"/>
        <rFont val="Verdana"/>
        <family val="2"/>
      </rPr>
      <t>p,y</t>
    </r>
  </si>
  <si>
    <t>TDL</t>
  </si>
  <si>
    <t>Transmission + Distribution Loss</t>
  </si>
  <si>
    <r>
      <t>EC</t>
    </r>
    <r>
      <rPr>
        <vertAlign val="subscript"/>
        <sz val="10"/>
        <rFont val="Verdana"/>
        <family val="2"/>
      </rPr>
      <t>p,y</t>
    </r>
    <r>
      <rPr>
        <sz val="10"/>
        <rFont val="Verdana"/>
        <family val="2"/>
      </rPr>
      <t>*EF</t>
    </r>
    <r>
      <rPr>
        <vertAlign val="subscript"/>
        <sz val="10"/>
        <rFont val="Verdana"/>
        <family val="2"/>
      </rPr>
      <t>CO2,grid,y (</t>
    </r>
    <r>
      <rPr>
        <vertAlign val="subscript"/>
        <sz val="14"/>
        <rFont val="Verdana"/>
        <family val="2"/>
        <charset val="162"/>
      </rPr>
      <t>1+TDLj</t>
    </r>
    <r>
      <rPr>
        <vertAlign val="subscript"/>
        <sz val="10"/>
        <rFont val="Verdana"/>
        <family val="2"/>
      </rPr>
      <t>,y)</t>
    </r>
    <r>
      <rPr>
        <sz val="10"/>
        <rFont val="Verdana"/>
        <family val="2"/>
      </rPr>
      <t>+FG</t>
    </r>
    <r>
      <rPr>
        <vertAlign val="subscript"/>
        <sz val="10"/>
        <rFont val="Verdana"/>
        <family val="2"/>
      </rPr>
      <t>f,y</t>
    </r>
    <r>
      <rPr>
        <sz val="10"/>
        <rFont val="Verdana"/>
        <family val="2"/>
      </rPr>
      <t>*FF</t>
    </r>
    <r>
      <rPr>
        <vertAlign val="subscript"/>
        <sz val="10"/>
        <rFont val="Verdana"/>
        <family val="2"/>
      </rPr>
      <t>f,y</t>
    </r>
    <r>
      <rPr>
        <sz val="10"/>
        <rFont val="Verdana"/>
        <family val="2"/>
      </rPr>
      <t>*NCV</t>
    </r>
    <r>
      <rPr>
        <vertAlign val="subscript"/>
        <sz val="10"/>
        <rFont val="Verdana"/>
        <family val="2"/>
      </rPr>
      <t>f,y</t>
    </r>
  </si>
  <si>
    <t>IPCC Fifth Asessment Report (2014)</t>
  </si>
  <si>
    <t>https://www.ipcc-nggip.iges.or.jp/public/2006gl/pdf/4_Volume4/V4_10_Ch10_Livestock.pdf</t>
  </si>
  <si>
    <t>Poultry</t>
  </si>
  <si>
    <t>https://www.ipcc-nggip.iges.or.jp/public/gp/bgp/4_2_CH4_and_N2O_Livestock_Manure.pdf</t>
  </si>
  <si>
    <t>EF co2,f</t>
  </si>
  <si>
    <t>g CO2/t*km</t>
  </si>
  <si>
    <t xml:space="preserve">Default CO2 emission factor for freight transportation activity f
(g CO2/t km) </t>
  </si>
  <si>
    <t>Methodological tool “Project and leakage emissions from transportation of freight.</t>
  </si>
  <si>
    <t>https://cdm.unfccc.int/methodologies/PAmethodologies/tools/am-tool-12-v1.1.0.pdf</t>
  </si>
  <si>
    <t>FR f,m</t>
  </si>
  <si>
    <t xml:space="preserve">Total mass of freight transported in freight transportation activity f
in monitoring period m (t) </t>
  </si>
  <si>
    <t>D f,m</t>
  </si>
  <si>
    <t>Return trip distance between the origin and destination of freight
transportation activity f in monitoring period m (km)</t>
  </si>
  <si>
    <t>https://www.epdk.gov.tr/Detay/DownloadDocument?id=4xYFYUovbAI=</t>
  </si>
  <si>
    <t>Sum of transmisison and distributionlosses for 2019 (latest data available in EMRA 2020 Electricity Market Report, 2.15% transmission loss is average for Turkey and 7.55% distribution loss is belonged to İzmir District)</t>
  </si>
  <si>
    <r>
      <t>PE</t>
    </r>
    <r>
      <rPr>
        <vertAlign val="subscript"/>
        <sz val="10"/>
        <rFont val="Verdana"/>
        <family val="2"/>
      </rPr>
      <t>CH4,y</t>
    </r>
    <r>
      <rPr>
        <sz val="10"/>
        <rFont val="Verdana"/>
        <family val="2"/>
      </rPr>
      <t>= Q</t>
    </r>
    <r>
      <rPr>
        <vertAlign val="subscript"/>
        <sz val="10"/>
        <rFont val="Verdana"/>
        <family val="2"/>
      </rPr>
      <t>CH4,y</t>
    </r>
    <r>
      <rPr>
        <sz val="10"/>
        <rFont val="Verdana"/>
        <family val="2"/>
      </rPr>
      <t xml:space="preserve"> × EF</t>
    </r>
    <r>
      <rPr>
        <vertAlign val="subscript"/>
        <sz val="10"/>
        <rFont val="Verdana"/>
        <family val="2"/>
      </rPr>
      <t>CH4,default</t>
    </r>
    <r>
      <rPr>
        <sz val="10"/>
        <rFont val="Verdana"/>
        <family val="2"/>
      </rPr>
      <t xml:space="preserve"> × GWP</t>
    </r>
    <r>
      <rPr>
        <vertAlign val="subscript"/>
        <sz val="10"/>
        <rFont val="Verdana"/>
        <family val="2"/>
      </rPr>
      <t>CH4</t>
    </r>
  </si>
  <si>
    <r>
      <t>Q</t>
    </r>
    <r>
      <rPr>
        <vertAlign val="subscript"/>
        <sz val="10"/>
        <rFont val="Verdana"/>
        <family val="2"/>
      </rPr>
      <t>CH4,y</t>
    </r>
  </si>
  <si>
    <r>
      <t>tCH</t>
    </r>
    <r>
      <rPr>
        <vertAlign val="subscript"/>
        <sz val="10"/>
        <rFont val="Verdana"/>
        <family val="2"/>
      </rPr>
      <t>4</t>
    </r>
  </si>
  <si>
    <r>
      <t>EF</t>
    </r>
    <r>
      <rPr>
        <vertAlign val="subscript"/>
        <sz val="10"/>
        <rFont val="Verdana"/>
        <family val="2"/>
      </rPr>
      <t>CH4,default</t>
    </r>
  </si>
  <si>
    <r>
      <t>GWP</t>
    </r>
    <r>
      <rPr>
        <vertAlign val="subscript"/>
        <sz val="10"/>
        <rFont val="Verdana"/>
        <family val="2"/>
      </rPr>
      <t>CH4</t>
    </r>
  </si>
  <si>
    <t>PEAD,y (=PECH4)</t>
  </si>
  <si>
    <t>Tool: Project and leakage emissions from anaerobic digesters version 02</t>
  </si>
  <si>
    <r>
      <t>PE</t>
    </r>
    <r>
      <rPr>
        <b/>
        <vertAlign val="subscript"/>
        <sz val="16"/>
        <rFont val="Verdana"/>
        <family val="2"/>
      </rPr>
      <t>transp,y</t>
    </r>
  </si>
  <si>
    <r>
      <t>PE</t>
    </r>
    <r>
      <rPr>
        <b/>
        <vertAlign val="subscript"/>
        <sz val="14"/>
        <rFont val="Verdana"/>
        <family val="2"/>
      </rPr>
      <t>flare,y</t>
    </r>
  </si>
  <si>
    <r>
      <t>PE</t>
    </r>
    <r>
      <rPr>
        <b/>
        <vertAlign val="subscript"/>
        <sz val="14"/>
        <rFont val="Verdana"/>
        <family val="2"/>
      </rPr>
      <t>power,y</t>
    </r>
  </si>
  <si>
    <r>
      <t>PE</t>
    </r>
    <r>
      <rPr>
        <b/>
        <vertAlign val="subscript"/>
        <sz val="10"/>
        <rFont val="Verdana"/>
        <family val="2"/>
      </rPr>
      <t>PL,y</t>
    </r>
    <r>
      <rPr>
        <b/>
        <sz val="10"/>
        <rFont val="Verdana"/>
        <family val="2"/>
      </rPr>
      <t>+PE</t>
    </r>
    <r>
      <rPr>
        <b/>
        <vertAlign val="subscript"/>
        <sz val="10"/>
        <rFont val="Verdana"/>
        <family val="2"/>
      </rPr>
      <t>flare,y</t>
    </r>
    <r>
      <rPr>
        <b/>
        <sz val="10"/>
        <rFont val="Verdana"/>
        <family val="2"/>
      </rPr>
      <t>+PE</t>
    </r>
    <r>
      <rPr>
        <b/>
        <vertAlign val="subscript"/>
        <sz val="10"/>
        <rFont val="Verdana"/>
        <family val="2"/>
      </rPr>
      <t xml:space="preserve">y,power </t>
    </r>
    <r>
      <rPr>
        <b/>
        <sz val="10"/>
        <rFont val="Verdana"/>
        <family val="2"/>
      </rPr>
      <t>+PE</t>
    </r>
    <r>
      <rPr>
        <b/>
        <vertAlign val="subscript"/>
        <sz val="10"/>
        <rFont val="Verdana"/>
        <family val="2"/>
      </rPr>
      <t>stransp,y</t>
    </r>
    <r>
      <rPr>
        <b/>
        <sz val="10"/>
        <rFont val="Verdana"/>
        <family val="2"/>
      </rPr>
      <t xml:space="preserve"> </t>
    </r>
  </si>
  <si>
    <t xml:space="preserve"> Total SO2 and NOx emission related to electricity generation is about 1778.59 kt and 358.88 kt respectively  according to 2018  National Inventory of Turkey (latest published inventory) . Considering that electricity generation in 2018 is 304,801.9 GWh.</t>
  </si>
  <si>
    <t>https://unfccc.int/documents/223579</t>
  </si>
  <si>
    <t>Indicator #1 Air Quality</t>
  </si>
  <si>
    <t>SO2 Emission</t>
  </si>
  <si>
    <t>Gg</t>
  </si>
  <si>
    <t>NOx Emission</t>
  </si>
  <si>
    <t>2018 Total Gross Electricity Generation of Turkey</t>
  </si>
  <si>
    <t>GWh</t>
  </si>
  <si>
    <t>SO2 EF</t>
  </si>
  <si>
    <t>kg/MWh</t>
  </si>
  <si>
    <t>NOx EF</t>
  </si>
  <si>
    <t>SO2 reduction for Generation in Monitoring Period</t>
  </si>
  <si>
    <t>tons</t>
  </si>
  <si>
    <t>NOx reduction for Generation in Monitoring Period</t>
  </si>
  <si>
    <t xml:space="preserve">Vt,db </t>
  </si>
  <si>
    <t xml:space="preserve">Vi,t,db </t>
  </si>
  <si>
    <t xml:space="preserve">ρi,t </t>
  </si>
  <si>
    <t>Mmi</t>
  </si>
  <si>
    <t xml:space="preserve">Ru </t>
  </si>
  <si>
    <t>Tt</t>
  </si>
  <si>
    <t>Pa.m3 /kmol.K</t>
  </si>
  <si>
    <t>kg/kmol</t>
  </si>
  <si>
    <t xml:space="preserve">kg gas /m³ gas </t>
  </si>
  <si>
    <t>Pt</t>
  </si>
  <si>
    <t>Pa</t>
  </si>
  <si>
    <t>K</t>
  </si>
  <si>
    <t>m³ gas /m³ dry gas</t>
  </si>
  <si>
    <t>m³ dry gas/h</t>
  </si>
  <si>
    <t>kg gas/h</t>
  </si>
  <si>
    <t xml:space="preserve">Mass flow of greenhouse gas i in the gaseous stream in time interval t </t>
  </si>
  <si>
    <t xml:space="preserve">Volumetric flow of the gaseous stream in time interval t on a dry basis </t>
  </si>
  <si>
    <t xml:space="preserve">Volumetric fraction of greenhouse gas i in the gaseous stream in a time interval t on a dry basis </t>
  </si>
  <si>
    <t xml:space="preserve">Density of greenhouse gas i in the gaseous stream in time interval t </t>
  </si>
  <si>
    <t xml:space="preserve">Absolute pressure of the gaseous stream in time interval t </t>
  </si>
  <si>
    <t xml:space="preserve">Molecular mass of greenhouse gas i </t>
  </si>
  <si>
    <t>Universal ideal gases constant</t>
  </si>
  <si>
    <t xml:space="preserve">Temperature of the gaseous stream in time interval t </t>
  </si>
  <si>
    <t>-</t>
  </si>
  <si>
    <t>Site record (2mbar (200pa) - 6 (600pa) mbar, blowerda 120 (12000pa) mbar çıkarılır)</t>
  </si>
  <si>
    <t>For CH4</t>
  </si>
  <si>
    <t>m³ dry gas/year</t>
  </si>
  <si>
    <t>Plant operates 7000 hours/year in design average</t>
  </si>
  <si>
    <t>calculated</t>
  </si>
  <si>
    <t>constant</t>
  </si>
  <si>
    <t>calculated (for CH4)</t>
  </si>
  <si>
    <t xml:space="preserve">Fi,t, ch4 </t>
  </si>
  <si>
    <t>Fi,t, co2e</t>
  </si>
  <si>
    <t>tonne gas/year</t>
  </si>
  <si>
    <t>8.657.937 m3/year (site records)</t>
  </si>
  <si>
    <t xml:space="preserve">Quantity of methane produced in the digester in year y  (Reference tool: Tool 08 - Tool to determine the mass flow of a greenhouse gas in a gaseous stream version 03.0)
</t>
  </si>
  <si>
    <t>Baseline methane emission in year y</t>
  </si>
  <si>
    <t xml:space="preserve">BECH4
</t>
  </si>
  <si>
    <t>tCH4/year</t>
  </si>
  <si>
    <t>Baseline emission calculations</t>
  </si>
  <si>
    <t>310,15 K (37 C) site records</t>
  </si>
  <si>
    <t>N0,LT</t>
  </si>
  <si>
    <t xml:space="preserve">Annual average number of animals </t>
  </si>
  <si>
    <t xml:space="preserve">Annual average number of animals of type LT estimated 
</t>
  </si>
  <si>
    <t>VS,LT</t>
  </si>
  <si>
    <t xml:space="preserve">(kg -dm/animal/yr)
</t>
  </si>
  <si>
    <t>Annual volatile solid excretions for livestock LT entering all AWMS
on a dry matter weight basis</t>
  </si>
  <si>
    <t xml:space="preserve">Fraction of manure handled in system j in the baseline
</t>
  </si>
  <si>
    <t>MS%BL,j</t>
  </si>
  <si>
    <t>BE</t>
  </si>
  <si>
    <t>tCO2e</t>
  </si>
  <si>
    <t>As per Tool 08: “Tool to determine the mass flow of a greenhouse gas in a gaseous stream” by using site data on biogas production within the dates 01/01/2019-31/12/2019</t>
  </si>
  <si>
    <r>
      <t>B</t>
    </r>
    <r>
      <rPr>
        <b/>
        <vertAlign val="subscript"/>
        <sz val="12"/>
        <rFont val="Verdana"/>
        <family val="2"/>
      </rPr>
      <t>CH4</t>
    </r>
    <r>
      <rPr>
        <b/>
        <sz val="12"/>
        <rFont val="Verdana"/>
        <family val="2"/>
      </rPr>
      <t>+BE</t>
    </r>
    <r>
      <rPr>
        <b/>
        <vertAlign val="subscript"/>
        <sz val="12"/>
        <rFont val="Verdana"/>
        <family val="2"/>
      </rPr>
      <t>elec.</t>
    </r>
    <r>
      <rPr>
        <b/>
        <sz val="12"/>
        <rFont val="Verdana"/>
        <family val="2"/>
      </rPr>
      <t>+BE</t>
    </r>
    <r>
      <rPr>
        <b/>
        <vertAlign val="subscript"/>
        <sz val="12"/>
        <rFont val="Verdana"/>
        <family val="2"/>
      </rPr>
      <t>heat</t>
    </r>
  </si>
  <si>
    <t>BASELINE EMISSION REDUCTION CALCULATIONS</t>
  </si>
  <si>
    <t>B.6.4. Summary of ex ante estimates of emission reductions</t>
  </si>
  <si>
    <r>
      <t>BE(tCO</t>
    </r>
    <r>
      <rPr>
        <b/>
        <vertAlign val="subscript"/>
        <sz val="10"/>
        <rFont val="Verdana"/>
        <family val="2"/>
      </rPr>
      <t>2</t>
    </r>
    <r>
      <rPr>
        <b/>
        <sz val="10"/>
        <rFont val="Verdana"/>
        <family val="2"/>
      </rPr>
      <t>)</t>
    </r>
  </si>
  <si>
    <r>
      <t>PE(tCO</t>
    </r>
    <r>
      <rPr>
        <b/>
        <vertAlign val="subscript"/>
        <sz val="10"/>
        <rFont val="Verdana"/>
        <family val="2"/>
      </rPr>
      <t>2</t>
    </r>
    <r>
      <rPr>
        <b/>
        <sz val="10"/>
        <rFont val="Verdana"/>
        <family val="2"/>
      </rPr>
      <t>)</t>
    </r>
  </si>
  <si>
    <r>
      <t>ER(tCO</t>
    </r>
    <r>
      <rPr>
        <b/>
        <vertAlign val="subscript"/>
        <sz val="10"/>
        <rFont val="Verdana"/>
        <family val="2"/>
      </rPr>
      <t>2</t>
    </r>
    <r>
      <rPr>
        <b/>
        <sz val="10"/>
        <rFont val="Verdana"/>
        <family val="2"/>
      </rPr>
      <t>)</t>
    </r>
  </si>
  <si>
    <t>Generation licence</t>
  </si>
  <si>
    <t>The Gold Standard Revised Consolidated Baseline Methodology for GHG Emission Reduction from Manure Management Systems and Municipal Solid Waste</t>
  </si>
  <si>
    <r>
      <t xml:space="preserve">                             2</t>
    </r>
    <r>
      <rPr>
        <vertAlign val="superscript"/>
        <sz val="10"/>
        <color indexed="8"/>
        <rFont val="Calibri"/>
        <family val="2"/>
      </rPr>
      <t>nd</t>
    </r>
    <r>
      <rPr>
        <sz val="10"/>
        <color indexed="8"/>
        <rFont val="Calibri"/>
        <family val="2"/>
      </rPr>
      <t xml:space="preserve"> - 3</t>
    </r>
    <r>
      <rPr>
        <vertAlign val="superscript"/>
        <sz val="10"/>
        <color indexed="8"/>
        <rFont val="Calibri"/>
        <family val="2"/>
      </rPr>
      <t>rd</t>
    </r>
    <r>
      <rPr>
        <sz val="10"/>
        <color indexed="8"/>
        <rFont val="Calibri"/>
        <family val="2"/>
      </rPr>
      <t xml:space="preserve"> crediting period</t>
    </r>
  </si>
  <si>
    <r>
      <t>All other Projects; 1</t>
    </r>
    <r>
      <rPr>
        <vertAlign val="superscript"/>
        <sz val="10"/>
        <color indexed="8"/>
        <rFont val="Calibri"/>
        <family val="2"/>
      </rPr>
      <t>st</t>
    </r>
    <r>
      <rPr>
        <sz val="10"/>
        <color indexed="8"/>
        <rFont val="Calibri"/>
        <family val="2"/>
      </rPr>
      <t xml:space="preserve"> crediting period</t>
    </r>
  </si>
  <si>
    <t xml:space="preserve">For solar, wind  Projects </t>
  </si>
  <si>
    <r>
      <t>W</t>
    </r>
    <r>
      <rPr>
        <b/>
        <vertAlign val="subscript"/>
        <sz val="10"/>
        <color indexed="9"/>
        <rFont val="Calibri"/>
        <family val="2"/>
      </rPr>
      <t>BM</t>
    </r>
  </si>
  <si>
    <r>
      <t>W</t>
    </r>
    <r>
      <rPr>
        <b/>
        <vertAlign val="subscript"/>
        <sz val="10"/>
        <color indexed="9"/>
        <rFont val="Calibri"/>
        <family val="2"/>
      </rPr>
      <t>OM</t>
    </r>
  </si>
  <si>
    <t>Weighting factor</t>
  </si>
  <si>
    <t>Build Margin Emission Factor</t>
  </si>
  <si>
    <t>Operating Margin Emission Factor</t>
  </si>
  <si>
    <t>CM calculation for emission reduction estimations for CDM projects</t>
  </si>
  <si>
    <t xml:space="preserve">Latest official emission factor of Turkey that can be used in the projects depending on the project type published by the Ministry of Energy and Natural Resources. </t>
  </si>
  <si>
    <t xml:space="preserve">IPCC Fifth Asessment Report </t>
  </si>
  <si>
    <t xml:space="preserve">IPCC Fourth Asessment Report </t>
  </si>
  <si>
    <r>
      <t>BE</t>
    </r>
    <r>
      <rPr>
        <vertAlign val="subscript"/>
        <sz val="14"/>
        <rFont val="Verdana"/>
        <family val="2"/>
      </rPr>
      <t xml:space="preserve">CH4 (with GWP 28; after 31/12/2020)
</t>
    </r>
    <r>
      <rPr>
        <sz val="10"/>
        <rFont val="Verdana"/>
        <family val="2"/>
        <charset val="162"/>
      </rPr>
      <t/>
    </r>
  </si>
  <si>
    <r>
      <t>BE</t>
    </r>
    <r>
      <rPr>
        <vertAlign val="subscript"/>
        <sz val="14"/>
        <rFont val="Verdana"/>
        <family val="2"/>
      </rPr>
      <t xml:space="preserve">CH4 (with GWP 25; before 31/12/2020)
</t>
    </r>
    <r>
      <rPr>
        <sz val="10"/>
        <rFont val="Verdana"/>
        <family val="2"/>
        <charset val="162"/>
      </rPr>
      <t/>
    </r>
  </si>
  <si>
    <t>Baseline emission (GWP taken as 25; before 31/12/2020)</t>
  </si>
  <si>
    <t>Baseline emission (GWP taken as 28; after 31/12/2020)</t>
  </si>
  <si>
    <t>number of days</t>
  </si>
  <si>
    <t>total</t>
  </si>
  <si>
    <t>annual</t>
  </si>
  <si>
    <t xml:space="preserve">Annual Average Number of Animals </t>
  </si>
  <si>
    <t>Period (monthly)</t>
  </si>
  <si>
    <t>Steam (ton)</t>
  </si>
  <si>
    <t>Sept 2020</t>
  </si>
  <si>
    <t>October 2020</t>
  </si>
  <si>
    <t>November 2020</t>
  </si>
  <si>
    <t>December 2020</t>
  </si>
  <si>
    <t>Total</t>
  </si>
  <si>
    <t>Farm agreements</t>
  </si>
  <si>
    <t>VS (%) (lowest value of reference document</t>
  </si>
  <si>
    <t>https://arastirma.tarimorman.gov.tr/tavukculuk/Belgeler/web%20English%20Doc/journal%20(Dergimiz)/Dergimiz%20Cilt%2011%20Sayi%201/Cilt%2011%20Sayi%201%20Makale%204%20Yeni%20Bir%20Teknoloji%20ile%20Kurutulan%20Tavuk%20D%C4%B1%C5%9Fk%C4%B1s%C4%B1n%C4%B1n.pdf</t>
  </si>
  <si>
    <t>Cattle</t>
  </si>
  <si>
    <t xml:space="preserve"> Reference document for VS(% in manure)</t>
  </si>
  <si>
    <t>Manure (kg/year)</t>
  </si>
  <si>
    <t xml:space="preserve">
calculation based on country specific data</t>
  </si>
  <si>
    <t>Project EIA Report (page 8)</t>
  </si>
  <si>
    <t xml:space="preserve"> Reference document for VS(% in manure) (lowest value is chosen)</t>
  </si>
  <si>
    <t>https://biyogazder.org/makaleler/mak12.pdf</t>
  </si>
  <si>
    <t xml:space="preserve"> Reference document for yearly manure from CATTLE per head (page 11)</t>
  </si>
  <si>
    <t xml:space="preserve"> Reference document for yearly manure from poultry per head (page 2)</t>
  </si>
  <si>
    <t>VS poultry (kg dm/animal/year)</t>
  </si>
  <si>
    <t>VS cattle (kg dm/animal/year)</t>
  </si>
  <si>
    <t>VS CALCULATIONS via Country Specific Data</t>
  </si>
  <si>
    <r>
      <t>EG</t>
    </r>
    <r>
      <rPr>
        <vertAlign val="subscript"/>
        <sz val="10"/>
        <rFont val="Verdana"/>
        <family val="2"/>
        <charset val="162"/>
      </rPr>
      <t>thermal,y (1/3 ratio)</t>
    </r>
  </si>
  <si>
    <r>
      <t>EG</t>
    </r>
    <r>
      <rPr>
        <vertAlign val="subscript"/>
        <sz val="10"/>
        <rFont val="Verdana"/>
        <family val="2"/>
        <charset val="162"/>
      </rPr>
      <t xml:space="preserve">thermal,y </t>
    </r>
  </si>
  <si>
    <t>related farm agreements will be provided</t>
  </si>
  <si>
    <t>Tire Biogas Plant biogas production was 8,572,937 m3/y within the dates 01/01/2019-31/12/2019 and CH4 content of biogas is recorded as 59% as site records.</t>
  </si>
  <si>
    <t>1/06/2020-31/12/2020</t>
  </si>
  <si>
    <t>01/01/2025 - 31/05/2025</t>
  </si>
  <si>
    <t>Jan 2021</t>
  </si>
  <si>
    <t>Feb 2021</t>
  </si>
  <si>
    <t>March 2021</t>
  </si>
  <si>
    <t>April 2021</t>
  </si>
  <si>
    <t>June 2021</t>
  </si>
  <si>
    <t>July 2021</t>
  </si>
  <si>
    <t>August 2021</t>
  </si>
  <si>
    <t>Steam provided To Dairy Factory By Project (Between 01/09/2020 and 31/08/2021 for 12 months period)</t>
  </si>
  <si>
    <t>Name of the Farm</t>
  </si>
  <si>
    <t>Animal Type</t>
  </si>
  <si>
    <t>Hatice Güler Cattle Farm</t>
  </si>
  <si>
    <t>Dairy Cattle</t>
  </si>
  <si>
    <t>Şerif Demir Cattle Farm</t>
  </si>
  <si>
    <t>Ataköy Cattle Farm</t>
  </si>
  <si>
    <t>Bontoro Cattle Farm</t>
  </si>
  <si>
    <t>Dabesaa Cattle Farm</t>
  </si>
  <si>
    <t>Ragyu Cattle Farm</t>
  </si>
  <si>
    <t>Cactus Cattle Farm</t>
  </si>
  <si>
    <t>Aziz Güner Cattle Farm</t>
  </si>
  <si>
    <t>Total Cattle Number</t>
  </si>
  <si>
    <t>Ercanlar Poultry Farm</t>
  </si>
  <si>
    <t>Volkan Güner Poultry Farm</t>
  </si>
  <si>
    <t>Muzaffer Doydu Hayvancılık</t>
  </si>
  <si>
    <t>Total Poultry Number</t>
  </si>
  <si>
    <t>Plant Records (signed documents provided seperately with monthly records)</t>
  </si>
  <si>
    <t>daily waste transportation is 95 tonne and yearly value becomes 34,675 tonne Reference: Project Approved EIA Report, page 8)</t>
  </si>
  <si>
    <t>Combined Margin for Tire Biogas Project</t>
  </si>
  <si>
    <t>Tool to determine project esmission from flaring gas containing methane</t>
  </si>
  <si>
    <t>https://www.mgm.gov.tr/veridegerlendirme/il-ve-ilceler-istatistik.aspx?m=IZMIR</t>
  </si>
  <si>
    <t>MCF</t>
  </si>
  <si>
    <t>Multiplying with 0,94 for correction</t>
  </si>
  <si>
    <t>default value as per tool 09 ver.03</t>
  </si>
  <si>
    <t>IPCC 2019 Refinement, Chapter 10, Volume 4 Table 10.16,  Eastern Europe Data is taken</t>
  </si>
  <si>
    <r>
      <t xml:space="preserve">Annual average temperature is 17.9 </t>
    </r>
    <r>
      <rPr>
        <sz val="10"/>
        <rFont val="Arial Tur"/>
      </rPr>
      <t>̊</t>
    </r>
    <r>
      <rPr>
        <sz val="8.5"/>
        <rFont val="Verdana"/>
        <family val="2"/>
      </rPr>
      <t>C for İzmir</t>
    </r>
    <r>
      <rPr>
        <sz val="10"/>
        <rFont val="Verdana"/>
        <family val="2"/>
        <charset val="162"/>
      </rPr>
      <t xml:space="preserve"> District of Turkey according to data provide by MGM</t>
    </r>
  </si>
  <si>
    <t>17.9 Celcius =&gt; 76%</t>
  </si>
  <si>
    <t xml:space="preserve">Project and leakage emissions from anaerobic digesters
https://cdm.unfccc.int/methodologies/PAmethodologies/tools/am-tool-14-v2.pdf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</si>
</sst>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164" formatCode="_-* #,##0.00\ _T_L_-;\-* #,##0.00\ _T_L_-;_-* &quot;-&quot;??\ _T_L_-;_-@_-"/>
    <numFmt numFmtId="165" formatCode="0_);[Red]\(0\)"/>
    <numFmt numFmtId="166" formatCode="0.0%"/>
    <numFmt numFmtId="167" formatCode="0.00_ "/>
    <numFmt numFmtId="168" formatCode="_(* #,##0.00_);_(* \(#,##0.00\);_(* &quot;-&quot;??_);_(@_)"/>
    <numFmt numFmtId="169" formatCode="0.0"/>
    <numFmt numFmtId="170" formatCode="_-* #,##0\ _T_L_-;\-* #,##0\ _T_L_-;_-* &quot;-&quot;??\ _T_L_-;_-@_-"/>
    <numFmt numFmtId="171" formatCode="_-* #,##0.000\ _T_L_-;\-* #,##0.000\ _T_L_-;_-* &quot;-&quot;??\ _T_L_-;_-@_-"/>
    <numFmt numFmtId="172" formatCode="_(* #,##0.0_);_(* \(#,##0.0\);_(* &quot;-&quot;??_);_(@_)"/>
    <numFmt numFmtId="173" formatCode="#,##0.0"/>
    <numFmt numFmtId="174" formatCode="#,##0.000"/>
    <numFmt numFmtId="175" formatCode="0.000"/>
    <numFmt numFmtId="176" formatCode="_-* #,##0.00_-;\-* #,##0.00_-;_-* &quot;-&quot;??_-;_-@_-"/>
    <numFmt numFmtId="177" formatCode="_-* #,##0\ _T_L_-;\-* #,##0\ _T_L_-;_-* &quot;-&quot;\ _T_L_-;_-@_-"/>
    <numFmt numFmtId="178" formatCode="_-* #,##0\ &quot;TL&quot;_-;\-* #,##0\ &quot;TL&quot;_-;_-* &quot;-&quot;\ &quot;TL&quot;_-;_-@_-"/>
    <numFmt numFmtId="179" formatCode="_-* #,##0.00\ &quot;TL&quot;_-;\-* #,##0.00\ &quot;TL&quot;_-;_-* &quot;-&quot;??\ &quot;TL&quot;_-;_-@_-"/>
    <numFmt numFmtId="180" formatCode="_-* #,##0.00\ [$€-1]_-;\-* #,##0.00\ [$€-1]_-;_-* &quot;-&quot;??\ [$€-1]_-"/>
    <numFmt numFmtId="181" formatCode="#."/>
    <numFmt numFmtId="182" formatCode="#,##0\ &quot;TL&quot;;\-#,##0\ &quot;TL&quot;"/>
    <numFmt numFmtId="183" formatCode="mmmm\-yy"/>
    <numFmt numFmtId="184" formatCode="General_)"/>
    <numFmt numFmtId="185" formatCode="#,##0_);\(#,##0\)"/>
    <numFmt numFmtId="186" formatCode="0.0000"/>
  </numFmts>
  <fonts count="81">
    <font>
      <sz val="10"/>
      <name val="Verdana"/>
      <family val="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Verdana"/>
      <family val="2"/>
    </font>
    <font>
      <sz val="8"/>
      <name val="Verdana"/>
      <family val="2"/>
    </font>
    <font>
      <vertAlign val="subscript"/>
      <sz val="10"/>
      <name val="Verdana"/>
      <family val="2"/>
    </font>
    <font>
      <sz val="9"/>
      <name val="宋体"/>
      <charset val="134"/>
    </font>
    <font>
      <vertAlign val="superscript"/>
      <sz val="10"/>
      <name val="Verdana"/>
      <family val="2"/>
    </font>
    <font>
      <sz val="10"/>
      <name val="宋体"/>
      <charset val="134"/>
    </font>
    <font>
      <sz val="10"/>
      <name val="Arial Unicode MS"/>
      <family val="2"/>
      <charset val="134"/>
    </font>
    <font>
      <vertAlign val="subscript"/>
      <sz val="10"/>
      <name val="Arial Unicode MS"/>
      <family val="2"/>
      <charset val="134"/>
    </font>
    <font>
      <sz val="11"/>
      <name val="Calibri"/>
      <family val="2"/>
    </font>
    <font>
      <i/>
      <sz val="11"/>
      <name val="Calibri"/>
      <family val="2"/>
    </font>
    <font>
      <i/>
      <sz val="10"/>
      <name val="Verdana"/>
      <family val="2"/>
    </font>
    <font>
      <sz val="10"/>
      <name val="Arial"/>
      <family val="2"/>
      <charset val="162"/>
    </font>
    <font>
      <sz val="11"/>
      <color theme="1"/>
      <name val="Calibri"/>
      <family val="2"/>
      <scheme val="minor"/>
    </font>
    <font>
      <sz val="11"/>
      <name val="Times New Roman"/>
      <family val="1"/>
      <charset val="16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Geneva"/>
      <charset val="16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Verdana"/>
      <family val="2"/>
      <charset val="162"/>
    </font>
    <font>
      <sz val="10"/>
      <name val="Verdana"/>
      <family val="2"/>
      <charset val="162"/>
    </font>
    <font>
      <vertAlign val="subscript"/>
      <sz val="10"/>
      <name val="Verdana"/>
      <family val="2"/>
      <charset val="162"/>
    </font>
    <font>
      <sz val="11"/>
      <color indexed="8"/>
      <name val="Times New Roman"/>
      <family val="1"/>
    </font>
    <font>
      <b/>
      <sz val="12"/>
      <name val="Verdana"/>
      <family val="2"/>
    </font>
    <font>
      <b/>
      <vertAlign val="subscript"/>
      <sz val="12"/>
      <name val="Verdana"/>
      <family val="2"/>
      <charset val="162"/>
    </font>
    <font>
      <b/>
      <sz val="12"/>
      <name val="Arial Tur"/>
    </font>
    <font>
      <b/>
      <vertAlign val="subscript"/>
      <sz val="12"/>
      <name val="Cambria"/>
      <family val="1"/>
      <charset val="162"/>
    </font>
    <font>
      <sz val="12"/>
      <name val="Calibri"/>
      <family val="2"/>
    </font>
    <font>
      <sz val="10"/>
      <name val="Arial Tur"/>
    </font>
    <font>
      <sz val="8.5"/>
      <name val="Verdana"/>
      <family val="2"/>
    </font>
    <font>
      <vertAlign val="subscript"/>
      <sz val="14"/>
      <name val="Verdana"/>
      <family val="2"/>
      <charset val="162"/>
    </font>
    <font>
      <b/>
      <sz val="10"/>
      <name val="Verdana"/>
      <family val="2"/>
    </font>
    <font>
      <b/>
      <vertAlign val="subscript"/>
      <sz val="10"/>
      <name val="Verdana"/>
      <family val="2"/>
    </font>
    <font>
      <b/>
      <sz val="14"/>
      <name val="Verdana"/>
      <family val="2"/>
    </font>
    <font>
      <b/>
      <vertAlign val="subscript"/>
      <sz val="14"/>
      <name val="Verdana"/>
      <family val="2"/>
    </font>
    <font>
      <b/>
      <sz val="16"/>
      <name val="Verdana"/>
      <family val="2"/>
    </font>
    <font>
      <b/>
      <vertAlign val="subscript"/>
      <sz val="16"/>
      <name val="Verdana"/>
      <family val="2"/>
    </font>
    <font>
      <vertAlign val="subscript"/>
      <sz val="12"/>
      <name val="Verdana"/>
      <family val="2"/>
    </font>
    <font>
      <b/>
      <vertAlign val="subscript"/>
      <sz val="12"/>
      <name val="Verdana"/>
      <family val="2"/>
    </font>
    <font>
      <b/>
      <sz val="16"/>
      <color theme="0"/>
      <name val="Verdana"/>
      <family val="2"/>
    </font>
    <font>
      <sz val="10"/>
      <color theme="1"/>
      <name val="Calibri"/>
      <family val="2"/>
      <scheme val="minor"/>
    </font>
    <font>
      <vertAlign val="superscript"/>
      <sz val="10"/>
      <color indexed="8"/>
      <name val="Calibri"/>
      <family val="2"/>
    </font>
    <font>
      <sz val="10"/>
      <color indexed="8"/>
      <name val="Calibri"/>
      <family val="2"/>
    </font>
    <font>
      <b/>
      <sz val="10"/>
      <color theme="0"/>
      <name val="Calibri"/>
      <family val="2"/>
      <scheme val="minor"/>
    </font>
    <font>
      <b/>
      <vertAlign val="subscript"/>
      <sz val="10"/>
      <color indexed="9"/>
      <name val="Calibri"/>
      <family val="2"/>
    </font>
    <font>
      <sz val="10"/>
      <color theme="0"/>
      <name val="Calibri"/>
      <family val="2"/>
      <scheme val="minor"/>
    </font>
    <font>
      <b/>
      <sz val="11"/>
      <name val="Arial"/>
      <family val="2"/>
    </font>
    <font>
      <sz val="12"/>
      <name val="Times New Roman Tur"/>
      <charset val="162"/>
    </font>
    <font>
      <sz val="10"/>
      <name val="Geneva"/>
      <family val="2"/>
    </font>
    <font>
      <sz val="10"/>
      <name val="Arial Tur"/>
      <charset val="162"/>
    </font>
    <font>
      <sz val="9"/>
      <color indexed="8"/>
      <name val="Times New Roman"/>
      <family val="1"/>
    </font>
    <font>
      <b/>
      <sz val="12"/>
      <name val="Times New Roman"/>
      <family val="1"/>
    </font>
    <font>
      <u/>
      <sz val="10"/>
      <color indexed="12"/>
      <name val="Arial Tur"/>
      <charset val="162"/>
    </font>
    <font>
      <u/>
      <sz val="10"/>
      <color theme="10"/>
      <name val="Arial Tur"/>
      <charset val="162"/>
    </font>
    <font>
      <sz val="10"/>
      <name val="Geneva"/>
      <family val="2"/>
      <charset val="162"/>
    </font>
    <font>
      <b/>
      <sz val="9"/>
      <name val="Times New Roman"/>
      <family val="1"/>
    </font>
    <font>
      <sz val="10"/>
      <name val="MS Sans Serif"/>
      <family val="2"/>
      <charset val="162"/>
    </font>
    <font>
      <sz val="14"/>
      <name val="Verdana"/>
      <family val="2"/>
    </font>
    <font>
      <vertAlign val="subscript"/>
      <sz val="14"/>
      <name val="Verdana"/>
      <family val="2"/>
    </font>
    <font>
      <b/>
      <sz val="11"/>
      <color theme="1"/>
      <name val="Calibri"/>
      <family val="2"/>
      <scheme val="minor"/>
    </font>
    <font>
      <sz val="11"/>
      <color rgb="FF4D4D4C"/>
      <name val="Verdana"/>
      <family val="2"/>
    </font>
    <font>
      <b/>
      <sz val="11"/>
      <color rgb="FF4D4D4C"/>
      <name val="Verdana"/>
      <family val="2"/>
    </font>
    <font>
      <b/>
      <sz val="11"/>
      <color theme="1"/>
      <name val="Verdana"/>
      <family val="2"/>
    </font>
    <font>
      <b/>
      <u/>
      <sz val="10"/>
      <color indexed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 tint="0.34998626667073579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/>
      <right/>
      <top/>
      <bottom style="thin">
        <color theme="4" tint="0.39991454817346722"/>
      </bottom>
      <diagonal/>
    </border>
    <border>
      <left style="thin">
        <color theme="4" tint="0.39991454817346722"/>
      </left>
      <right/>
      <top/>
      <bottom style="thin">
        <color theme="4" tint="0.39991454817346722"/>
      </bottom>
      <diagonal/>
    </border>
    <border>
      <left/>
      <right/>
      <top style="thin">
        <color theme="4" tint="0.39991454817346722"/>
      </top>
      <bottom style="medium">
        <color indexed="64"/>
      </bottom>
      <diagonal/>
    </border>
    <border>
      <left/>
      <right/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/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medium">
        <color indexed="64"/>
      </top>
      <bottom style="thin">
        <color theme="4" tint="0.39991454817346722"/>
      </bottom>
      <diagonal/>
    </border>
    <border>
      <left/>
      <right/>
      <top style="medium">
        <color indexed="64"/>
      </top>
      <bottom style="thin">
        <color theme="4" tint="0.39991454817346722"/>
      </bottom>
      <diagonal/>
    </border>
    <border>
      <left style="thin">
        <color theme="4" tint="0.39991454817346722"/>
      </left>
      <right/>
      <top style="medium">
        <color indexed="64"/>
      </top>
      <bottom style="thin">
        <color theme="4" tint="0.39991454817346722"/>
      </bottom>
      <diagonal/>
    </border>
    <border>
      <left style="thin">
        <color theme="4" tint="0.39991454817346722"/>
      </left>
      <right/>
      <top style="thin">
        <color theme="4" tint="0.3999145481734672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22">
    <xf numFmtId="0" fontId="0" fillId="0" borderId="0"/>
    <xf numFmtId="0" fontId="15" fillId="0" borderId="0"/>
    <xf numFmtId="0" fontId="16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9" borderId="0" applyNumberFormat="0" applyBorder="0" applyAlignment="0" applyProtection="0"/>
    <xf numFmtId="0" fontId="20" fillId="3" borderId="0" applyNumberFormat="0" applyBorder="0" applyAlignment="0" applyProtection="0"/>
    <xf numFmtId="0" fontId="21" fillId="20" borderId="12" applyNumberFormat="0" applyAlignment="0" applyProtection="0"/>
    <xf numFmtId="0" fontId="22" fillId="21" borderId="13" applyNumberFormat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5" fillId="0" borderId="14" applyNumberFormat="0" applyFill="0" applyAlignment="0" applyProtection="0"/>
    <xf numFmtId="0" fontId="26" fillId="0" borderId="15" applyNumberFormat="0" applyFill="0" applyAlignment="0" applyProtection="0"/>
    <xf numFmtId="0" fontId="27" fillId="0" borderId="16" applyNumberFormat="0" applyFill="0" applyAlignment="0" applyProtection="0"/>
    <xf numFmtId="0" fontId="27" fillId="0" borderId="0" applyNumberFormat="0" applyFill="0" applyBorder="0" applyAlignment="0" applyProtection="0"/>
    <xf numFmtId="0" fontId="28" fillId="7" borderId="12" applyNumberFormat="0" applyAlignment="0" applyProtection="0"/>
    <xf numFmtId="0" fontId="29" fillId="0" borderId="17" applyNumberFormat="0" applyFill="0" applyAlignment="0" applyProtection="0"/>
    <xf numFmtId="0" fontId="18" fillId="0" borderId="0"/>
    <xf numFmtId="0" fontId="30" fillId="0" borderId="0"/>
    <xf numFmtId="0" fontId="18" fillId="22" borderId="18" applyNumberFormat="0" applyFont="0" applyAlignment="0" applyProtection="0"/>
    <xf numFmtId="0" fontId="31" fillId="20" borderId="19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68" fontId="3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9" fontId="3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4" fillId="0" borderId="0" applyNumberFormat="0" applyFont="0" applyFill="0" applyBorder="0" applyProtection="0">
      <alignment horizontal="left" vertical="center" indent="2"/>
    </xf>
    <xf numFmtId="176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64" fillId="0" borderId="0" applyFont="0" applyFill="0" applyBorder="0" applyAlignment="0" applyProtection="0"/>
    <xf numFmtId="4" fontId="65" fillId="0" borderId="0" applyFont="0" applyFill="0" applyBorder="0" applyAlignment="0" applyProtection="0"/>
    <xf numFmtId="4" fontId="65" fillId="0" borderId="0" applyFont="0" applyFill="0" applyBorder="0" applyAlignment="0" applyProtection="0"/>
    <xf numFmtId="177" fontId="66" fillId="0" borderId="0" applyFont="0" applyFill="0" applyBorder="0" applyAlignment="0" applyProtection="0"/>
    <xf numFmtId="4" fontId="65" fillId="0" borderId="0" applyFont="0" applyFill="0" applyBorder="0" applyAlignment="0" applyProtection="0"/>
    <xf numFmtId="164" fontId="66" fillId="0" borderId="0" applyFont="0" applyFill="0" applyBorder="0" applyAlignment="0" applyProtection="0"/>
    <xf numFmtId="0" fontId="67" fillId="0" borderId="0" applyNumberFormat="0">
      <alignment horizontal="right"/>
    </xf>
    <xf numFmtId="178" fontId="66" fillId="0" borderId="0" applyFont="0" applyFill="0" applyBorder="0" applyAlignment="0" applyProtection="0"/>
    <xf numFmtId="179" fontId="66" fillId="0" borderId="0" applyFont="0" applyFill="0" applyBorder="0" applyAlignment="0" applyProtection="0"/>
    <xf numFmtId="0" fontId="34" fillId="0" borderId="5"/>
    <xf numFmtId="180" fontId="15" fillId="0" borderId="0" applyFont="0" applyFill="0" applyBorder="0" applyAlignment="0" applyProtection="0"/>
    <xf numFmtId="181" fontId="66" fillId="0" borderId="0">
      <protection locked="0"/>
    </xf>
    <xf numFmtId="181" fontId="66" fillId="0" borderId="0">
      <protection locked="0"/>
    </xf>
    <xf numFmtId="181" fontId="66" fillId="0" borderId="0">
      <protection locked="0"/>
    </xf>
    <xf numFmtId="181" fontId="66" fillId="0" borderId="0">
      <protection locked="0"/>
    </xf>
    <xf numFmtId="181" fontId="66" fillId="0" borderId="0">
      <protection locked="0"/>
    </xf>
    <xf numFmtId="181" fontId="66" fillId="0" borderId="0">
      <protection locked="0"/>
    </xf>
    <xf numFmtId="181" fontId="66" fillId="0" borderId="0"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/>
    <xf numFmtId="0" fontId="66" fillId="0" borderId="0"/>
    <xf numFmtId="0" fontId="1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182" fontId="65" fillId="0" borderId="0"/>
    <xf numFmtId="182" fontId="65" fillId="0" borderId="0"/>
    <xf numFmtId="183" fontId="15" fillId="0" borderId="0"/>
    <xf numFmtId="184" fontId="65" fillId="0" borderId="0"/>
    <xf numFmtId="184" fontId="65" fillId="0" borderId="0"/>
    <xf numFmtId="0" fontId="34" fillId="0" borderId="0"/>
    <xf numFmtId="0" fontId="66" fillId="0" borderId="0"/>
    <xf numFmtId="0" fontId="66" fillId="0" borderId="0"/>
    <xf numFmtId="0" fontId="30" fillId="0" borderId="0"/>
    <xf numFmtId="0" fontId="30" fillId="0" borderId="0"/>
    <xf numFmtId="0" fontId="71" fillId="0" borderId="0"/>
    <xf numFmtId="0" fontId="16" fillId="0" borderId="0"/>
    <xf numFmtId="0" fontId="65" fillId="0" borderId="0"/>
    <xf numFmtId="0" fontId="15" fillId="0" borderId="0"/>
    <xf numFmtId="0" fontId="15" fillId="0" borderId="0"/>
    <xf numFmtId="0" fontId="34" fillId="0" borderId="0"/>
    <xf numFmtId="185" fontId="65" fillId="0" borderId="0"/>
    <xf numFmtId="185" fontId="65" fillId="0" borderId="0"/>
    <xf numFmtId="0" fontId="15" fillId="0" borderId="0"/>
    <xf numFmtId="0" fontId="64" fillId="0" borderId="0"/>
    <xf numFmtId="0" fontId="15" fillId="0" borderId="0"/>
    <xf numFmtId="0" fontId="3" fillId="0" borderId="0"/>
    <xf numFmtId="169" fontId="65" fillId="0" borderId="0"/>
    <xf numFmtId="0" fontId="65" fillId="0" borderId="0"/>
    <xf numFmtId="0" fontId="65" fillId="0" borderId="0"/>
    <xf numFmtId="183" fontId="15" fillId="0" borderId="0"/>
    <xf numFmtId="0" fontId="72" fillId="0" borderId="0" applyNumberFormat="0" applyFill="0" applyBorder="0" applyProtection="0">
      <alignment horizontal="left" vertical="center"/>
    </xf>
    <xf numFmtId="38" fontId="7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" fillId="0" borderId="0"/>
  </cellStyleXfs>
  <cellXfs count="291">
    <xf numFmtId="0" fontId="0" fillId="0" borderId="0" xfId="0"/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167" fontId="0" fillId="0" borderId="0" xfId="0" applyNumberFormat="1" applyAlignment="1">
      <alignment vertical="center" wrapText="1"/>
    </xf>
    <xf numFmtId="0" fontId="0" fillId="0" borderId="0" xfId="0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9" fontId="0" fillId="0" borderId="0" xfId="0" applyNumberFormat="1" applyBorder="1" applyAlignment="1">
      <alignment vertical="center" wrapText="1"/>
    </xf>
    <xf numFmtId="0" fontId="0" fillId="0" borderId="0" xfId="0" applyBorder="1" applyAlignment="1">
      <alignment horizontal="justify" vertical="center"/>
    </xf>
    <xf numFmtId="9" fontId="4" fillId="0" borderId="0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0" xfId="0" applyFill="1" applyBorder="1" applyAlignment="1">
      <alignment vertical="center"/>
    </xf>
    <xf numFmtId="166" fontId="0" fillId="0" borderId="0" xfId="0" applyNumberFormat="1" applyFont="1" applyFill="1" applyBorder="1" applyAlignment="1">
      <alignment vertical="center" wrapText="1"/>
    </xf>
    <xf numFmtId="0" fontId="35" fillId="0" borderId="0" xfId="45" applyAlignment="1" applyProtection="1"/>
    <xf numFmtId="0" fontId="0" fillId="0" borderId="8" xfId="0" applyFont="1" applyBorder="1" applyAlignment="1">
      <alignment vertical="center" wrapText="1"/>
    </xf>
    <xf numFmtId="170" fontId="4" fillId="0" borderId="10" xfId="47" applyNumberFormat="1" applyFont="1" applyBorder="1" applyAlignment="1">
      <alignment vertical="center" wrapText="1"/>
    </xf>
    <xf numFmtId="0" fontId="36" fillId="0" borderId="7" xfId="0" applyFont="1" applyBorder="1" applyAlignment="1">
      <alignment vertical="center" wrapText="1"/>
    </xf>
    <xf numFmtId="170" fontId="36" fillId="0" borderId="9" xfId="47" applyNumberFormat="1" applyFont="1" applyBorder="1" applyAlignment="1">
      <alignment vertical="center" wrapText="1"/>
    </xf>
    <xf numFmtId="0" fontId="36" fillId="0" borderId="5" xfId="0" applyFont="1" applyBorder="1" applyAlignment="1">
      <alignment vertical="center" wrapText="1"/>
    </xf>
    <xf numFmtId="0" fontId="36" fillId="0" borderId="6" xfId="0" applyFont="1" applyBorder="1" applyAlignment="1">
      <alignment vertical="center" wrapText="1"/>
    </xf>
    <xf numFmtId="0" fontId="17" fillId="0" borderId="0" xfId="0" applyFont="1" applyBorder="1" applyAlignment="1">
      <alignment horizontal="justify" vertical="center" wrapText="1"/>
    </xf>
    <xf numFmtId="0" fontId="0" fillId="0" borderId="0" xfId="0" applyBorder="1"/>
    <xf numFmtId="0" fontId="0" fillId="0" borderId="20" xfId="0" applyBorder="1" applyAlignment="1">
      <alignment vertical="center" wrapText="1"/>
    </xf>
    <xf numFmtId="0" fontId="0" fillId="0" borderId="20" xfId="0" applyBorder="1"/>
    <xf numFmtId="0" fontId="39" fillId="0" borderId="0" xfId="0" applyFont="1" applyFill="1" applyBorder="1" applyAlignment="1">
      <alignment horizontal="left"/>
    </xf>
    <xf numFmtId="0" fontId="39" fillId="0" borderId="21" xfId="0" applyFont="1" applyFill="1" applyBorder="1" applyAlignment="1">
      <alignment horizontal="left"/>
    </xf>
    <xf numFmtId="0" fontId="0" fillId="0" borderId="20" xfId="0" applyBorder="1" applyAlignment="1"/>
    <xf numFmtId="164" fontId="0" fillId="0" borderId="20" xfId="47" applyFont="1" applyBorder="1" applyAlignment="1">
      <alignment vertical="center"/>
    </xf>
    <xf numFmtId="0" fontId="0" fillId="24" borderId="20" xfId="0" applyFill="1" applyBorder="1"/>
    <xf numFmtId="3" fontId="0" fillId="24" borderId="20" xfId="0" applyNumberFormat="1" applyFill="1" applyBorder="1"/>
    <xf numFmtId="0" fontId="0" fillId="25" borderId="20" xfId="0" applyFill="1" applyBorder="1"/>
    <xf numFmtId="3" fontId="0" fillId="25" borderId="20" xfId="0" applyNumberFormat="1" applyFill="1" applyBorder="1"/>
    <xf numFmtId="0" fontId="4" fillId="24" borderId="20" xfId="0" applyFont="1" applyFill="1" applyBorder="1"/>
    <xf numFmtId="170" fontId="36" fillId="0" borderId="0" xfId="47" applyNumberFormat="1" applyFont="1" applyBorder="1" applyAlignment="1">
      <alignment vertical="center" wrapText="1"/>
    </xf>
    <xf numFmtId="170" fontId="4" fillId="0" borderId="0" xfId="47" applyNumberFormat="1" applyFont="1" applyBorder="1" applyAlignment="1">
      <alignment vertical="center" wrapText="1"/>
    </xf>
    <xf numFmtId="170" fontId="0" fillId="0" borderId="0" xfId="47" applyNumberFormat="1" applyFont="1" applyAlignment="1">
      <alignment vertical="center" wrapText="1"/>
    </xf>
    <xf numFmtId="170" fontId="0" fillId="0" borderId="0" xfId="0" applyNumberFormat="1" applyAlignment="1">
      <alignment vertical="center" wrapText="1"/>
    </xf>
    <xf numFmtId="170" fontId="4" fillId="0" borderId="0" xfId="47" applyNumberFormat="1" applyFont="1" applyAlignment="1">
      <alignment vertical="center" wrapText="1"/>
    </xf>
    <xf numFmtId="170" fontId="0" fillId="26" borderId="20" xfId="47" applyNumberFormat="1" applyFont="1" applyFill="1" applyBorder="1"/>
    <xf numFmtId="164" fontId="0" fillId="27" borderId="20" xfId="47" applyFont="1" applyFill="1" applyBorder="1" applyAlignment="1">
      <alignment vertical="center"/>
    </xf>
    <xf numFmtId="0" fontId="0" fillId="27" borderId="20" xfId="0" applyNumberFormat="1" applyFill="1" applyBorder="1" applyAlignment="1">
      <alignment vertical="center"/>
    </xf>
    <xf numFmtId="0" fontId="0" fillId="27" borderId="20" xfId="0" applyFill="1" applyBorder="1" applyAlignment="1">
      <alignment vertical="center" wrapText="1"/>
    </xf>
    <xf numFmtId="0" fontId="0" fillId="27" borderId="20" xfId="0" applyFont="1" applyFill="1" applyBorder="1" applyAlignment="1">
      <alignment vertical="center" wrapText="1"/>
    </xf>
    <xf numFmtId="0" fontId="4" fillId="27" borderId="20" xfId="0" applyFont="1" applyFill="1" applyBorder="1" applyAlignment="1">
      <alignment vertical="center" wrapText="1"/>
    </xf>
    <xf numFmtId="167" fontId="0" fillId="27" borderId="20" xfId="0" applyNumberFormat="1" applyFill="1" applyBorder="1" applyAlignment="1">
      <alignment vertical="center" wrapText="1"/>
    </xf>
    <xf numFmtId="167" fontId="35" fillId="27" borderId="20" xfId="45" applyNumberFormat="1" applyFill="1" applyBorder="1" applyAlignment="1" applyProtection="1">
      <alignment vertical="center" wrapText="1"/>
    </xf>
    <xf numFmtId="0" fontId="0" fillId="28" borderId="20" xfId="0" applyFill="1" applyBorder="1" applyAlignment="1">
      <alignment vertical="center" wrapText="1"/>
    </xf>
    <xf numFmtId="3" fontId="0" fillId="27" borderId="20" xfId="0" applyNumberFormat="1" applyFill="1" applyBorder="1" applyAlignment="1">
      <alignment horizontal="right" vertical="center"/>
    </xf>
    <xf numFmtId="0" fontId="0" fillId="27" borderId="20" xfId="0" applyFill="1" applyBorder="1" applyAlignment="1">
      <alignment horizontal="justify" vertical="center"/>
    </xf>
    <xf numFmtId="0" fontId="4" fillId="27" borderId="20" xfId="0" applyFont="1" applyFill="1" applyBorder="1" applyAlignment="1">
      <alignment horizontal="justify" vertical="center"/>
    </xf>
    <xf numFmtId="0" fontId="0" fillId="27" borderId="20" xfId="0" applyFont="1" applyFill="1" applyBorder="1" applyAlignment="1">
      <alignment horizontal="justify" vertical="center"/>
    </xf>
    <xf numFmtId="166" fontId="0" fillId="27" borderId="20" xfId="0" applyNumberFormat="1" applyFont="1" applyFill="1" applyBorder="1" applyAlignment="1">
      <alignment vertical="center" wrapText="1"/>
    </xf>
    <xf numFmtId="0" fontId="48" fillId="0" borderId="20" xfId="0" applyFont="1" applyBorder="1" applyAlignment="1">
      <alignment vertical="center" wrapText="1"/>
    </xf>
    <xf numFmtId="0" fontId="0" fillId="26" borderId="5" xfId="0" applyFont="1" applyFill="1" applyBorder="1" applyAlignment="1">
      <alignment vertical="center" wrapText="1"/>
    </xf>
    <xf numFmtId="0" fontId="0" fillId="26" borderId="6" xfId="0" applyFont="1" applyFill="1" applyBorder="1" applyAlignment="1">
      <alignment vertical="center" wrapText="1"/>
    </xf>
    <xf numFmtId="0" fontId="0" fillId="26" borderId="7" xfId="0" applyFont="1" applyFill="1" applyBorder="1" applyAlignment="1">
      <alignment vertical="center" wrapText="1"/>
    </xf>
    <xf numFmtId="0" fontId="0" fillId="26" borderId="0" xfId="0" applyFont="1" applyFill="1" applyBorder="1" applyAlignment="1">
      <alignment vertical="center" wrapText="1"/>
    </xf>
    <xf numFmtId="0" fontId="0" fillId="26" borderId="8" xfId="0" applyFont="1" applyFill="1" applyBorder="1" applyAlignment="1">
      <alignment vertical="center" wrapText="1"/>
    </xf>
    <xf numFmtId="171" fontId="0" fillId="26" borderId="0" xfId="47" applyNumberFormat="1" applyFont="1" applyFill="1" applyBorder="1" applyAlignment="1">
      <alignment vertical="center" wrapText="1"/>
    </xf>
    <xf numFmtId="0" fontId="0" fillId="26" borderId="9" xfId="0" applyFont="1" applyFill="1" applyBorder="1" applyAlignment="1">
      <alignment vertical="center" wrapText="1"/>
    </xf>
    <xf numFmtId="0" fontId="0" fillId="26" borderId="10" xfId="0" applyFont="1" applyFill="1" applyBorder="1" applyAlignment="1">
      <alignment vertical="center" wrapText="1"/>
    </xf>
    <xf numFmtId="0" fontId="0" fillId="26" borderId="10" xfId="0" applyFont="1" applyFill="1" applyBorder="1" applyAlignment="1">
      <alignment horizontal="justify" vertical="center"/>
    </xf>
    <xf numFmtId="0" fontId="0" fillId="26" borderId="10" xfId="0" applyNumberFormat="1" applyFont="1" applyFill="1" applyBorder="1" applyAlignment="1">
      <alignment horizontal="center" vertical="center"/>
    </xf>
    <xf numFmtId="0" fontId="0" fillId="26" borderId="11" xfId="0" applyFont="1" applyFill="1" applyBorder="1" applyAlignment="1">
      <alignment vertical="center" wrapText="1"/>
    </xf>
    <xf numFmtId="0" fontId="0" fillId="29" borderId="5" xfId="0" applyFill="1" applyBorder="1" applyAlignment="1">
      <alignment horizontal="justify" vertical="center"/>
    </xf>
    <xf numFmtId="0" fontId="44" fillId="29" borderId="5" xfId="0" applyFont="1" applyFill="1" applyBorder="1" applyAlignment="1">
      <alignment horizontal="left" vertical="center" wrapText="1"/>
    </xf>
    <xf numFmtId="0" fontId="0" fillId="29" borderId="5" xfId="0" applyFill="1" applyBorder="1" applyAlignment="1">
      <alignment vertical="center" wrapText="1"/>
    </xf>
    <xf numFmtId="0" fontId="0" fillId="29" borderId="6" xfId="0" applyFill="1" applyBorder="1" applyAlignment="1">
      <alignment vertical="center" wrapText="1"/>
    </xf>
    <xf numFmtId="0" fontId="0" fillId="29" borderId="7" xfId="0" applyFill="1" applyBorder="1" applyAlignment="1">
      <alignment vertical="center" wrapText="1"/>
    </xf>
    <xf numFmtId="0" fontId="0" fillId="29" borderId="0" xfId="0" applyFill="1" applyBorder="1" applyAlignment="1">
      <alignment vertical="center" wrapText="1"/>
    </xf>
    <xf numFmtId="3" fontId="0" fillId="29" borderId="0" xfId="0" applyNumberFormat="1" applyFill="1" applyBorder="1" applyAlignment="1">
      <alignment vertical="center" wrapText="1"/>
    </xf>
    <xf numFmtId="0" fontId="0" fillId="29" borderId="0" xfId="0" applyFill="1" applyBorder="1" applyAlignment="1">
      <alignment horizontal="justify" vertical="center"/>
    </xf>
    <xf numFmtId="0" fontId="0" fillId="29" borderId="8" xfId="0" applyFill="1" applyBorder="1" applyAlignment="1">
      <alignment vertical="center" wrapText="1"/>
    </xf>
    <xf numFmtId="0" fontId="0" fillId="29" borderId="9" xfId="0" applyFill="1" applyBorder="1" applyAlignment="1">
      <alignment vertical="center" wrapText="1"/>
    </xf>
    <xf numFmtId="0" fontId="0" fillId="29" borderId="10" xfId="0" applyFill="1" applyBorder="1" applyAlignment="1">
      <alignment vertical="center" wrapText="1"/>
    </xf>
    <xf numFmtId="3" fontId="0" fillId="29" borderId="10" xfId="0" applyNumberFormat="1" applyFill="1" applyBorder="1" applyAlignment="1">
      <alignment vertical="center" wrapText="1"/>
    </xf>
    <xf numFmtId="0" fontId="0" fillId="29" borderId="10" xfId="0" applyFill="1" applyBorder="1" applyAlignment="1">
      <alignment horizontal="justify" vertical="center"/>
    </xf>
    <xf numFmtId="0" fontId="0" fillId="29" borderId="11" xfId="0" applyFill="1" applyBorder="1" applyAlignment="1">
      <alignment vertical="center" wrapText="1"/>
    </xf>
    <xf numFmtId="0" fontId="40" fillId="26" borderId="4" xfId="0" applyFont="1" applyFill="1" applyBorder="1" applyAlignment="1">
      <alignment vertical="center" wrapText="1"/>
    </xf>
    <xf numFmtId="0" fontId="52" fillId="29" borderId="4" xfId="0" applyFont="1" applyFill="1" applyBorder="1" applyAlignment="1">
      <alignment horizontal="justify" vertical="center"/>
    </xf>
    <xf numFmtId="0" fontId="4" fillId="30" borderId="5" xfId="0" applyFont="1" applyFill="1" applyBorder="1" applyAlignment="1">
      <alignment vertical="center" wrapText="1"/>
    </xf>
    <xf numFmtId="0" fontId="0" fillId="30" borderId="5" xfId="0" applyFill="1" applyBorder="1" applyAlignment="1">
      <alignment vertical="center" wrapText="1"/>
    </xf>
    <xf numFmtId="0" fontId="4" fillId="30" borderId="6" xfId="0" applyFont="1" applyFill="1" applyBorder="1" applyAlignment="1">
      <alignment vertical="center" wrapText="1"/>
    </xf>
    <xf numFmtId="0" fontId="4" fillId="30" borderId="7" xfId="0" applyFont="1" applyFill="1" applyBorder="1" applyAlignment="1">
      <alignment vertical="center" wrapText="1"/>
    </xf>
    <xf numFmtId="0" fontId="0" fillId="30" borderId="0" xfId="0" applyFill="1" applyBorder="1" applyAlignment="1">
      <alignment vertical="center" wrapText="1"/>
    </xf>
    <xf numFmtId="0" fontId="4" fillId="30" borderId="0" xfId="0" applyFont="1" applyFill="1" applyBorder="1" applyAlignment="1">
      <alignment horizontal="justify" vertical="center"/>
    </xf>
    <xf numFmtId="0" fontId="0" fillId="30" borderId="0" xfId="0" applyNumberFormat="1" applyFill="1" applyBorder="1" applyAlignment="1">
      <alignment vertical="center"/>
    </xf>
    <xf numFmtId="0" fontId="4" fillId="30" borderId="0" xfId="0" applyFont="1" applyFill="1" applyBorder="1" applyAlignment="1">
      <alignment vertical="center" wrapText="1"/>
    </xf>
    <xf numFmtId="0" fontId="4" fillId="30" borderId="8" xfId="0" applyFont="1" applyFill="1" applyBorder="1" applyAlignment="1">
      <alignment vertical="center" wrapText="1"/>
    </xf>
    <xf numFmtId="9" fontId="4" fillId="30" borderId="0" xfId="0" applyNumberFormat="1" applyFont="1" applyFill="1" applyBorder="1" applyAlignment="1">
      <alignment vertical="center" wrapText="1"/>
    </xf>
    <xf numFmtId="0" fontId="0" fillId="30" borderId="0" xfId="0" applyFont="1" applyFill="1" applyBorder="1" applyAlignment="1">
      <alignment vertical="center" wrapText="1"/>
    </xf>
    <xf numFmtId="0" fontId="0" fillId="30" borderId="8" xfId="0" applyFill="1" applyBorder="1" applyAlignment="1">
      <alignment vertical="center" wrapText="1"/>
    </xf>
    <xf numFmtId="0" fontId="0" fillId="30" borderId="7" xfId="0" applyFont="1" applyFill="1" applyBorder="1" applyAlignment="1">
      <alignment vertical="center" wrapText="1"/>
    </xf>
    <xf numFmtId="0" fontId="0" fillId="30" borderId="9" xfId="0" applyFill="1" applyBorder="1" applyAlignment="1">
      <alignment vertical="center" wrapText="1"/>
    </xf>
    <xf numFmtId="0" fontId="0" fillId="30" borderId="10" xfId="0" applyFill="1" applyBorder="1" applyAlignment="1">
      <alignment vertical="center" wrapText="1"/>
    </xf>
    <xf numFmtId="0" fontId="4" fillId="30" borderId="10" xfId="0" applyFont="1" applyFill="1" applyBorder="1" applyAlignment="1">
      <alignment vertical="center" wrapText="1"/>
    </xf>
    <xf numFmtId="0" fontId="4" fillId="30" borderId="11" xfId="0" applyFont="1" applyFill="1" applyBorder="1" applyAlignment="1">
      <alignment vertical="center" wrapText="1"/>
    </xf>
    <xf numFmtId="0" fontId="50" fillId="30" borderId="4" xfId="0" applyFont="1" applyFill="1" applyBorder="1" applyAlignment="1">
      <alignment vertical="center" wrapText="1"/>
    </xf>
    <xf numFmtId="0" fontId="50" fillId="27" borderId="4" xfId="0" applyFont="1" applyFill="1" applyBorder="1" applyAlignment="1">
      <alignment horizontal="justify" vertical="center"/>
    </xf>
    <xf numFmtId="0" fontId="0" fillId="27" borderId="5" xfId="0" applyFill="1" applyBorder="1" applyAlignment="1">
      <alignment horizontal="justify" vertical="center"/>
    </xf>
    <xf numFmtId="0" fontId="4" fillId="27" borderId="5" xfId="0" applyFont="1" applyFill="1" applyBorder="1" applyAlignment="1">
      <alignment vertical="center" wrapText="1"/>
    </xf>
    <xf numFmtId="0" fontId="4" fillId="27" borderId="6" xfId="0" applyFont="1" applyFill="1" applyBorder="1" applyAlignment="1">
      <alignment vertical="center" wrapText="1"/>
    </xf>
    <xf numFmtId="0" fontId="0" fillId="27" borderId="7" xfId="0" applyFill="1" applyBorder="1" applyAlignment="1">
      <alignment horizontal="justify" vertical="center"/>
    </xf>
    <xf numFmtId="0" fontId="0" fillId="27" borderId="0" xfId="0" applyFill="1" applyBorder="1" applyAlignment="1">
      <alignment horizontal="justify" vertical="center"/>
    </xf>
    <xf numFmtId="1" fontId="0" fillId="27" borderId="0" xfId="0" applyNumberFormat="1" applyFill="1" applyBorder="1" applyAlignment="1">
      <alignment vertical="center"/>
    </xf>
    <xf numFmtId="0" fontId="0" fillId="27" borderId="0" xfId="0" applyFont="1" applyFill="1" applyBorder="1" applyAlignment="1">
      <alignment vertical="center" wrapText="1"/>
    </xf>
    <xf numFmtId="0" fontId="4" fillId="27" borderId="8" xfId="0" applyFont="1" applyFill="1" applyBorder="1" applyAlignment="1">
      <alignment vertical="center" wrapText="1"/>
    </xf>
    <xf numFmtId="0" fontId="0" fillId="27" borderId="0" xfId="0" applyFont="1" applyFill="1" applyBorder="1" applyAlignment="1">
      <alignment horizontal="justify" vertical="center"/>
    </xf>
    <xf numFmtId="166" fontId="0" fillId="27" borderId="0" xfId="48" applyNumberFormat="1" applyFont="1" applyFill="1" applyBorder="1" applyAlignment="1">
      <alignment vertical="center"/>
    </xf>
    <xf numFmtId="0" fontId="35" fillId="27" borderId="0" xfId="45" applyFill="1" applyBorder="1" applyAlignment="1" applyProtection="1">
      <alignment vertical="center" wrapText="1"/>
    </xf>
    <xf numFmtId="0" fontId="0" fillId="27" borderId="8" xfId="0" applyFont="1" applyFill="1" applyBorder="1" applyAlignment="1">
      <alignment vertical="center" wrapText="1"/>
    </xf>
    <xf numFmtId="0" fontId="0" fillId="27" borderId="0" xfId="0" applyFill="1" applyBorder="1" applyAlignment="1">
      <alignment vertical="center"/>
    </xf>
    <xf numFmtId="0" fontId="4" fillId="27" borderId="0" xfId="0" applyFont="1" applyFill="1" applyBorder="1" applyAlignment="1">
      <alignment vertical="center" wrapText="1"/>
    </xf>
    <xf numFmtId="0" fontId="0" fillId="27" borderId="9" xfId="0" applyFill="1" applyBorder="1" applyAlignment="1">
      <alignment horizontal="justify" vertical="center"/>
    </xf>
    <xf numFmtId="0" fontId="0" fillId="27" borderId="10" xfId="0" applyFill="1" applyBorder="1" applyAlignment="1">
      <alignment horizontal="justify" vertical="center"/>
    </xf>
    <xf numFmtId="0" fontId="4" fillId="27" borderId="11" xfId="0" applyFont="1" applyFill="1" applyBorder="1" applyAlignment="1">
      <alignment vertical="center" wrapText="1"/>
    </xf>
    <xf numFmtId="1" fontId="40" fillId="27" borderId="5" xfId="0" applyNumberFormat="1" applyFont="1" applyFill="1" applyBorder="1" applyAlignment="1">
      <alignment vertical="center"/>
    </xf>
    <xf numFmtId="1" fontId="40" fillId="29" borderId="5" xfId="0" applyNumberFormat="1" applyFont="1" applyFill="1" applyBorder="1" applyAlignment="1">
      <alignment vertical="center"/>
    </xf>
    <xf numFmtId="170" fontId="40" fillId="26" borderId="5" xfId="47" applyNumberFormat="1" applyFont="1" applyFill="1" applyBorder="1" applyAlignment="1">
      <alignment vertical="center" wrapText="1"/>
    </xf>
    <xf numFmtId="1" fontId="50" fillId="26" borderId="2" xfId="0" applyNumberFormat="1" applyFont="1" applyFill="1" applyBorder="1" applyAlignment="1">
      <alignment vertical="center" wrapText="1"/>
    </xf>
    <xf numFmtId="0" fontId="50" fillId="0" borderId="1" xfId="0" applyFont="1" applyBorder="1" applyAlignment="1">
      <alignment vertical="center" wrapText="1"/>
    </xf>
    <xf numFmtId="0" fontId="48" fillId="0" borderId="2" xfId="0" applyFont="1" applyBorder="1" applyAlignment="1">
      <alignment vertical="center" wrapText="1"/>
    </xf>
    <xf numFmtId="0" fontId="48" fillId="0" borderId="3" xfId="0" applyFont="1" applyBorder="1" applyAlignment="1">
      <alignment vertical="center" wrapText="1"/>
    </xf>
    <xf numFmtId="1" fontId="0" fillId="0" borderId="0" xfId="0" applyNumberFormat="1"/>
    <xf numFmtId="14" fontId="0" fillId="0" borderId="0" xfId="0" applyNumberFormat="1" applyFill="1" applyBorder="1"/>
    <xf numFmtId="1" fontId="0" fillId="0" borderId="0" xfId="0" applyNumberFormat="1" applyBorder="1"/>
    <xf numFmtId="1" fontId="0" fillId="0" borderId="20" xfId="0" applyNumberFormat="1" applyBorder="1"/>
    <xf numFmtId="0" fontId="0" fillId="0" borderId="0" xfId="0" applyAlignment="1">
      <alignment vertical="center"/>
    </xf>
    <xf numFmtId="0" fontId="0" fillId="0" borderId="20" xfId="0" applyBorder="1" applyAlignment="1">
      <alignment vertical="center"/>
    </xf>
    <xf numFmtId="172" fontId="37" fillId="27" borderId="20" xfId="47" applyNumberFormat="1" applyFont="1" applyFill="1" applyBorder="1" applyAlignment="1">
      <alignment vertical="center"/>
    </xf>
    <xf numFmtId="2" fontId="0" fillId="0" borderId="20" xfId="0" applyNumberFormat="1" applyBorder="1" applyAlignment="1">
      <alignment vertical="center"/>
    </xf>
    <xf numFmtId="172" fontId="0" fillId="0" borderId="20" xfId="47" applyNumberFormat="1" applyFont="1" applyBorder="1" applyAlignment="1">
      <alignment vertical="center"/>
    </xf>
    <xf numFmtId="4" fontId="0" fillId="0" borderId="0" xfId="0" applyNumberFormat="1" applyAlignment="1">
      <alignment vertical="center" wrapText="1"/>
    </xf>
    <xf numFmtId="3" fontId="0" fillId="0" borderId="0" xfId="0" applyNumberFormat="1" applyAlignment="1">
      <alignment vertical="center" wrapText="1"/>
    </xf>
    <xf numFmtId="0" fontId="0" fillId="31" borderId="20" xfId="0" applyFill="1" applyBorder="1" applyAlignment="1">
      <alignment vertical="center" wrapText="1"/>
    </xf>
    <xf numFmtId="0" fontId="0" fillId="31" borderId="29" xfId="0" applyFill="1" applyBorder="1" applyAlignment="1">
      <alignment vertical="center" wrapText="1"/>
    </xf>
    <xf numFmtId="3" fontId="48" fillId="31" borderId="20" xfId="0" applyNumberFormat="1" applyFont="1" applyFill="1" applyBorder="1" applyAlignment="1">
      <alignment vertical="center" wrapText="1"/>
    </xf>
    <xf numFmtId="173" fontId="0" fillId="31" borderId="20" xfId="0" applyNumberFormat="1" applyFill="1" applyBorder="1" applyAlignment="1">
      <alignment vertical="center" wrapText="1"/>
    </xf>
    <xf numFmtId="9" fontId="0" fillId="31" borderId="20" xfId="0" applyNumberFormat="1" applyFill="1" applyBorder="1" applyAlignment="1">
      <alignment vertical="center" wrapText="1"/>
    </xf>
    <xf numFmtId="2" fontId="0" fillId="31" borderId="20" xfId="0" applyNumberFormat="1" applyFill="1" applyBorder="1" applyAlignment="1">
      <alignment vertical="center" wrapText="1"/>
    </xf>
    <xf numFmtId="0" fontId="48" fillId="31" borderId="20" xfId="0" applyFont="1" applyFill="1" applyBorder="1" applyAlignment="1">
      <alignment vertical="center" wrapText="1"/>
    </xf>
    <xf numFmtId="0" fontId="48" fillId="31" borderId="29" xfId="0" applyFont="1" applyFill="1" applyBorder="1" applyAlignment="1">
      <alignment vertical="center" wrapText="1"/>
    </xf>
    <xf numFmtId="0" fontId="48" fillId="31" borderId="28" xfId="0" applyFont="1" applyFill="1" applyBorder="1" applyAlignment="1">
      <alignment vertical="center" wrapText="1"/>
    </xf>
    <xf numFmtId="0" fontId="0" fillId="31" borderId="20" xfId="0" applyFill="1" applyBorder="1" applyAlignment="1">
      <alignment horizontal="center" vertical="center" wrapText="1"/>
    </xf>
    <xf numFmtId="0" fontId="0" fillId="31" borderId="0" xfId="0" applyFill="1" applyBorder="1" applyAlignment="1">
      <alignment horizontal="center" vertical="center" wrapText="1"/>
    </xf>
    <xf numFmtId="0" fontId="48" fillId="31" borderId="30" xfId="0" applyFont="1" applyFill="1" applyBorder="1" applyAlignment="1">
      <alignment vertical="center" wrapText="1"/>
    </xf>
    <xf numFmtId="0" fontId="0" fillId="31" borderId="31" xfId="0" applyFill="1" applyBorder="1" applyAlignment="1">
      <alignment vertical="center" wrapText="1"/>
    </xf>
    <xf numFmtId="0" fontId="0" fillId="31" borderId="31" xfId="0" applyFill="1" applyBorder="1" applyAlignment="1">
      <alignment horizontal="center" vertical="center" wrapText="1"/>
    </xf>
    <xf numFmtId="0" fontId="0" fillId="31" borderId="32" xfId="0" applyFill="1" applyBorder="1" applyAlignment="1">
      <alignment vertical="center" wrapText="1"/>
    </xf>
    <xf numFmtId="0" fontId="48" fillId="31" borderId="20" xfId="0" applyFont="1" applyFill="1" applyBorder="1" applyAlignment="1">
      <alignment horizontal="left" vertical="center" wrapText="1"/>
    </xf>
    <xf numFmtId="0" fontId="0" fillId="31" borderId="20" xfId="0" applyFill="1" applyBorder="1" applyAlignment="1">
      <alignment horizontal="left" vertical="center" wrapText="1"/>
    </xf>
    <xf numFmtId="3" fontId="48" fillId="31" borderId="20" xfId="0" applyNumberFormat="1" applyFont="1" applyFill="1" applyBorder="1" applyAlignment="1">
      <alignment horizontal="right" vertical="center" wrapText="1"/>
    </xf>
    <xf numFmtId="0" fontId="0" fillId="31" borderId="20" xfId="0" applyFont="1" applyFill="1" applyBorder="1" applyAlignment="1">
      <alignment vertical="center" wrapText="1"/>
    </xf>
    <xf numFmtId="0" fontId="0" fillId="32" borderId="20" xfId="0" applyFont="1" applyFill="1" applyBorder="1" applyAlignment="1">
      <alignment vertical="center" wrapText="1"/>
    </xf>
    <xf numFmtId="3" fontId="0" fillId="32" borderId="20" xfId="0" applyNumberFormat="1" applyFill="1" applyBorder="1" applyAlignment="1">
      <alignment vertical="center" wrapText="1"/>
    </xf>
    <xf numFmtId="0" fontId="0" fillId="32" borderId="20" xfId="0" applyFill="1" applyBorder="1" applyAlignment="1">
      <alignment horizontal="center" vertical="center" wrapText="1"/>
    </xf>
    <xf numFmtId="174" fontId="0" fillId="31" borderId="20" xfId="0" applyNumberFormat="1" applyFill="1" applyBorder="1" applyAlignment="1">
      <alignment vertical="center" wrapText="1"/>
    </xf>
    <xf numFmtId="0" fontId="0" fillId="27" borderId="20" xfId="0" applyFill="1" applyBorder="1" applyAlignment="1">
      <alignment horizontal="center" vertical="center" wrapText="1"/>
    </xf>
    <xf numFmtId="169" fontId="0" fillId="27" borderId="20" xfId="0" applyNumberFormat="1" applyFont="1" applyFill="1" applyBorder="1" applyAlignment="1">
      <alignment vertical="center" wrapText="1"/>
    </xf>
    <xf numFmtId="0" fontId="0" fillId="28" borderId="20" xfId="0" applyFont="1" applyFill="1" applyBorder="1" applyAlignment="1">
      <alignment vertical="center" wrapText="1"/>
    </xf>
    <xf numFmtId="0" fontId="4" fillId="28" borderId="20" xfId="0" applyFont="1" applyFill="1" applyBorder="1" applyAlignment="1">
      <alignment vertical="center" wrapText="1"/>
    </xf>
    <xf numFmtId="170" fontId="48" fillId="28" borderId="20" xfId="47" applyNumberFormat="1" applyFont="1" applyFill="1" applyBorder="1" applyAlignment="1">
      <alignment vertical="center" wrapText="1"/>
    </xf>
    <xf numFmtId="165" fontId="4" fillId="27" borderId="20" xfId="0" applyNumberFormat="1" applyFont="1" applyFill="1" applyBorder="1"/>
    <xf numFmtId="0" fontId="4" fillId="27" borderId="20" xfId="0" applyFont="1" applyFill="1" applyBorder="1" applyAlignment="1">
      <alignment horizontal="right" vertical="center"/>
    </xf>
    <xf numFmtId="0" fontId="0" fillId="28" borderId="2" xfId="0" applyFill="1" applyBorder="1" applyAlignment="1">
      <alignment vertical="center" wrapText="1"/>
    </xf>
    <xf numFmtId="0" fontId="0" fillId="28" borderId="3" xfId="0" applyFill="1" applyBorder="1" applyAlignment="1">
      <alignment vertical="center" wrapText="1"/>
    </xf>
    <xf numFmtId="167" fontId="0" fillId="28" borderId="20" xfId="0" applyNumberFormat="1" applyFill="1" applyBorder="1" applyAlignment="1">
      <alignment vertical="center" wrapText="1"/>
    </xf>
    <xf numFmtId="170" fontId="48" fillId="28" borderId="20" xfId="47" applyNumberFormat="1" applyFont="1" applyFill="1" applyBorder="1" applyAlignment="1">
      <alignment horizontal="right" vertical="center" wrapText="1"/>
    </xf>
    <xf numFmtId="3" fontId="48" fillId="28" borderId="20" xfId="0" applyNumberFormat="1" applyFont="1" applyFill="1" applyBorder="1" applyAlignment="1">
      <alignment horizontal="right" vertical="center" wrapText="1"/>
    </xf>
    <xf numFmtId="170" fontId="48" fillId="26" borderId="0" xfId="47" applyNumberFormat="1" applyFont="1" applyFill="1" applyBorder="1" applyAlignment="1">
      <alignment vertical="center" wrapText="1"/>
    </xf>
    <xf numFmtId="0" fontId="40" fillId="28" borderId="1" xfId="0" applyFont="1" applyFill="1" applyBorder="1" applyAlignment="1">
      <alignment vertical="center" wrapText="1"/>
    </xf>
    <xf numFmtId="0" fontId="40" fillId="28" borderId="2" xfId="0" applyFont="1" applyFill="1" applyBorder="1" applyAlignment="1">
      <alignment vertical="center" wrapText="1"/>
    </xf>
    <xf numFmtId="170" fontId="40" fillId="28" borderId="23" xfId="47" applyNumberFormat="1" applyFont="1" applyFill="1" applyBorder="1" applyAlignment="1">
      <alignment vertical="center" wrapText="1"/>
    </xf>
    <xf numFmtId="0" fontId="0" fillId="28" borderId="29" xfId="0" applyFill="1" applyBorder="1" applyAlignment="1">
      <alignment vertical="center" wrapText="1"/>
    </xf>
    <xf numFmtId="0" fontId="4" fillId="27" borderId="28" xfId="0" applyFont="1" applyFill="1" applyBorder="1" applyAlignment="1">
      <alignment vertical="center" wrapText="1"/>
    </xf>
    <xf numFmtId="0" fontId="0" fillId="27" borderId="29" xfId="0" applyFill="1" applyBorder="1" applyAlignment="1">
      <alignment vertical="center" wrapText="1"/>
    </xf>
    <xf numFmtId="0" fontId="0" fillId="27" borderId="28" xfId="0" applyFont="1" applyFill="1" applyBorder="1" applyAlignment="1">
      <alignment vertical="center" wrapText="1"/>
    </xf>
    <xf numFmtId="0" fontId="54" fillId="32" borderId="28" xfId="0" applyFont="1" applyFill="1" applyBorder="1" applyAlignment="1">
      <alignment vertical="center" wrapText="1"/>
    </xf>
    <xf numFmtId="0" fontId="0" fillId="32" borderId="29" xfId="0" applyFill="1" applyBorder="1" applyAlignment="1">
      <alignment vertical="center" wrapText="1"/>
    </xf>
    <xf numFmtId="0" fontId="54" fillId="31" borderId="28" xfId="0" applyFont="1" applyFill="1" applyBorder="1" applyAlignment="1">
      <alignment vertical="center" wrapText="1"/>
    </xf>
    <xf numFmtId="0" fontId="0" fillId="27" borderId="28" xfId="0" applyFill="1" applyBorder="1" applyAlignment="1">
      <alignment vertical="center" wrapText="1"/>
    </xf>
    <xf numFmtId="167" fontId="0" fillId="27" borderId="29" xfId="0" applyNumberFormat="1" applyFill="1" applyBorder="1" applyAlignment="1">
      <alignment vertical="center" wrapText="1"/>
    </xf>
    <xf numFmtId="0" fontId="0" fillId="28" borderId="28" xfId="0" applyFill="1" applyBorder="1" applyAlignment="1">
      <alignment vertical="center" wrapText="1"/>
    </xf>
    <xf numFmtId="167" fontId="0" fillId="28" borderId="29" xfId="0" applyNumberFormat="1" applyFill="1" applyBorder="1" applyAlignment="1">
      <alignment vertical="center" wrapText="1"/>
    </xf>
    <xf numFmtId="0" fontId="4" fillId="28" borderId="28" xfId="0" applyFont="1" applyFill="1" applyBorder="1" applyAlignment="1">
      <alignment vertical="center" wrapText="1"/>
    </xf>
    <xf numFmtId="0" fontId="4" fillId="27" borderId="28" xfId="0" applyFont="1" applyFill="1" applyBorder="1" applyAlignment="1">
      <alignment horizontal="justify" vertical="center"/>
    </xf>
    <xf numFmtId="0" fontId="4" fillId="27" borderId="29" xfId="0" applyFont="1" applyFill="1" applyBorder="1" applyAlignment="1">
      <alignment horizontal="justify" vertical="center"/>
    </xf>
    <xf numFmtId="165" fontId="4" fillId="27" borderId="28" xfId="0" applyNumberFormat="1" applyFont="1" applyFill="1" applyBorder="1"/>
    <xf numFmtId="0" fontId="0" fillId="27" borderId="29" xfId="0" applyFill="1" applyBorder="1" applyAlignment="1">
      <alignment horizontal="justify" vertical="center"/>
    </xf>
    <xf numFmtId="0" fontId="0" fillId="27" borderId="28" xfId="0" applyFill="1" applyBorder="1" applyAlignment="1">
      <alignment horizontal="justify" vertical="center"/>
    </xf>
    <xf numFmtId="0" fontId="4" fillId="27" borderId="29" xfId="0" applyFont="1" applyFill="1" applyBorder="1" applyAlignment="1">
      <alignment vertical="center" wrapText="1"/>
    </xf>
    <xf numFmtId="0" fontId="48" fillId="0" borderId="20" xfId="0" applyFont="1" applyBorder="1" applyAlignment="1">
      <alignment vertical="center"/>
    </xf>
    <xf numFmtId="175" fontId="0" fillId="31" borderId="20" xfId="0" applyNumberFormat="1" applyFill="1" applyBorder="1" applyAlignment="1">
      <alignment horizontal="center" vertical="center" wrapText="1"/>
    </xf>
    <xf numFmtId="14" fontId="0" fillId="24" borderId="20" xfId="0" applyNumberFormat="1" applyFill="1" applyBorder="1"/>
    <xf numFmtId="14" fontId="0" fillId="0" borderId="20" xfId="0" applyNumberFormat="1" applyBorder="1"/>
    <xf numFmtId="0" fontId="3" fillId="0" borderId="0" xfId="49"/>
    <xf numFmtId="0" fontId="57" fillId="0" borderId="33" xfId="49" applyFont="1" applyFill="1" applyBorder="1" applyAlignment="1">
      <alignment horizontal="center"/>
    </xf>
    <xf numFmtId="0" fontId="57" fillId="0" borderId="33" xfId="49" applyFont="1" applyFill="1" applyBorder="1"/>
    <xf numFmtId="0" fontId="57" fillId="0" borderId="33" xfId="49" applyFont="1" applyFill="1" applyBorder="1" applyAlignment="1">
      <alignment wrapText="1"/>
    </xf>
    <xf numFmtId="0" fontId="60" fillId="34" borderId="33" xfId="49" applyFont="1" applyFill="1" applyBorder="1" applyAlignment="1">
      <alignment horizontal="center"/>
    </xf>
    <xf numFmtId="2" fontId="60" fillId="34" borderId="33" xfId="49" applyNumberFormat="1" applyFont="1" applyFill="1" applyBorder="1" applyAlignment="1">
      <alignment horizontal="center" vertical="center"/>
    </xf>
    <xf numFmtId="0" fontId="62" fillId="34" borderId="33" xfId="49" applyFont="1" applyFill="1" applyBorder="1"/>
    <xf numFmtId="170" fontId="0" fillId="0" borderId="0" xfId="50" applyNumberFormat="1" applyFont="1"/>
    <xf numFmtId="2" fontId="60" fillId="34" borderId="34" xfId="49" applyNumberFormat="1" applyFont="1" applyFill="1" applyBorder="1" applyAlignment="1">
      <alignment vertical="center"/>
    </xf>
    <xf numFmtId="2" fontId="60" fillId="34" borderId="35" xfId="49" applyNumberFormat="1" applyFont="1" applyFill="1" applyBorder="1" applyAlignment="1">
      <alignment vertical="center"/>
    </xf>
    <xf numFmtId="2" fontId="60" fillId="34" borderId="36" xfId="49" applyNumberFormat="1" applyFont="1" applyFill="1" applyBorder="1" applyAlignment="1">
      <alignment vertical="center"/>
    </xf>
    <xf numFmtId="175" fontId="57" fillId="0" borderId="34" xfId="49" applyNumberFormat="1" applyFont="1" applyFill="1" applyBorder="1" applyAlignment="1">
      <alignment wrapText="1"/>
    </xf>
    <xf numFmtId="175" fontId="57" fillId="0" borderId="38" xfId="49" applyNumberFormat="1" applyFont="1" applyFill="1" applyBorder="1" applyAlignment="1">
      <alignment wrapText="1"/>
    </xf>
    <xf numFmtId="175" fontId="57" fillId="0" borderId="40" xfId="49" applyNumberFormat="1" applyFont="1" applyFill="1" applyBorder="1" applyAlignment="1">
      <alignment wrapText="1"/>
    </xf>
    <xf numFmtId="175" fontId="57" fillId="0" borderId="41" xfId="49" applyNumberFormat="1" applyFont="1" applyFill="1" applyBorder="1" applyAlignment="1">
      <alignment wrapText="1"/>
    </xf>
    <xf numFmtId="0" fontId="63" fillId="0" borderId="0" xfId="49" applyFont="1" applyBorder="1" applyAlignment="1"/>
    <xf numFmtId="186" fontId="57" fillId="27" borderId="42" xfId="49" applyNumberFormat="1" applyFont="1" applyFill="1" applyBorder="1" applyAlignment="1">
      <alignment wrapText="1"/>
    </xf>
    <xf numFmtId="186" fontId="57" fillId="27" borderId="39" xfId="49" applyNumberFormat="1" applyFont="1" applyFill="1" applyBorder="1" applyAlignment="1">
      <alignment wrapText="1"/>
    </xf>
    <xf numFmtId="0" fontId="0" fillId="0" borderId="20" xfId="0" applyBorder="1" applyAlignment="1">
      <alignment horizontal="left" vertical="center" wrapText="1"/>
    </xf>
    <xf numFmtId="0" fontId="74" fillId="28" borderId="28" xfId="0" applyFont="1" applyFill="1" applyBorder="1" applyAlignment="1">
      <alignment vertical="center" wrapText="1"/>
    </xf>
    <xf numFmtId="14" fontId="0" fillId="0" borderId="20" xfId="0" applyNumberFormat="1" applyFill="1" applyBorder="1"/>
    <xf numFmtId="0" fontId="76" fillId="0" borderId="20" xfId="49" applyFont="1" applyBorder="1"/>
    <xf numFmtId="186" fontId="76" fillId="0" borderId="20" xfId="49" applyNumberFormat="1" applyFont="1" applyBorder="1"/>
    <xf numFmtId="186" fontId="0" fillId="27" borderId="20" xfId="0" applyNumberFormat="1" applyFill="1" applyBorder="1" applyAlignment="1">
      <alignment horizontal="right" vertical="center"/>
    </xf>
    <xf numFmtId="0" fontId="35" fillId="0" borderId="20" xfId="45" applyBorder="1" applyAlignment="1" applyProtection="1">
      <alignment vertical="center" wrapText="1"/>
    </xf>
    <xf numFmtId="0" fontId="0" fillId="0" borderId="20" xfId="0" applyBorder="1" applyAlignment="1">
      <alignment horizontal="center" vertical="center" wrapText="1"/>
    </xf>
    <xf numFmtId="9" fontId="0" fillId="0" borderId="20" xfId="48" applyFont="1" applyBorder="1" applyAlignment="1">
      <alignment horizontal="center" vertical="center" wrapText="1"/>
    </xf>
    <xf numFmtId="0" fontId="48" fillId="35" borderId="20" xfId="0" applyFont="1" applyFill="1" applyBorder="1" applyAlignment="1">
      <alignment horizontal="center" vertical="center" wrapText="1"/>
    </xf>
    <xf numFmtId="0" fontId="0" fillId="35" borderId="20" xfId="0" applyFill="1" applyBorder="1" applyAlignment="1">
      <alignment vertical="center" wrapText="1"/>
    </xf>
    <xf numFmtId="186" fontId="0" fillId="27" borderId="10" xfId="0" applyNumberFormat="1" applyFill="1" applyBorder="1" applyAlignment="1">
      <alignment vertical="center"/>
    </xf>
    <xf numFmtId="0" fontId="0" fillId="0" borderId="20" xfId="0" applyBorder="1" applyAlignment="1">
      <alignment horizontal="left"/>
    </xf>
    <xf numFmtId="0" fontId="0" fillId="27" borderId="20" xfId="0" applyFill="1" applyBorder="1" applyAlignment="1">
      <alignment vertical="center" wrapText="1"/>
    </xf>
    <xf numFmtId="170" fontId="0" fillId="27" borderId="20" xfId="47" applyNumberFormat="1" applyFont="1" applyFill="1" applyBorder="1" applyAlignment="1">
      <alignment horizontal="right" vertical="center" wrapText="1"/>
    </xf>
    <xf numFmtId="0" fontId="76" fillId="0" borderId="20" xfId="121" applyFont="1" applyFill="1" applyBorder="1"/>
    <xf numFmtId="0" fontId="1" fillId="0" borderId="20" xfId="121" applyFont="1" applyFill="1" applyBorder="1" applyAlignment="1">
      <alignment horizontal="left"/>
    </xf>
    <xf numFmtId="173" fontId="2" fillId="0" borderId="20" xfId="121" applyNumberFormat="1" applyFill="1" applyBorder="1"/>
    <xf numFmtId="17" fontId="2" fillId="0" borderId="20" xfId="121" applyNumberFormat="1" applyFill="1" applyBorder="1" applyAlignment="1">
      <alignment horizontal="left"/>
    </xf>
    <xf numFmtId="0" fontId="2" fillId="0" borderId="20" xfId="121" applyFill="1" applyBorder="1" applyAlignment="1">
      <alignment horizontal="left"/>
    </xf>
    <xf numFmtId="0" fontId="76" fillId="0" borderId="20" xfId="121" applyFont="1" applyFill="1" applyBorder="1" applyAlignment="1">
      <alignment horizontal="left"/>
    </xf>
    <xf numFmtId="3" fontId="76" fillId="0" borderId="20" xfId="121" applyNumberFormat="1" applyFont="1" applyFill="1" applyBorder="1"/>
    <xf numFmtId="0" fontId="78" fillId="0" borderId="3" xfId="0" applyFont="1" applyBorder="1" applyAlignment="1">
      <alignment vertical="center"/>
    </xf>
    <xf numFmtId="0" fontId="78" fillId="0" borderId="3" xfId="0" applyFont="1" applyBorder="1" applyAlignment="1">
      <alignment vertical="center" wrapText="1"/>
    </xf>
    <xf numFmtId="0" fontId="77" fillId="0" borderId="46" xfId="0" applyFont="1" applyBorder="1" applyAlignment="1">
      <alignment vertical="center" wrapText="1"/>
    </xf>
    <xf numFmtId="0" fontId="77" fillId="0" borderId="11" xfId="0" applyFont="1" applyBorder="1" applyAlignment="1">
      <alignment vertical="center"/>
    </xf>
    <xf numFmtId="0" fontId="77" fillId="0" borderId="46" xfId="0" applyFont="1" applyBorder="1" applyAlignment="1">
      <alignment vertical="center"/>
    </xf>
    <xf numFmtId="3" fontId="77" fillId="0" borderId="11" xfId="0" applyNumberFormat="1" applyFont="1" applyBorder="1" applyAlignment="1">
      <alignment vertical="center"/>
    </xf>
    <xf numFmtId="0" fontId="78" fillId="0" borderId="23" xfId="0" applyFont="1" applyBorder="1" applyAlignment="1">
      <alignment vertical="center" wrapText="1"/>
    </xf>
    <xf numFmtId="1" fontId="79" fillId="0" borderId="11" xfId="0" applyNumberFormat="1" applyFont="1" applyBorder="1" applyAlignment="1">
      <alignment vertical="center"/>
    </xf>
    <xf numFmtId="3" fontId="79" fillId="0" borderId="11" xfId="0" applyNumberFormat="1" applyFont="1" applyBorder="1" applyAlignment="1">
      <alignment vertical="center"/>
    </xf>
    <xf numFmtId="166" fontId="0" fillId="0" borderId="20" xfId="48" applyNumberFormat="1" applyFont="1" applyBorder="1" applyAlignment="1">
      <alignment horizontal="center" vertical="center" wrapText="1"/>
    </xf>
    <xf numFmtId="0" fontId="0" fillId="30" borderId="5" xfId="0" applyFont="1" applyFill="1" applyBorder="1" applyAlignment="1">
      <alignment vertical="center" wrapText="1"/>
    </xf>
    <xf numFmtId="0" fontId="48" fillId="0" borderId="0" xfId="0" applyFont="1" applyAlignment="1">
      <alignment vertical="center" wrapText="1"/>
    </xf>
    <xf numFmtId="9" fontId="48" fillId="0" borderId="0" xfId="0" applyNumberFormat="1" applyFont="1" applyAlignment="1">
      <alignment vertical="center"/>
    </xf>
    <xf numFmtId="0" fontId="80" fillId="0" borderId="0" xfId="45" applyFont="1" applyAlignment="1" applyProtection="1">
      <alignment horizontal="center" vertical="center"/>
    </xf>
    <xf numFmtId="0" fontId="79" fillId="0" borderId="1" xfId="0" applyFont="1" applyBorder="1" applyAlignment="1">
      <alignment vertical="center"/>
    </xf>
    <xf numFmtId="0" fontId="79" fillId="0" borderId="3" xfId="0" applyFont="1" applyBorder="1" applyAlignment="1">
      <alignment vertical="center"/>
    </xf>
    <xf numFmtId="0" fontId="56" fillId="33" borderId="25" xfId="0" applyFont="1" applyFill="1" applyBorder="1" applyAlignment="1">
      <alignment horizontal="center" vertical="center" wrapText="1"/>
    </xf>
    <xf numFmtId="0" fontId="56" fillId="33" borderId="26" xfId="0" applyFont="1" applyFill="1" applyBorder="1" applyAlignment="1">
      <alignment horizontal="center" vertical="center" wrapText="1"/>
    </xf>
    <xf numFmtId="0" fontId="56" fillId="33" borderId="27" xfId="0" applyFont="1" applyFill="1" applyBorder="1" applyAlignment="1">
      <alignment horizontal="center" vertical="center" wrapText="1"/>
    </xf>
    <xf numFmtId="0" fontId="48" fillId="0" borderId="31" xfId="0" applyFont="1" applyBorder="1" applyAlignment="1">
      <alignment horizontal="center" vertical="center" wrapText="1"/>
    </xf>
    <xf numFmtId="0" fontId="48" fillId="0" borderId="44" xfId="0" applyFont="1" applyBorder="1" applyAlignment="1">
      <alignment horizontal="center" vertical="center" wrapText="1"/>
    </xf>
    <xf numFmtId="0" fontId="48" fillId="24" borderId="0" xfId="0" applyFont="1" applyFill="1" applyAlignment="1">
      <alignment horizontal="center" vertical="center" wrapText="1"/>
    </xf>
    <xf numFmtId="0" fontId="48" fillId="24" borderId="45" xfId="0" applyFont="1" applyFill="1" applyBorder="1" applyAlignment="1">
      <alignment horizontal="center" vertical="center" wrapText="1"/>
    </xf>
    <xf numFmtId="0" fontId="52" fillId="31" borderId="25" xfId="0" applyFont="1" applyFill="1" applyBorder="1" applyAlignment="1">
      <alignment horizontal="center" vertical="center" wrapText="1"/>
    </xf>
    <xf numFmtId="0" fontId="52" fillId="31" borderId="26" xfId="0" applyFont="1" applyFill="1" applyBorder="1" applyAlignment="1">
      <alignment horizontal="center" vertical="center" wrapText="1"/>
    </xf>
    <xf numFmtId="0" fontId="52" fillId="31" borderId="27" xfId="0" applyFont="1" applyFill="1" applyBorder="1" applyAlignment="1">
      <alignment horizontal="center" vertical="center" wrapText="1"/>
    </xf>
    <xf numFmtId="0" fontId="76" fillId="0" borderId="20" xfId="12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0" xfId="0" applyBorder="1" applyAlignment="1">
      <alignment horizontal="left"/>
    </xf>
    <xf numFmtId="0" fontId="0" fillId="23" borderId="20" xfId="0" applyFill="1" applyBorder="1" applyAlignment="1">
      <alignment horizontal="center"/>
    </xf>
    <xf numFmtId="0" fontId="40" fillId="23" borderId="4" xfId="0" applyFont="1" applyFill="1" applyBorder="1" applyAlignment="1">
      <alignment horizontal="center" vertical="center"/>
    </xf>
    <xf numFmtId="0" fontId="40" fillId="23" borderId="5" xfId="0" applyFont="1" applyFill="1" applyBorder="1" applyAlignment="1">
      <alignment horizontal="center" vertical="center"/>
    </xf>
    <xf numFmtId="0" fontId="40" fillId="23" borderId="6" xfId="0" applyFont="1" applyFill="1" applyBorder="1" applyAlignment="1">
      <alignment horizontal="center" vertical="center"/>
    </xf>
    <xf numFmtId="0" fontId="40" fillId="23" borderId="9" xfId="0" applyFont="1" applyFill="1" applyBorder="1" applyAlignment="1">
      <alignment horizontal="center" vertical="center"/>
    </xf>
    <xf numFmtId="0" fontId="40" fillId="23" borderId="10" xfId="0" applyFont="1" applyFill="1" applyBorder="1" applyAlignment="1">
      <alignment horizontal="center" vertical="center"/>
    </xf>
    <xf numFmtId="0" fontId="40" fillId="23" borderId="11" xfId="0" applyFont="1" applyFill="1" applyBorder="1" applyAlignment="1">
      <alignment horizontal="center" vertical="center"/>
    </xf>
    <xf numFmtId="0" fontId="36" fillId="0" borderId="20" xfId="0" applyFont="1" applyBorder="1" applyAlignment="1">
      <alignment horizontal="center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0" xfId="0" applyBorder="1" applyAlignment="1">
      <alignment horizontal="left" vertical="center" wrapText="1"/>
    </xf>
    <xf numFmtId="0" fontId="35" fillId="0" borderId="24" xfId="45" applyBorder="1" applyAlignment="1" applyProtection="1">
      <alignment horizontal="center" vertical="center"/>
    </xf>
    <xf numFmtId="0" fontId="0" fillId="26" borderId="20" xfId="0" applyFill="1" applyBorder="1" applyAlignment="1">
      <alignment horizontal="center" vertical="center"/>
    </xf>
    <xf numFmtId="2" fontId="60" fillId="34" borderId="43" xfId="49" applyNumberFormat="1" applyFont="1" applyFill="1" applyBorder="1" applyAlignment="1">
      <alignment horizontal="left" vertical="center"/>
    </xf>
    <xf numFmtId="2" fontId="60" fillId="34" borderId="37" xfId="49" applyNumberFormat="1" applyFont="1" applyFill="1" applyBorder="1" applyAlignment="1">
      <alignment horizontal="left" vertical="center"/>
    </xf>
    <xf numFmtId="0" fontId="63" fillId="0" borderId="0" xfId="49" applyFont="1" applyBorder="1" applyAlignment="1">
      <alignment horizontal="center" vertical="center" wrapText="1"/>
    </xf>
    <xf numFmtId="166" fontId="48" fillId="0" borderId="0" xfId="48" applyNumberFormat="1" applyFont="1" applyAlignment="1">
      <alignment vertical="center"/>
    </xf>
  </cellXfs>
  <cellStyles count="122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2x indented GHG Textfiels" xfId="51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inlik Ayracı 2" xfId="52"/>
    <cellStyle name="Binlik Ayracı 2 2" xfId="53"/>
    <cellStyle name="Binlik Ayracı 3" xfId="54"/>
    <cellStyle name="Binlik Ayracı 4" xfId="55"/>
    <cellStyle name="Binlik Ayracı 5" xfId="56"/>
    <cellStyle name="Binlik Ayracı 6" xfId="57"/>
    <cellStyle name="Binlik Ayracı 6 2" xfId="58"/>
    <cellStyle name="Calculation" xfId="28"/>
    <cellStyle name="Check Cell" xfId="29"/>
    <cellStyle name="Comma [0]_657 4-B%25" xfId="59"/>
    <cellStyle name="Comma 2" xfId="60"/>
    <cellStyle name="Comma_657 4-B%25" xfId="61"/>
    <cellStyle name="Constants" xfId="62"/>
    <cellStyle name="Currency [0]_657 4-B%25" xfId="63"/>
    <cellStyle name="Currency_657 4-B%25" xfId="64"/>
    <cellStyle name="Empty_TBorder" xfId="65"/>
    <cellStyle name="Euro" xfId="66"/>
    <cellStyle name="Explanatory Text" xfId="30"/>
    <cellStyle name="F2" xfId="67"/>
    <cellStyle name="F3" xfId="68"/>
    <cellStyle name="F4" xfId="69"/>
    <cellStyle name="F5" xfId="70"/>
    <cellStyle name="F6" xfId="71"/>
    <cellStyle name="F7" xfId="72"/>
    <cellStyle name="F8" xfId="73"/>
    <cellStyle name="Followed Hyperlink" xfId="74"/>
    <cellStyle name="Good" xfId="31"/>
    <cellStyle name="Heading 1" xfId="32"/>
    <cellStyle name="Heading 2" xfId="33"/>
    <cellStyle name="Heading 3" xfId="34"/>
    <cellStyle name="Heading 4" xfId="35"/>
    <cellStyle name="Headline" xfId="75"/>
    <cellStyle name="Hyperlink" xfId="76"/>
    <cellStyle name="Input" xfId="36"/>
    <cellStyle name="Köprü" xfId="45" builtinId="8"/>
    <cellStyle name="Köprü 2" xfId="77"/>
    <cellStyle name="Linked Cell" xfId="37"/>
    <cellStyle name="Normal" xfId="0" builtinId="0"/>
    <cellStyle name="Normal - Style1" xfId="78"/>
    <cellStyle name="Normal 10" xfId="79"/>
    <cellStyle name="Normal 11" xfId="80"/>
    <cellStyle name="Normal 12" xfId="81"/>
    <cellStyle name="Normal 13" xfId="82"/>
    <cellStyle name="Normal 14" xfId="83"/>
    <cellStyle name="Normal 15" xfId="84"/>
    <cellStyle name="Normal 16" xfId="85"/>
    <cellStyle name="Normal 17" xfId="86"/>
    <cellStyle name="Normal 18" xfId="87"/>
    <cellStyle name="Normal 19" xfId="88"/>
    <cellStyle name="Normal 2" xfId="1"/>
    <cellStyle name="Normal 2 2" xfId="2"/>
    <cellStyle name="Normal 2 2 2" xfId="89"/>
    <cellStyle name="Normal 2 2 2 2" xfId="90"/>
    <cellStyle name="Normal 2 3" xfId="91"/>
    <cellStyle name="Normal 2 4" xfId="92"/>
    <cellStyle name="Normal 2 4 2" xfId="93"/>
    <cellStyle name="Normal 2 5" xfId="94"/>
    <cellStyle name="Normal 2_Calculator" xfId="38"/>
    <cellStyle name="Normal 20" xfId="95"/>
    <cellStyle name="Normal 21" xfId="96"/>
    <cellStyle name="Normal 22" xfId="97"/>
    <cellStyle name="Normal 23" xfId="98"/>
    <cellStyle name="Normal 24" xfId="99"/>
    <cellStyle name="Normal 25" xfId="100"/>
    <cellStyle name="Normal 26" xfId="121"/>
    <cellStyle name="Normal 3" xfId="39"/>
    <cellStyle name="Normal 3 2" xfId="101"/>
    <cellStyle name="Normal 3 3" xfId="102"/>
    <cellStyle name="Normal 4" xfId="49"/>
    <cellStyle name="Normal 4 2" xfId="103"/>
    <cellStyle name="Normal 5" xfId="104"/>
    <cellStyle name="Normal 5 2" xfId="105"/>
    <cellStyle name="Normal 5 2 2" xfId="106"/>
    <cellStyle name="Normal 6" xfId="107"/>
    <cellStyle name="Normal 6 2" xfId="108"/>
    <cellStyle name="Normal 7" xfId="109"/>
    <cellStyle name="Normal 7 2" xfId="110"/>
    <cellStyle name="Normal 8" xfId="111"/>
    <cellStyle name="Normal 8 2" xfId="112"/>
    <cellStyle name="Normal 8 2 2" xfId="113"/>
    <cellStyle name="Normal 9" xfId="114"/>
    <cellStyle name="Normal GHG Textfiels Bold" xfId="115"/>
    <cellStyle name="Note" xfId="40"/>
    <cellStyle name="Output" xfId="41"/>
    <cellStyle name="Title" xfId="42"/>
    <cellStyle name="Virgül" xfId="47" builtinId="3"/>
    <cellStyle name="Virgül [0]_08-01" xfId="116"/>
    <cellStyle name="Virgül 2" xfId="44"/>
    <cellStyle name="Virgül 3" xfId="50"/>
    <cellStyle name="Virgül 4" xfId="117"/>
    <cellStyle name="Warning Text" xfId="43"/>
    <cellStyle name="Yüzde" xfId="48" builtinId="5"/>
    <cellStyle name="Yüzde 2" xfId="46"/>
    <cellStyle name="Yüzde 3" xfId="118"/>
    <cellStyle name="Yüzde 3 2" xfId="119"/>
    <cellStyle name="Yüzde 4" xfId="12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34" Type="http://schemas.openxmlformats.org/officeDocument/2006/relationships/externalLink" Target="externalLinks/externalLink2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2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externalLink" Target="externalLinks/externalLink2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externalLink" Target="externalLinks/externalLink26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externalLink" Target="externalLinks/externalLink2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tm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66675</xdr:rowOff>
    </xdr:from>
    <xdr:to>
      <xdr:col>10</xdr:col>
      <xdr:colOff>344188</xdr:colOff>
      <xdr:row>40</xdr:row>
      <xdr:rowOff>114939</xdr:rowOff>
    </xdr:to>
    <xdr:pic>
      <xdr:nvPicPr>
        <xdr:cNvPr id="4" name="Resim 3" descr="Ekran Kırpma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76425"/>
          <a:ext cx="9231013" cy="45821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830222</xdr:colOff>
      <xdr:row>7</xdr:row>
      <xdr:rowOff>162</xdr:rowOff>
    </xdr:to>
    <xdr:pic>
      <xdr:nvPicPr>
        <xdr:cNvPr id="3" name="Resim 2" descr="Ekran Kırpma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088647" cy="11622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246530</xdr:colOff>
      <xdr:row>36</xdr:row>
      <xdr:rowOff>33618</xdr:rowOff>
    </xdr:from>
    <xdr:to>
      <xdr:col>4</xdr:col>
      <xdr:colOff>1514608</xdr:colOff>
      <xdr:row>36</xdr:row>
      <xdr:rowOff>557919</xdr:rowOff>
    </xdr:to>
    <xdr:pic>
      <xdr:nvPicPr>
        <xdr:cNvPr id="4" name="Resim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78706" y="21011030"/>
          <a:ext cx="1268078" cy="524301"/>
        </a:xfrm>
        <a:prstGeom prst="rect">
          <a:avLst/>
        </a:prstGeom>
      </xdr:spPr>
    </xdr:pic>
    <xdr:clientData/>
  </xdr:twoCellAnchor>
  <xdr:twoCellAnchor editAs="oneCell">
    <xdr:from>
      <xdr:col>4</xdr:col>
      <xdr:colOff>134472</xdr:colOff>
      <xdr:row>32</xdr:row>
      <xdr:rowOff>78442</xdr:rowOff>
    </xdr:from>
    <xdr:to>
      <xdr:col>4</xdr:col>
      <xdr:colOff>1725666</xdr:colOff>
      <xdr:row>32</xdr:row>
      <xdr:rowOff>480813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6648" y="19363766"/>
          <a:ext cx="1591194" cy="402371"/>
        </a:xfrm>
        <a:prstGeom prst="rect">
          <a:avLst/>
        </a:prstGeom>
      </xdr:spPr>
    </xdr:pic>
    <xdr:clientData/>
  </xdr:twoCellAnchor>
  <xdr:twoCellAnchor editAs="oneCell">
    <xdr:from>
      <xdr:col>4</xdr:col>
      <xdr:colOff>11206</xdr:colOff>
      <xdr:row>2</xdr:row>
      <xdr:rowOff>71110</xdr:rowOff>
    </xdr:from>
    <xdr:to>
      <xdr:col>4</xdr:col>
      <xdr:colOff>2801471</xdr:colOff>
      <xdr:row>2</xdr:row>
      <xdr:rowOff>784411</xdr:rowOff>
    </xdr:to>
    <xdr:pic>
      <xdr:nvPicPr>
        <xdr:cNvPr id="2" name="Resim 1" descr="Ekran Kırpma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7853" y="227992"/>
          <a:ext cx="2790265" cy="7133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447676</xdr:colOff>
      <xdr:row>2</xdr:row>
      <xdr:rowOff>180853</xdr:rowOff>
    </xdr:from>
    <xdr:to>
      <xdr:col>12</xdr:col>
      <xdr:colOff>124346</xdr:colOff>
      <xdr:row>32</xdr:row>
      <xdr:rowOff>114958</xdr:rowOff>
    </xdr:to>
    <xdr:pic>
      <xdr:nvPicPr>
        <xdr:cNvPr id="3" name="Resim 2" descr="Ekran Kırpma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1" y="809503"/>
          <a:ext cx="4477270" cy="56681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)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)B.2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)B.3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)B.4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)B.5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I)1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I)2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I)3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I)4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)Recalculation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ccounting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)A.1.1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NIR-1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IR-2.1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NIR-2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NIR-3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2/Option%202%20for%20sheet%20to%20calculate%20grid%20emision%20factor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demirkol/Downloads/CDM_1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SDM/Clean%20Development%20Mechanism%20(CDM)/CDM02-Methodology/Meth%20Development%20and%20Improvement/Revision%20of%20methodologies%20and%20tools/Gaseous%20flow%20tool/Excel%20calculator/Excel%20spreadsheet%20for%20tool_v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)A.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)A.2.1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)A.2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)B.1.1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)B.1.2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)B.1.3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)B.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(KP)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(KP-I)B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(KP-I)B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(KP-I)B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(KP-I)B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(KP-II)1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(KP-II)2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(KP-II)3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(KP-II)4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(KP)Recalculations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ounting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(KP-I)A.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IR-1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IR-2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IR-2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IR-3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_TITLE"/>
      <sheetName val="METHOD_FLOW_CHART"/>
      <sheetName val="INPUT_OUTPUT"/>
      <sheetName val="SIMPLE_OM_GRID_OPTION_A_DATA"/>
      <sheetName val="SIMPLE_OM_GRID_OPTION_A"/>
      <sheetName val="SIMPLE_OM_GRID_OPTION_B_DATA"/>
      <sheetName val="SIMPLE_OM_GRID_OPTION_B"/>
      <sheetName val="LAMBDA"/>
      <sheetName val="SIMPLE_OM_ADJUSTED_DATA"/>
      <sheetName val="SIMPLE_OM_ADJUSTED"/>
      <sheetName val="D_DATA_ANALYS_OM_OP1_ DATA"/>
      <sheetName val="D_DATA_ANALYS_OM_OP1"/>
      <sheetName val="D_DATA_ANALYS_OM_OP2_ DATA"/>
      <sheetName val="D_DATA_ANALYS_OM_OP2"/>
      <sheetName val="AVERAGE_OM_OPTION_A_DATA"/>
      <sheetName val="AVERAGE_OM_OPTION_A"/>
      <sheetName val="AVERAGE_OM_OPTION_B_DATA"/>
      <sheetName val="AVERAGE_OM_OPTION_B"/>
      <sheetName val="BUILD_MARGIN_DATA"/>
      <sheetName val="BUILD_MARGIN"/>
      <sheetName val="CONVERTION_FACTO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B3" t="str">
            <v>[kCal]</v>
          </cell>
          <cell r="G3" t="str">
            <v>[tCO2/unit]</v>
          </cell>
          <cell r="H3" t="str">
            <v>[kWh]</v>
          </cell>
        </row>
        <row r="4">
          <cell r="B4" t="str">
            <v>[BTU]</v>
          </cell>
          <cell r="G4" t="str">
            <v>[tCO2/GJ]</v>
          </cell>
          <cell r="H4" t="str">
            <v>[MWh]</v>
          </cell>
        </row>
        <row r="5">
          <cell r="B5" t="str">
            <v>[GJ]</v>
          </cell>
          <cell r="H5" t="str">
            <v>[GWh]</v>
          </cell>
        </row>
        <row r="6">
          <cell r="B6" t="str">
            <v>[MMBTU]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_TITLE"/>
      <sheetName val="INPUT_OUTPUT"/>
      <sheetName val="SIMPLE_OM_GRID_OPTION_A_DATA"/>
      <sheetName val="SIMPLE_OM_GRID_OPTION_A"/>
      <sheetName val="SIMPLE_OM_GRID_OPTION_B_DATA"/>
      <sheetName val="SIMPLE_OM_GRID_OPTION_B"/>
      <sheetName val="LAMBDA"/>
      <sheetName val="SIMPLE_OM_ADJUSTED_DATA"/>
      <sheetName val="SIMPLE_OM_ADJUSTED"/>
      <sheetName val="D_DATA_ANALYS_OM_OP1_ DATA"/>
      <sheetName val="D_DATA_ANALYS_OM_OP1"/>
      <sheetName val="D_DATA_ANALYS_OM_OP2_ DATA"/>
      <sheetName val="D_DATA_ANALYS_OM_OP2"/>
      <sheetName val="AVERAGE_OM_OPTION_A_DATA"/>
      <sheetName val="AVERAGE_OM_OPTION_A"/>
      <sheetName val="AVERAGE_OM_OPTION_B_DATA"/>
      <sheetName val="AVERAGE_OM_OPTION_B"/>
      <sheetName val="BUILDING_MARGIN_DATA"/>
      <sheetName val="BUILDING_MARGIN"/>
      <sheetName val="CONVERTION_FAC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">
          <cell r="B3" t="str">
            <v>[kCal]</v>
          </cell>
          <cell r="G3" t="str">
            <v>[tCO2/unit]</v>
          </cell>
          <cell r="H3" t="str">
            <v>[kWh]</v>
          </cell>
        </row>
        <row r="4">
          <cell r="B4" t="str">
            <v>[BTU]</v>
          </cell>
          <cell r="G4" t="str">
            <v>[tCO2/GJ]</v>
          </cell>
          <cell r="H4" t="str">
            <v>[MWh]</v>
          </cell>
        </row>
        <row r="5">
          <cell r="B5" t="str">
            <v>[GJ]</v>
          </cell>
          <cell r="H5" t="str">
            <v>[GWh]</v>
          </cell>
        </row>
        <row r="6">
          <cell r="B6" t="str">
            <v>[MMBTU]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ons"/>
      <sheetName val="Calculation options"/>
      <sheetName val="Measurement option"/>
      <sheetName val="A and B"/>
      <sheetName val="C"/>
      <sheetName val="D"/>
      <sheetName val="C (2)"/>
      <sheetName val="E and F"/>
      <sheetName val="Option A"/>
      <sheetName val="List of 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16">
          <cell r="B116" t="str">
            <v>C2F6</v>
          </cell>
        </row>
        <row r="117">
          <cell r="B117" t="str">
            <v>C3F8</v>
          </cell>
        </row>
        <row r="118">
          <cell r="B118" t="str">
            <v>C4F10</v>
          </cell>
        </row>
        <row r="119">
          <cell r="B119" t="str">
            <v>C5F12</v>
          </cell>
        </row>
        <row r="120">
          <cell r="B120" t="str">
            <v>C6F14</v>
          </cell>
        </row>
        <row r="121">
          <cell r="B121" t="str">
            <v>c-C4F8</v>
          </cell>
        </row>
        <row r="122">
          <cell r="B122" t="str">
            <v>CF4</v>
          </cell>
        </row>
        <row r="123">
          <cell r="B123" t="str">
            <v>CH4</v>
          </cell>
        </row>
        <row r="124">
          <cell r="B124" t="str">
            <v>CO2</v>
          </cell>
        </row>
        <row r="125">
          <cell r="B125" t="str">
            <v>N2O</v>
          </cell>
        </row>
        <row r="126">
          <cell r="B126" t="str">
            <v>SF6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(KP-I)A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(KP-I)A.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(KP-I)A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(KP-I)B.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(KP-I)B.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(KP-I)B.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(KP-I)B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gm.gov.tr/veridegerlendirme/il-ve-ilceler-istatistik.aspx?m=IZMIR" TargetMode="External"/><Relationship Id="rId1" Type="http://schemas.openxmlformats.org/officeDocument/2006/relationships/hyperlink" Target="https://www.ipcc-nggip.iges.or.jp/public/2006gl/pdf/4_Volume4/V4_10_Ch10_Livestock.pdf" TargetMode="External"/><Relationship Id="rId4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s://arastirma.tarimorman.gov.tr/tavukculuk/Belgeler/web%20English%20Doc/journal%20(Dergimiz)/Dergimiz%20Cilt%2011%20Sayi%201/Cilt%2011%20Sayi%201%20Makale%204%20Yeni%20Bir%20Teknoloji%20ile%20Kurutulan%20Tavuk%20D%C4%B1%C5%9Fk%C4%B1s%C4%B1n%C4%B1n.pdf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www.ipcc-nggip.iges.or.jp/public/gp/bgp/4_2_CH4_and_N2O_Livestock_Manure.pdf" TargetMode="External"/><Relationship Id="rId1" Type="http://schemas.openxmlformats.org/officeDocument/2006/relationships/hyperlink" Target="http://www.steamtablesonline.com/steam97web.aspx" TargetMode="External"/><Relationship Id="rId6" Type="http://schemas.openxmlformats.org/officeDocument/2006/relationships/hyperlink" Target="https://biyogazder.org/makaleler/mak12.pdf" TargetMode="External"/><Relationship Id="rId5" Type="http://schemas.openxmlformats.org/officeDocument/2006/relationships/hyperlink" Target="https://arastirma.tarimorman.gov.tr/tavukculuk/Belgeler/web%20English%20Doc/journal%20(Dergimiz)/Dergimiz%20Cilt%2011%20Sayi%201/Cilt%2011%20Sayi%201%20Makale%204%20Yeni%20Bir%20Teknoloji%20ile%20Kurutulan%20Tavuk%20D%C4%B1%C5%9Fk%C4%B1s%C4%B1n%C4%B1n.pdf" TargetMode="External"/><Relationship Id="rId4" Type="http://schemas.openxmlformats.org/officeDocument/2006/relationships/hyperlink" Target="https://arastirma.tarimorman.gov.tr/tavukculuk/Belgeler/web%20English%20Doc/journal%20(Dergimiz)/Dergimiz%20Cilt%2011%20Sayi%201/Cilt%2011%20Sayi%201%20Makale%204%20Yeni%20Bir%20Teknoloji%20ile%20Kurutulan%20Tavuk%20D%C4%B1%C5%9Fk%C4%B1s%C4%B1n%C4%B1n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epdk.gov.tr/Detay/DownloadDocument?id=4xYFYUovbAI=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unfccc.int/documents/223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8" sqref="C8"/>
    </sheetView>
  </sheetViews>
  <sheetFormatPr defaultColWidth="9" defaultRowHeight="12.75"/>
  <sheetData/>
  <phoneticPr fontId="7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E15" sqref="E15"/>
    </sheetView>
  </sheetViews>
  <sheetFormatPr defaultRowHeight="15"/>
  <cols>
    <col min="1" max="1" width="46.125" style="204" customWidth="1"/>
    <col min="2" max="3" width="12.125" style="204" customWidth="1"/>
    <col min="4" max="4" width="9" style="204"/>
    <col min="5" max="5" width="12.25" style="204" bestFit="1" customWidth="1"/>
    <col min="6" max="16384" width="9" style="204"/>
  </cols>
  <sheetData>
    <row r="1" spans="1:12" ht="34.5" customHeight="1" thickBot="1">
      <c r="A1" s="287" t="s">
        <v>270</v>
      </c>
      <c r="B1" s="288"/>
      <c r="C1" s="288"/>
      <c r="D1" s="288"/>
      <c r="E1" s="288"/>
      <c r="F1" s="219"/>
      <c r="G1" s="289" t="s">
        <v>271</v>
      </c>
      <c r="H1" s="289"/>
      <c r="I1" s="289"/>
      <c r="J1" s="289"/>
      <c r="K1" s="289"/>
      <c r="L1" s="289"/>
    </row>
    <row r="2" spans="1:12">
      <c r="A2" s="207" t="s">
        <v>269</v>
      </c>
      <c r="B2" s="220">
        <v>0.7258</v>
      </c>
      <c r="C2" s="218"/>
      <c r="D2" s="218"/>
      <c r="E2" s="217"/>
      <c r="G2" s="289"/>
      <c r="H2" s="289"/>
      <c r="I2" s="289"/>
      <c r="J2" s="289"/>
      <c r="K2" s="289"/>
      <c r="L2" s="289"/>
    </row>
    <row r="3" spans="1:12">
      <c r="A3" s="207" t="s">
        <v>268</v>
      </c>
      <c r="B3" s="221">
        <v>0.4153</v>
      </c>
      <c r="C3" s="216"/>
      <c r="D3" s="216"/>
      <c r="E3" s="215"/>
      <c r="G3" s="289"/>
      <c r="H3" s="289"/>
      <c r="I3" s="289"/>
      <c r="J3" s="289"/>
      <c r="K3" s="289"/>
      <c r="L3" s="289"/>
    </row>
    <row r="4" spans="1:12">
      <c r="A4" s="214" t="s">
        <v>267</v>
      </c>
      <c r="B4" s="213"/>
      <c r="C4" s="212"/>
      <c r="E4" s="211"/>
    </row>
    <row r="5" spans="1:12">
      <c r="A5" s="210"/>
      <c r="B5" s="209" t="s">
        <v>266</v>
      </c>
      <c r="C5" s="208" t="s">
        <v>265</v>
      </c>
    </row>
    <row r="6" spans="1:12">
      <c r="A6" s="207" t="s">
        <v>264</v>
      </c>
      <c r="B6" s="205">
        <v>0.75</v>
      </c>
      <c r="C6" s="205">
        <v>0.25</v>
      </c>
    </row>
    <row r="7" spans="1:12" ht="15.75">
      <c r="A7" s="207" t="s">
        <v>263</v>
      </c>
      <c r="B7" s="205">
        <v>0.5</v>
      </c>
      <c r="C7" s="205">
        <v>0.5</v>
      </c>
    </row>
    <row r="8" spans="1:12" ht="15.75">
      <c r="A8" s="206" t="s">
        <v>262</v>
      </c>
      <c r="B8" s="205">
        <v>0.25</v>
      </c>
      <c r="C8" s="205">
        <v>0.75</v>
      </c>
    </row>
    <row r="10" spans="1:12">
      <c r="A10" s="225" t="s">
        <v>336</v>
      </c>
      <c r="B10" s="226">
        <f>+(B2*B7)+(B3*C7)</f>
        <v>0.57055</v>
      </c>
    </row>
  </sheetData>
  <mergeCells count="2">
    <mergeCell ref="A1:E1"/>
    <mergeCell ref="G1:L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/>
  <sheetData/>
  <phoneticPr fontId="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3"/>
  <sheetViews>
    <sheetView workbookViewId="0">
      <selection activeCell="M14" sqref="M14"/>
    </sheetView>
  </sheetViews>
  <sheetFormatPr defaultRowHeight="12.75"/>
  <cols>
    <col min="1" max="1" width="23.5" customWidth="1"/>
    <col min="2" max="2" width="14.625" customWidth="1"/>
    <col min="3" max="3" width="15.5" customWidth="1"/>
    <col min="13" max="13" width="11.5" customWidth="1"/>
  </cols>
  <sheetData>
    <row r="2" spans="1:8" ht="15">
      <c r="A2" s="29"/>
      <c r="B2" s="29"/>
      <c r="C2" s="29"/>
      <c r="D2" s="29"/>
      <c r="E2" s="29"/>
      <c r="F2" s="29"/>
      <c r="G2" s="30"/>
      <c r="H2" s="30"/>
    </row>
    <row r="3" spans="1:8">
      <c r="A3" s="30"/>
      <c r="B3" s="30"/>
      <c r="C3" s="30"/>
      <c r="D3" s="30"/>
      <c r="E3" s="30"/>
      <c r="F3" s="30"/>
      <c r="G3" s="30"/>
      <c r="H3" s="30"/>
    </row>
    <row r="9" spans="1:8">
      <c r="A9" s="22" t="s">
        <v>338</v>
      </c>
    </row>
    <row r="10" spans="1:8">
      <c r="A10" s="22"/>
    </row>
    <row r="11" spans="1:8" ht="38.25">
      <c r="A11" s="257" t="s">
        <v>339</v>
      </c>
      <c r="B11" s="255" t="s">
        <v>344</v>
      </c>
      <c r="C11" s="255" t="s">
        <v>340</v>
      </c>
    </row>
    <row r="12" spans="1:8">
      <c r="A12" s="257"/>
      <c r="B12" s="256">
        <v>0.76</v>
      </c>
      <c r="C12" s="290">
        <f>+B12*0.94</f>
        <v>0.71439999999999992</v>
      </c>
    </row>
    <row r="43" spans="1:1">
      <c r="A43" s="22" t="s">
        <v>163</v>
      </c>
    </row>
  </sheetData>
  <mergeCells count="1">
    <mergeCell ref="A11:A12"/>
  </mergeCells>
  <hyperlinks>
    <hyperlink ref="A43" r:id="rId1"/>
    <hyperlink ref="A9" r:id="rId2"/>
  </hyperlinks>
  <pageMargins left="0.7" right="0.7" top="0.75" bottom="0.75" header="0.3" footer="0.3"/>
  <pageSetup paperSize="9" orientation="portrait" horizontalDpi="4294967293" verticalDpi="0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abSelected="1" topLeftCell="B1" zoomScale="80" zoomScaleNormal="80" workbookViewId="0">
      <pane ySplit="1" topLeftCell="A29" activePane="bottomLeft" state="frozen"/>
      <selection pane="bottomLeft" activeCell="F36" sqref="F36"/>
    </sheetView>
  </sheetViews>
  <sheetFormatPr defaultColWidth="9" defaultRowHeight="12.75"/>
  <cols>
    <col min="1" max="1" width="22.5" style="2" customWidth="1"/>
    <col min="2" max="2" width="35" style="2" customWidth="1"/>
    <col min="3" max="3" width="34.5" style="2" customWidth="1"/>
    <col min="4" max="4" width="39.125" style="2" customWidth="1"/>
    <col min="5" max="5" width="37.375" style="2" customWidth="1"/>
    <col min="6" max="6" width="53.375" style="2" customWidth="1"/>
    <col min="7" max="7" width="34.75" style="2" customWidth="1"/>
    <col min="8" max="8" width="9" style="2" customWidth="1"/>
    <col min="9" max="9" width="21.375" style="2" customWidth="1"/>
    <col min="10" max="10" width="12.625" style="2" customWidth="1"/>
    <col min="11" max="11" width="9.75" style="2" bestFit="1" customWidth="1"/>
    <col min="12" max="16384" width="9" style="2"/>
  </cols>
  <sheetData>
    <row r="1" spans="1:9" ht="13.5" thickBot="1">
      <c r="A1" s="2" t="s">
        <v>15</v>
      </c>
      <c r="B1" s="2" t="s">
        <v>0</v>
      </c>
      <c r="C1" s="2" t="s">
        <v>3</v>
      </c>
      <c r="D1" s="2" t="s">
        <v>16</v>
      </c>
      <c r="E1" s="2" t="s">
        <v>104</v>
      </c>
      <c r="F1" s="2" t="s">
        <v>2</v>
      </c>
      <c r="G1" s="2" t="s">
        <v>5</v>
      </c>
    </row>
    <row r="2" spans="1:9" ht="19.5">
      <c r="A2" s="260" t="s">
        <v>255</v>
      </c>
      <c r="B2" s="261"/>
      <c r="C2" s="261"/>
      <c r="D2" s="261"/>
      <c r="E2" s="261"/>
      <c r="F2" s="261"/>
      <c r="G2" s="262"/>
    </row>
    <row r="3" spans="1:9" ht="69.75" customHeight="1">
      <c r="A3" s="223" t="s">
        <v>274</v>
      </c>
      <c r="B3" s="169" t="s">
        <v>23</v>
      </c>
      <c r="C3" s="169" t="s">
        <v>24</v>
      </c>
      <c r="D3" s="170">
        <f>(D5*D7*D8*(D10*D12*D14*D9))+(D5*D7*D8*(D11*D13*D15*D9))</f>
        <v>72402.938616959989</v>
      </c>
      <c r="E3" s="55"/>
      <c r="F3" s="55" t="s">
        <v>261</v>
      </c>
      <c r="G3" s="182" t="s">
        <v>85</v>
      </c>
      <c r="I3" s="45"/>
    </row>
    <row r="4" spans="1:9" ht="69.75" customHeight="1">
      <c r="A4" s="223" t="s">
        <v>275</v>
      </c>
      <c r="B4" s="169" t="s">
        <v>23</v>
      </c>
      <c r="C4" s="169" t="s">
        <v>24</v>
      </c>
      <c r="D4" s="170">
        <f>(D6*D7*D8*(D10*D12*D14*D9))+(D6*D7*D8*(D11*D13*D15*D9))</f>
        <v>64645.480907999998</v>
      </c>
      <c r="E4" s="55"/>
      <c r="F4" s="55"/>
      <c r="G4" s="182"/>
      <c r="I4" s="45"/>
    </row>
    <row r="5" spans="1:9" ht="14.25">
      <c r="A5" s="183" t="s">
        <v>25</v>
      </c>
      <c r="B5" s="50"/>
      <c r="C5" s="58" t="s">
        <v>26</v>
      </c>
      <c r="D5" s="49">
        <v>28</v>
      </c>
      <c r="E5" s="166" t="s">
        <v>225</v>
      </c>
      <c r="F5" s="50" t="s">
        <v>272</v>
      </c>
      <c r="G5" s="184"/>
    </row>
    <row r="6" spans="1:9" ht="14.25">
      <c r="A6" s="183" t="s">
        <v>25</v>
      </c>
      <c r="B6" s="50"/>
      <c r="C6" s="58" t="s">
        <v>26</v>
      </c>
      <c r="D6" s="49">
        <v>25</v>
      </c>
      <c r="E6" s="166" t="s">
        <v>225</v>
      </c>
      <c r="F6" s="50" t="s">
        <v>273</v>
      </c>
      <c r="G6" s="184"/>
    </row>
    <row r="7" spans="1:9" ht="25.5">
      <c r="A7" s="183" t="s">
        <v>27</v>
      </c>
      <c r="B7" s="52" t="s">
        <v>28</v>
      </c>
      <c r="C7" s="52" t="s">
        <v>29</v>
      </c>
      <c r="D7" s="50">
        <v>6.7000000000000002E-4</v>
      </c>
      <c r="E7" s="166" t="s">
        <v>225</v>
      </c>
      <c r="F7" s="50" t="s">
        <v>114</v>
      </c>
      <c r="G7" s="184"/>
      <c r="I7" s="141"/>
    </row>
    <row r="8" spans="1:9" ht="46.5" customHeight="1">
      <c r="A8" s="183" t="s">
        <v>30</v>
      </c>
      <c r="B8" s="50"/>
      <c r="C8" s="52" t="s">
        <v>31</v>
      </c>
      <c r="D8" s="60">
        <f>+'Average Temp'!$C$12</f>
        <v>0.71439999999999992</v>
      </c>
      <c r="E8" s="166" t="s">
        <v>225</v>
      </c>
      <c r="F8" s="51" t="s">
        <v>154</v>
      </c>
      <c r="G8" s="184" t="s">
        <v>343</v>
      </c>
    </row>
    <row r="9" spans="1:9" ht="30.75" customHeight="1">
      <c r="A9" s="185" t="s">
        <v>250</v>
      </c>
      <c r="B9" s="50" t="s">
        <v>97</v>
      </c>
      <c r="C9" s="51" t="s">
        <v>249</v>
      </c>
      <c r="D9" s="167">
        <v>1</v>
      </c>
      <c r="E9" s="166" t="s">
        <v>225</v>
      </c>
      <c r="F9" s="51"/>
      <c r="G9" s="184"/>
    </row>
    <row r="10" spans="1:9" ht="32.25" customHeight="1">
      <c r="A10" s="185" t="s">
        <v>157</v>
      </c>
      <c r="B10" s="52" t="s">
        <v>34</v>
      </c>
      <c r="C10" s="52" t="s">
        <v>33</v>
      </c>
      <c r="D10" s="50">
        <v>0.24</v>
      </c>
      <c r="E10" s="166" t="s">
        <v>225</v>
      </c>
      <c r="F10" s="51" t="s">
        <v>342</v>
      </c>
      <c r="G10" s="184" t="s">
        <v>107</v>
      </c>
    </row>
    <row r="11" spans="1:9" ht="39" customHeight="1">
      <c r="A11" s="185" t="s">
        <v>157</v>
      </c>
      <c r="B11" s="52" t="s">
        <v>34</v>
      </c>
      <c r="C11" s="52" t="s">
        <v>33</v>
      </c>
      <c r="D11" s="50">
        <v>0.36</v>
      </c>
      <c r="E11" s="166" t="s">
        <v>225</v>
      </c>
      <c r="F11" s="51" t="s">
        <v>342</v>
      </c>
      <c r="G11" s="184" t="s">
        <v>164</v>
      </c>
      <c r="H11" s="22" t="s">
        <v>165</v>
      </c>
    </row>
    <row r="12" spans="1:9" ht="87" customHeight="1">
      <c r="A12" s="186" t="s">
        <v>243</v>
      </c>
      <c r="B12" s="162" t="s">
        <v>244</v>
      </c>
      <c r="C12" s="162" t="s">
        <v>245</v>
      </c>
      <c r="D12" s="163">
        <f>+D62</f>
        <v>7930</v>
      </c>
      <c r="E12" s="164" t="s">
        <v>225</v>
      </c>
      <c r="F12" s="162" t="s">
        <v>289</v>
      </c>
      <c r="G12" s="187" t="s">
        <v>107</v>
      </c>
      <c r="H12" s="22" t="s">
        <v>306</v>
      </c>
    </row>
    <row r="13" spans="1:9" ht="81" customHeight="1">
      <c r="A13" s="186" t="s">
        <v>243</v>
      </c>
      <c r="B13" s="162" t="s">
        <v>244</v>
      </c>
      <c r="C13" s="162" t="s">
        <v>245</v>
      </c>
      <c r="D13" s="163">
        <f>+D66</f>
        <v>1575000</v>
      </c>
      <c r="E13" s="164" t="s">
        <v>225</v>
      </c>
      <c r="F13" s="162" t="s">
        <v>289</v>
      </c>
      <c r="G13" s="187" t="s">
        <v>164</v>
      </c>
      <c r="H13" s="22" t="s">
        <v>306</v>
      </c>
    </row>
    <row r="14" spans="1:9" ht="37.5" customHeight="1">
      <c r="A14" s="188" t="s">
        <v>246</v>
      </c>
      <c r="B14" s="161" t="s">
        <v>247</v>
      </c>
      <c r="C14" s="161" t="s">
        <v>248</v>
      </c>
      <c r="D14" s="146">
        <f>+F50</f>
        <v>1200</v>
      </c>
      <c r="E14" s="201" t="s">
        <v>225</v>
      </c>
      <c r="F14" s="161" t="s">
        <v>295</v>
      </c>
      <c r="G14" s="144" t="s">
        <v>107</v>
      </c>
      <c r="H14" s="22"/>
    </row>
    <row r="15" spans="1:9" ht="38.25" customHeight="1">
      <c r="A15" s="188" t="s">
        <v>246</v>
      </c>
      <c r="B15" s="161" t="s">
        <v>247</v>
      </c>
      <c r="C15" s="161" t="s">
        <v>248</v>
      </c>
      <c r="D15" s="165">
        <f>+F47</f>
        <v>5.5</v>
      </c>
      <c r="E15" s="201" t="s">
        <v>225</v>
      </c>
      <c r="F15" s="161" t="s">
        <v>295</v>
      </c>
      <c r="G15" s="144" t="s">
        <v>164</v>
      </c>
      <c r="H15" s="22"/>
    </row>
    <row r="16" spans="1:9" ht="37.5" customHeight="1">
      <c r="A16" s="189" t="s">
        <v>115</v>
      </c>
      <c r="B16" s="50" t="s">
        <v>119</v>
      </c>
      <c r="C16" s="50"/>
      <c r="D16" s="236">
        <f>+'Baseline Heat'!C32</f>
        <v>19718</v>
      </c>
      <c r="E16" s="235"/>
      <c r="F16" s="235" t="s">
        <v>334</v>
      </c>
      <c r="G16" s="184"/>
    </row>
    <row r="17" spans="1:12">
      <c r="A17" s="185" t="s">
        <v>116</v>
      </c>
      <c r="B17" s="50" t="s">
        <v>120</v>
      </c>
      <c r="C17" s="52"/>
      <c r="D17" s="50">
        <v>190</v>
      </c>
      <c r="E17" s="50"/>
      <c r="F17" s="50" t="s">
        <v>132</v>
      </c>
      <c r="G17" s="184"/>
    </row>
    <row r="18" spans="1:12">
      <c r="A18" s="189" t="s">
        <v>117</v>
      </c>
      <c r="B18" s="53" t="s">
        <v>142</v>
      </c>
      <c r="C18" s="53"/>
      <c r="D18" s="53">
        <v>11.5</v>
      </c>
      <c r="E18" s="53"/>
      <c r="F18" s="53" t="s">
        <v>132</v>
      </c>
      <c r="G18" s="190"/>
      <c r="H18" s="5"/>
      <c r="I18" s="5"/>
      <c r="J18" s="5"/>
      <c r="K18" s="5"/>
      <c r="L18" s="5"/>
    </row>
    <row r="19" spans="1:12" ht="38.25">
      <c r="A19" s="189" t="s">
        <v>118</v>
      </c>
      <c r="B19" s="53" t="s">
        <v>121</v>
      </c>
      <c r="C19" s="53"/>
      <c r="D19" s="53">
        <v>2793</v>
      </c>
      <c r="E19" s="53"/>
      <c r="F19" s="54" t="s">
        <v>131</v>
      </c>
      <c r="G19" s="190"/>
      <c r="H19" s="34"/>
      <c r="I19" s="5"/>
      <c r="J19" s="5"/>
      <c r="K19" s="5"/>
      <c r="L19" s="5"/>
    </row>
    <row r="20" spans="1:12" ht="51">
      <c r="A20" s="189" t="s">
        <v>134</v>
      </c>
      <c r="B20" s="53" t="s">
        <v>133</v>
      </c>
      <c r="C20" s="53"/>
      <c r="D20" s="53">
        <v>427.5</v>
      </c>
      <c r="E20" s="53"/>
      <c r="F20" s="54" t="s">
        <v>135</v>
      </c>
      <c r="G20" s="190"/>
      <c r="H20" s="33"/>
      <c r="I20" s="5"/>
      <c r="J20" s="5"/>
      <c r="K20" s="5"/>
      <c r="L20" s="5"/>
    </row>
    <row r="21" spans="1:12" ht="54" customHeight="1">
      <c r="A21" s="191" t="s">
        <v>129</v>
      </c>
      <c r="B21" s="175" t="s">
        <v>128</v>
      </c>
      <c r="C21" s="168" t="s">
        <v>130</v>
      </c>
      <c r="D21" s="177">
        <f>'Baseline Heat'!C11</f>
        <v>2752.9467877173906</v>
      </c>
      <c r="E21" s="175"/>
      <c r="F21" s="175" t="s">
        <v>261</v>
      </c>
      <c r="G21" s="192"/>
      <c r="H21" s="44"/>
      <c r="I21" s="44"/>
      <c r="J21" s="5"/>
      <c r="K21" s="5"/>
      <c r="L21" s="5"/>
    </row>
    <row r="22" spans="1:12" ht="39.75" customHeight="1">
      <c r="A22" s="193" t="s">
        <v>38</v>
      </c>
      <c r="B22" s="169" t="s">
        <v>23</v>
      </c>
      <c r="C22" s="168" t="s">
        <v>111</v>
      </c>
      <c r="D22" s="176">
        <f>D26*D25</f>
        <v>17045.751800000002</v>
      </c>
      <c r="E22" s="169" t="s">
        <v>37</v>
      </c>
      <c r="F22" s="55" t="s">
        <v>261</v>
      </c>
      <c r="G22" s="182"/>
      <c r="H22" s="44"/>
      <c r="I22" s="44"/>
    </row>
    <row r="23" spans="1:12">
      <c r="A23" s="194" t="s">
        <v>18</v>
      </c>
      <c r="B23" s="58" t="s">
        <v>84</v>
      </c>
      <c r="C23" s="171" t="s">
        <v>17</v>
      </c>
      <c r="D23" s="172">
        <v>6.4020000000000001</v>
      </c>
      <c r="E23" s="57"/>
      <c r="F23" s="50" t="s">
        <v>109</v>
      </c>
      <c r="G23" s="195"/>
    </row>
    <row r="24" spans="1:12">
      <c r="A24" s="196" t="s">
        <v>19</v>
      </c>
      <c r="B24" s="58" t="s">
        <v>21</v>
      </c>
      <c r="C24" s="58" t="s">
        <v>20</v>
      </c>
      <c r="D24" s="172">
        <v>7000</v>
      </c>
      <c r="E24" s="58"/>
      <c r="F24" s="57"/>
      <c r="G24" s="197"/>
    </row>
    <row r="25" spans="1:12" ht="14.25">
      <c r="A25" s="198" t="s">
        <v>7</v>
      </c>
      <c r="B25" s="57" t="s">
        <v>6</v>
      </c>
      <c r="C25" s="57" t="s">
        <v>9</v>
      </c>
      <c r="D25" s="56">
        <v>29876</v>
      </c>
      <c r="E25" s="58" t="s">
        <v>22</v>
      </c>
      <c r="F25" s="59" t="s">
        <v>260</v>
      </c>
      <c r="G25" s="184"/>
    </row>
    <row r="26" spans="1:12" ht="26.25" thickBot="1">
      <c r="A26" s="198" t="s">
        <v>8</v>
      </c>
      <c r="B26" s="57" t="s">
        <v>11</v>
      </c>
      <c r="C26" s="57" t="s">
        <v>10</v>
      </c>
      <c r="D26" s="227">
        <f>+'CM '!B10</f>
        <v>0.57055</v>
      </c>
      <c r="E26" s="57"/>
      <c r="F26" s="57" t="s">
        <v>156</v>
      </c>
      <c r="G26" s="199"/>
    </row>
    <row r="27" spans="1:12" ht="45.75" thickBot="1">
      <c r="A27" s="179" t="s">
        <v>251</v>
      </c>
      <c r="B27" s="180" t="s">
        <v>252</v>
      </c>
      <c r="C27" s="180" t="s">
        <v>277</v>
      </c>
      <c r="D27" s="181">
        <f>ROUNDDOWN(D22+D3+D21,0)</f>
        <v>92201</v>
      </c>
      <c r="E27" s="180" t="s">
        <v>254</v>
      </c>
      <c r="F27" s="173"/>
      <c r="G27" s="174"/>
    </row>
    <row r="28" spans="1:12" ht="45.75" thickBot="1">
      <c r="A28" s="179" t="s">
        <v>251</v>
      </c>
      <c r="B28" s="180" t="s">
        <v>252</v>
      </c>
      <c r="C28" s="180" t="s">
        <v>276</v>
      </c>
      <c r="D28" s="181">
        <f>ROUNDDOWN(D22+D4+D21,0)</f>
        <v>84444</v>
      </c>
      <c r="E28" s="180" t="s">
        <v>254</v>
      </c>
    </row>
    <row r="29" spans="1:12" ht="13.5" thickBot="1">
      <c r="D29" s="141"/>
      <c r="E29" s="141"/>
      <c r="F29" s="142"/>
      <c r="G29" s="141"/>
    </row>
    <row r="30" spans="1:12" ht="57" customHeight="1">
      <c r="A30" s="267" t="s">
        <v>237</v>
      </c>
      <c r="B30" s="268"/>
      <c r="C30" s="268"/>
      <c r="D30" s="268"/>
      <c r="E30" s="268"/>
      <c r="F30" s="269"/>
    </row>
    <row r="31" spans="1:12">
      <c r="A31" s="149" t="s">
        <v>15</v>
      </c>
      <c r="B31" s="149" t="s">
        <v>0</v>
      </c>
      <c r="C31" s="149" t="s">
        <v>3</v>
      </c>
      <c r="D31" s="149" t="s">
        <v>16</v>
      </c>
      <c r="E31" s="149" t="s">
        <v>104</v>
      </c>
      <c r="F31" s="150" t="s">
        <v>2</v>
      </c>
    </row>
    <row r="32" spans="1:12" ht="24.75" customHeight="1">
      <c r="A32" s="151" t="s">
        <v>234</v>
      </c>
      <c r="B32" s="143" t="s">
        <v>235</v>
      </c>
      <c r="C32" s="143" t="s">
        <v>217</v>
      </c>
      <c r="D32" s="145">
        <f>(D33*7000)/1000</f>
        <v>19388.28880854946</v>
      </c>
      <c r="E32" s="152" t="s">
        <v>225</v>
      </c>
      <c r="F32" s="144" t="s">
        <v>232</v>
      </c>
    </row>
    <row r="33" spans="1:6" ht="44.25" customHeight="1">
      <c r="A33" s="151" t="s">
        <v>233</v>
      </c>
      <c r="B33" s="143" t="s">
        <v>216</v>
      </c>
      <c r="C33" s="143" t="s">
        <v>217</v>
      </c>
      <c r="D33" s="146">
        <f>+D37*D36*D35</f>
        <v>2769.755544078494</v>
      </c>
      <c r="E33" s="143"/>
      <c r="F33" s="144" t="s">
        <v>232</v>
      </c>
    </row>
    <row r="34" spans="1:6" ht="25.5">
      <c r="A34" s="151" t="s">
        <v>202</v>
      </c>
      <c r="B34" s="143" t="s">
        <v>228</v>
      </c>
      <c r="C34" s="143" t="s">
        <v>218</v>
      </c>
      <c r="D34" s="146">
        <v>8657937</v>
      </c>
      <c r="E34" s="152" t="s">
        <v>225</v>
      </c>
      <c r="F34" s="144" t="s">
        <v>236</v>
      </c>
    </row>
    <row r="35" spans="1:6" ht="25.5">
      <c r="A35" s="151" t="s">
        <v>202</v>
      </c>
      <c r="B35" s="143" t="s">
        <v>215</v>
      </c>
      <c r="C35" s="143" t="s">
        <v>218</v>
      </c>
      <c r="D35" s="146">
        <f>+D34/7000</f>
        <v>1236.8481428571429</v>
      </c>
      <c r="E35" s="152" t="s">
        <v>225</v>
      </c>
      <c r="F35" s="144" t="s">
        <v>229</v>
      </c>
    </row>
    <row r="36" spans="1:6" ht="51">
      <c r="A36" s="151" t="s">
        <v>203</v>
      </c>
      <c r="B36" s="143" t="s">
        <v>214</v>
      </c>
      <c r="C36" s="143" t="s">
        <v>219</v>
      </c>
      <c r="D36" s="147">
        <v>0.6</v>
      </c>
      <c r="E36" s="153" t="s">
        <v>225</v>
      </c>
      <c r="F36" s="144" t="s">
        <v>345</v>
      </c>
    </row>
    <row r="37" spans="1:6" ht="46.5" customHeight="1">
      <c r="A37" s="151" t="s">
        <v>204</v>
      </c>
      <c r="B37" s="143" t="s">
        <v>210</v>
      </c>
      <c r="C37" s="143" t="s">
        <v>220</v>
      </c>
      <c r="D37" s="148">
        <f>+(D38*D39)/(D40*D41)</f>
        <v>3.7322764858321058</v>
      </c>
      <c r="E37" s="143"/>
      <c r="F37" s="144" t="s">
        <v>230</v>
      </c>
    </row>
    <row r="38" spans="1:6" ht="25.5">
      <c r="A38" s="151" t="s">
        <v>211</v>
      </c>
      <c r="B38" s="143" t="s">
        <v>212</v>
      </c>
      <c r="C38" s="143" t="s">
        <v>221</v>
      </c>
      <c r="D38" s="143">
        <v>600</v>
      </c>
      <c r="E38" s="152" t="s">
        <v>225</v>
      </c>
      <c r="F38" s="144" t="s">
        <v>226</v>
      </c>
    </row>
    <row r="39" spans="1:6">
      <c r="A39" s="151" t="s">
        <v>205</v>
      </c>
      <c r="B39" s="143" t="s">
        <v>209</v>
      </c>
      <c r="C39" s="143" t="s">
        <v>222</v>
      </c>
      <c r="D39" s="143">
        <v>16.04</v>
      </c>
      <c r="E39" s="152" t="s">
        <v>225</v>
      </c>
      <c r="F39" s="144" t="s">
        <v>227</v>
      </c>
    </row>
    <row r="40" spans="1:6">
      <c r="A40" s="151" t="s">
        <v>206</v>
      </c>
      <c r="B40" s="143" t="s">
        <v>208</v>
      </c>
      <c r="C40" s="143" t="s">
        <v>223</v>
      </c>
      <c r="D40" s="143">
        <v>8.3140000000000001</v>
      </c>
      <c r="E40" s="152" t="s">
        <v>225</v>
      </c>
      <c r="F40" s="144" t="s">
        <v>231</v>
      </c>
    </row>
    <row r="41" spans="1:6" ht="25.5">
      <c r="A41" s="154" t="s">
        <v>207</v>
      </c>
      <c r="B41" s="155" t="s">
        <v>213</v>
      </c>
      <c r="C41" s="155" t="s">
        <v>224</v>
      </c>
      <c r="D41" s="155">
        <v>310.14999999999998</v>
      </c>
      <c r="E41" s="156" t="s">
        <v>225</v>
      </c>
      <c r="F41" s="157" t="s">
        <v>242</v>
      </c>
    </row>
    <row r="42" spans="1:6" ht="24" customHeight="1">
      <c r="A42" s="158" t="s">
        <v>239</v>
      </c>
      <c r="B42" s="159" t="s">
        <v>240</v>
      </c>
      <c r="C42" s="159" t="s">
        <v>238</v>
      </c>
      <c r="D42" s="160">
        <f>+D3/D5</f>
        <v>2585.8192363199996</v>
      </c>
      <c r="E42" s="152" t="s">
        <v>225</v>
      </c>
      <c r="F42" s="143" t="s">
        <v>241</v>
      </c>
    </row>
    <row r="44" spans="1:6">
      <c r="A44" s="265" t="s">
        <v>303</v>
      </c>
      <c r="B44" s="265"/>
      <c r="C44" s="265"/>
      <c r="D44" s="265"/>
      <c r="E44" s="265"/>
      <c r="F44" s="265"/>
    </row>
    <row r="45" spans="1:6">
      <c r="A45" s="266"/>
      <c r="B45" s="266"/>
      <c r="C45" s="266"/>
      <c r="D45" s="266"/>
      <c r="E45" s="266"/>
      <c r="F45" s="266"/>
    </row>
    <row r="46" spans="1:6" ht="25.5">
      <c r="A46" s="263" t="s">
        <v>164</v>
      </c>
      <c r="B46" s="31" t="s">
        <v>294</v>
      </c>
      <c r="C46" s="31" t="s">
        <v>290</v>
      </c>
      <c r="D46" s="31" t="s">
        <v>300</v>
      </c>
      <c r="E46" s="31" t="s">
        <v>297</v>
      </c>
      <c r="F46" s="31" t="s">
        <v>301</v>
      </c>
    </row>
    <row r="47" spans="1:6" ht="102" customHeight="1">
      <c r="A47" s="264"/>
      <c r="B47" s="229">
        <v>22</v>
      </c>
      <c r="C47" s="230">
        <v>0.25</v>
      </c>
      <c r="D47" s="228" t="s">
        <v>291</v>
      </c>
      <c r="E47" s="228" t="s">
        <v>296</v>
      </c>
      <c r="F47" s="229">
        <f>+B47*C47</f>
        <v>5.5</v>
      </c>
    </row>
    <row r="48" spans="1:6">
      <c r="A48" s="231"/>
      <c r="B48" s="232"/>
      <c r="C48" s="232"/>
      <c r="D48" s="232"/>
      <c r="E48" s="232"/>
      <c r="F48" s="232"/>
    </row>
    <row r="49" spans="1:6" ht="35.25" customHeight="1">
      <c r="A49" s="263" t="s">
        <v>292</v>
      </c>
      <c r="B49" s="31" t="s">
        <v>294</v>
      </c>
      <c r="C49" s="31" t="s">
        <v>290</v>
      </c>
      <c r="D49" s="31" t="s">
        <v>299</v>
      </c>
      <c r="E49" s="222" t="s">
        <v>293</v>
      </c>
      <c r="F49" s="31" t="s">
        <v>302</v>
      </c>
    </row>
    <row r="50" spans="1:6">
      <c r="A50" s="264"/>
      <c r="B50" s="229">
        <v>15000</v>
      </c>
      <c r="C50" s="253">
        <v>0.08</v>
      </c>
      <c r="D50" s="228" t="s">
        <v>298</v>
      </c>
      <c r="E50" s="228" t="s">
        <v>296</v>
      </c>
      <c r="F50" s="229">
        <f>+C50*B50</f>
        <v>1200</v>
      </c>
    </row>
    <row r="52" spans="1:6" ht="13.5" thickBot="1"/>
    <row r="53" spans="1:6" ht="15" thickBot="1">
      <c r="B53" s="250" t="s">
        <v>318</v>
      </c>
      <c r="C53" s="244" t="s">
        <v>319</v>
      </c>
      <c r="D53" s="245" t="s">
        <v>281</v>
      </c>
    </row>
    <row r="54" spans="1:6" ht="15" thickBot="1">
      <c r="B54" s="246" t="s">
        <v>320</v>
      </c>
      <c r="C54" s="247" t="s">
        <v>321</v>
      </c>
      <c r="D54" s="247">
        <v>1650</v>
      </c>
    </row>
    <row r="55" spans="1:6" ht="15" thickBot="1">
      <c r="B55" s="246" t="s">
        <v>322</v>
      </c>
      <c r="C55" s="247" t="s">
        <v>321</v>
      </c>
      <c r="D55" s="247">
        <v>3250</v>
      </c>
    </row>
    <row r="56" spans="1:6" ht="15" thickBot="1">
      <c r="B56" s="246" t="s">
        <v>323</v>
      </c>
      <c r="C56" s="247" t="s">
        <v>321</v>
      </c>
      <c r="D56" s="247">
        <v>190</v>
      </c>
    </row>
    <row r="57" spans="1:6" ht="15" thickBot="1">
      <c r="B57" s="248" t="s">
        <v>324</v>
      </c>
      <c r="C57" s="247" t="s">
        <v>321</v>
      </c>
      <c r="D57" s="247">
        <v>390</v>
      </c>
    </row>
    <row r="58" spans="1:6" ht="15" thickBot="1">
      <c r="B58" s="248" t="s">
        <v>325</v>
      </c>
      <c r="C58" s="247" t="s">
        <v>321</v>
      </c>
      <c r="D58" s="247">
        <v>350</v>
      </c>
    </row>
    <row r="59" spans="1:6" ht="15" thickBot="1">
      <c r="B59" s="248" t="s">
        <v>326</v>
      </c>
      <c r="C59" s="247" t="s">
        <v>321</v>
      </c>
      <c r="D59" s="247">
        <v>250</v>
      </c>
    </row>
    <row r="60" spans="1:6" ht="15" thickBot="1">
      <c r="B60" s="248" t="s">
        <v>327</v>
      </c>
      <c r="C60" s="247" t="s">
        <v>321</v>
      </c>
      <c r="D60" s="247">
        <v>1500</v>
      </c>
    </row>
    <row r="61" spans="1:6" ht="15" thickBot="1">
      <c r="B61" s="248" t="s">
        <v>328</v>
      </c>
      <c r="C61" s="247" t="s">
        <v>321</v>
      </c>
      <c r="D61" s="247">
        <v>350</v>
      </c>
    </row>
    <row r="62" spans="1:6" ht="15" thickBot="1">
      <c r="B62" s="258" t="s">
        <v>329</v>
      </c>
      <c r="C62" s="259"/>
      <c r="D62" s="251">
        <f>+D54+D55+D56+D57+D58+D59+D60+D61</f>
        <v>7930</v>
      </c>
    </row>
    <row r="63" spans="1:6" ht="15" thickBot="1">
      <c r="B63" s="248" t="s">
        <v>330</v>
      </c>
      <c r="C63" s="247" t="s">
        <v>164</v>
      </c>
      <c r="D63" s="247">
        <v>1300000</v>
      </c>
    </row>
    <row r="64" spans="1:6" ht="15" thickBot="1">
      <c r="B64" s="248" t="s">
        <v>331</v>
      </c>
      <c r="C64" s="247" t="s">
        <v>164</v>
      </c>
      <c r="D64" s="247">
        <v>160000</v>
      </c>
    </row>
    <row r="65" spans="2:4" ht="15" thickBot="1">
      <c r="B65" s="248" t="s">
        <v>332</v>
      </c>
      <c r="C65" s="247" t="s">
        <v>164</v>
      </c>
      <c r="D65" s="249">
        <v>115000</v>
      </c>
    </row>
    <row r="66" spans="2:4" ht="15" thickBot="1">
      <c r="B66" s="258" t="s">
        <v>333</v>
      </c>
      <c r="C66" s="259"/>
      <c r="D66" s="252">
        <f>+D63+D64+D65</f>
        <v>1575000</v>
      </c>
    </row>
  </sheetData>
  <mergeCells count="7">
    <mergeCell ref="B62:C62"/>
    <mergeCell ref="B66:C66"/>
    <mergeCell ref="A2:G2"/>
    <mergeCell ref="A49:A50"/>
    <mergeCell ref="A46:A47"/>
    <mergeCell ref="A44:F45"/>
    <mergeCell ref="A30:F30"/>
  </mergeCells>
  <phoneticPr fontId="7" type="noConversion"/>
  <dataValidations disablePrompts="1" count="1">
    <dataValidation allowBlank="1" showInputMessage="1" showErrorMessage="1" sqref="D5:D6"/>
  </dataValidations>
  <hyperlinks>
    <hyperlink ref="F19" r:id="rId1"/>
    <hyperlink ref="H11" r:id="rId2"/>
    <hyperlink ref="E47" r:id="rId3" display="https://arastirma.tarimorman.gov.tr/tavukculuk/Belgeler/web%20English%20Doc/journal%20(Dergimiz)/Dergimiz%20Cilt%2011%20Sayi%201/Cilt%2011%20Sayi%201%20Makale%204%20Yeni%20Bir%20Teknoloji%20ile%20Kurutulan%20Tavuk%20D%C4%B1%C5%9Fk%C4%B1s%C4%B1n%C4%B1n.pdf"/>
    <hyperlink ref="E50" r:id="rId4" display="https://arastirma.tarimorman.gov.tr/tavukculuk/Belgeler/web%20English%20Doc/journal%20(Dergimiz)/Dergimiz%20Cilt%2011%20Sayi%201/Cilt%2011%20Sayi%201%20Makale%204%20Yeni%20Bir%20Teknoloji%20ile%20Kurutulan%20Tavuk%20D%C4%B1%C5%9Fk%C4%B1s%C4%B1n%C4%B1n.pdf"/>
    <hyperlink ref="D47" r:id="rId5"/>
    <hyperlink ref="D50" r:id="rId6"/>
  </hyperlinks>
  <pageMargins left="0.7" right="0.7" top="0.75" bottom="0.75" header="0.3" footer="0.3"/>
  <pageSetup orientation="portrait" horizontalDpi="300" verticalDpi="300" r:id="rId7"/>
  <drawing r:id="rId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opLeftCell="A4" workbookViewId="0">
      <selection activeCell="A15" sqref="A15:B15"/>
    </sheetView>
  </sheetViews>
  <sheetFormatPr defaultRowHeight="12.75"/>
  <cols>
    <col min="2" max="2" width="15.375" customWidth="1"/>
    <col min="3" max="3" width="18.5" customWidth="1"/>
    <col min="7" max="7" width="10.875" bestFit="1" customWidth="1"/>
    <col min="13" max="13" width="11.125" customWidth="1"/>
  </cols>
  <sheetData>
    <row r="1" spans="1:13" ht="13.5" thickBot="1"/>
    <row r="2" spans="1:13">
      <c r="A2" s="274" t="s">
        <v>144</v>
      </c>
      <c r="B2" s="275"/>
      <c r="C2" s="275"/>
      <c r="D2" s="275"/>
      <c r="E2" s="275"/>
      <c r="F2" s="275"/>
      <c r="G2" s="275"/>
      <c r="H2" s="276"/>
    </row>
    <row r="3" spans="1:13" ht="13.5" thickBot="1">
      <c r="A3" s="277"/>
      <c r="B3" s="278"/>
      <c r="C3" s="278"/>
      <c r="D3" s="278"/>
      <c r="E3" s="278"/>
      <c r="F3" s="278"/>
      <c r="G3" s="278"/>
      <c r="H3" s="279"/>
    </row>
    <row r="5" spans="1:13" ht="14.25">
      <c r="A5" s="273" t="s">
        <v>125</v>
      </c>
      <c r="B5" s="273"/>
      <c r="C5" s="35" t="s">
        <v>4</v>
      </c>
      <c r="D5" s="272" t="s">
        <v>137</v>
      </c>
      <c r="E5" s="272"/>
      <c r="F5" s="272"/>
      <c r="G5" s="272"/>
      <c r="H5" s="272"/>
      <c r="I5" s="272"/>
      <c r="J5" s="272"/>
      <c r="K5" s="272"/>
      <c r="L5" s="272"/>
      <c r="M5" s="272"/>
    </row>
    <row r="6" spans="1:13" ht="14.25">
      <c r="A6" s="273" t="s">
        <v>123</v>
      </c>
      <c r="B6" s="273"/>
      <c r="C6" s="35" t="s">
        <v>122</v>
      </c>
      <c r="D6" s="272" t="s">
        <v>138</v>
      </c>
      <c r="E6" s="272"/>
      <c r="F6" s="272"/>
      <c r="G6" s="272"/>
      <c r="H6" s="272"/>
      <c r="I6" s="272"/>
      <c r="J6" s="272"/>
      <c r="K6" s="272"/>
      <c r="L6" s="272"/>
      <c r="M6" s="272"/>
    </row>
    <row r="7" spans="1:13" ht="14.25">
      <c r="A7" s="273" t="s">
        <v>136</v>
      </c>
      <c r="B7" s="273"/>
      <c r="C7" s="32" t="s">
        <v>97</v>
      </c>
      <c r="D7" s="272" t="s">
        <v>127</v>
      </c>
      <c r="E7" s="272"/>
      <c r="F7" s="272"/>
      <c r="G7" s="272"/>
      <c r="H7" s="272"/>
      <c r="I7" s="272"/>
      <c r="J7" s="272"/>
      <c r="K7" s="272"/>
      <c r="L7" s="272"/>
      <c r="M7" s="272"/>
    </row>
    <row r="8" spans="1:13" ht="14.25">
      <c r="A8" s="273" t="s">
        <v>124</v>
      </c>
      <c r="B8" s="273"/>
      <c r="C8" s="35" t="s">
        <v>140</v>
      </c>
      <c r="D8" s="272" t="s">
        <v>139</v>
      </c>
      <c r="E8" s="272"/>
      <c r="F8" s="272"/>
      <c r="G8" s="272"/>
      <c r="H8" s="272"/>
      <c r="I8" s="272"/>
      <c r="J8" s="272"/>
      <c r="K8" s="272"/>
      <c r="L8" s="272"/>
      <c r="M8" s="272"/>
    </row>
    <row r="10" spans="1:13">
      <c r="F10" s="280" t="s">
        <v>126</v>
      </c>
      <c r="G10" s="280"/>
      <c r="H10" s="280"/>
      <c r="I10" s="280"/>
      <c r="J10" s="280"/>
      <c r="K10" s="280"/>
      <c r="L10" s="280"/>
      <c r="M10" s="280"/>
    </row>
    <row r="11" spans="1:13" ht="14.25">
      <c r="A11" s="273" t="s">
        <v>125</v>
      </c>
      <c r="B11" s="273"/>
      <c r="C11" s="47">
        <f>C12/C14*C15</f>
        <v>2752.9467877173906</v>
      </c>
      <c r="D11" s="272" t="s">
        <v>4</v>
      </c>
      <c r="E11" s="272"/>
      <c r="F11" s="281" t="s">
        <v>141</v>
      </c>
      <c r="G11" s="282"/>
      <c r="H11" s="282"/>
      <c r="I11" s="282"/>
      <c r="J11" s="282"/>
      <c r="K11" s="282"/>
      <c r="L11" s="282"/>
      <c r="M11" s="283"/>
    </row>
    <row r="12" spans="1:13" ht="14.25">
      <c r="A12" s="273" t="s">
        <v>305</v>
      </c>
      <c r="B12" s="273"/>
      <c r="C12" s="36">
        <f>'Baseline emission'!D16*('Baseline emission'!D19-'Baseline emission'!D20)*10^-6</f>
        <v>46.642928999999995</v>
      </c>
      <c r="D12" s="272" t="s">
        <v>122</v>
      </c>
      <c r="E12" s="272"/>
      <c r="F12" s="272" t="s">
        <v>145</v>
      </c>
      <c r="G12" s="272"/>
      <c r="H12" s="272"/>
      <c r="I12" s="272"/>
      <c r="J12" s="272"/>
      <c r="K12" s="272"/>
      <c r="L12" s="272"/>
      <c r="M12" s="272"/>
    </row>
    <row r="13" spans="1:13" ht="14.25">
      <c r="A13" s="273" t="s">
        <v>304</v>
      </c>
      <c r="B13" s="273"/>
      <c r="C13" s="36">
        <f>+C12/3</f>
        <v>15.547642999999999</v>
      </c>
      <c r="D13" s="234"/>
      <c r="E13" s="234"/>
      <c r="F13" s="234"/>
      <c r="G13" s="234"/>
      <c r="H13" s="234"/>
      <c r="I13" s="234"/>
      <c r="J13" s="234"/>
      <c r="K13" s="234"/>
      <c r="L13" s="234"/>
      <c r="M13" s="234"/>
    </row>
    <row r="14" spans="1:13" ht="14.25">
      <c r="A14" s="273" t="s">
        <v>136</v>
      </c>
      <c r="B14" s="273"/>
      <c r="C14" s="36">
        <v>0.92</v>
      </c>
      <c r="D14" s="272" t="s">
        <v>143</v>
      </c>
      <c r="E14" s="272"/>
      <c r="F14" s="272" t="s">
        <v>341</v>
      </c>
      <c r="G14" s="272"/>
      <c r="H14" s="272"/>
      <c r="I14" s="272"/>
      <c r="J14" s="272"/>
      <c r="K14" s="272"/>
      <c r="L14" s="272"/>
      <c r="M14" s="272"/>
    </row>
    <row r="15" spans="1:13" ht="14.25">
      <c r="A15" s="273" t="s">
        <v>124</v>
      </c>
      <c r="B15" s="273"/>
      <c r="C15" s="48">
        <v>54.3</v>
      </c>
      <c r="D15" s="272" t="s">
        <v>140</v>
      </c>
      <c r="E15" s="272"/>
      <c r="F15" s="272" t="s">
        <v>146</v>
      </c>
      <c r="G15" s="272"/>
      <c r="H15" s="272"/>
      <c r="I15" s="272"/>
      <c r="J15" s="272"/>
      <c r="K15" s="272"/>
      <c r="L15" s="272"/>
      <c r="M15" s="272"/>
    </row>
    <row r="18" spans="2:13" ht="50.25" customHeight="1">
      <c r="B18" s="270" t="s">
        <v>317</v>
      </c>
      <c r="C18" s="270"/>
      <c r="E18" s="271"/>
      <c r="F18" s="271"/>
      <c r="G18" s="271"/>
      <c r="H18" s="271"/>
      <c r="I18" s="271"/>
      <c r="J18" s="271"/>
      <c r="K18" s="271"/>
      <c r="L18" s="271"/>
      <c r="M18" s="271"/>
    </row>
    <row r="19" spans="2:13" ht="15">
      <c r="B19" s="237" t="s">
        <v>282</v>
      </c>
      <c r="C19" s="237" t="s">
        <v>283</v>
      </c>
    </row>
    <row r="20" spans="2:13" ht="15">
      <c r="B20" s="238" t="s">
        <v>310</v>
      </c>
      <c r="C20" s="239">
        <v>1224.4000000000001</v>
      </c>
    </row>
    <row r="21" spans="2:13" ht="15">
      <c r="B21" s="238" t="s">
        <v>311</v>
      </c>
      <c r="C21" s="239">
        <v>812.2</v>
      </c>
    </row>
    <row r="22" spans="2:13" ht="15">
      <c r="B22" s="238" t="s">
        <v>312</v>
      </c>
      <c r="C22" s="239">
        <v>1038.3</v>
      </c>
    </row>
    <row r="23" spans="2:13" ht="15">
      <c r="B23" s="238" t="s">
        <v>313</v>
      </c>
      <c r="C23" s="239">
        <v>1029.9000000000001</v>
      </c>
    </row>
    <row r="24" spans="2:13" ht="15">
      <c r="B24" s="240">
        <v>42855</v>
      </c>
      <c r="C24" s="239">
        <v>1047.2</v>
      </c>
    </row>
    <row r="25" spans="2:13" ht="15">
      <c r="B25" s="238" t="s">
        <v>314</v>
      </c>
      <c r="C25" s="239">
        <v>932.5</v>
      </c>
    </row>
    <row r="26" spans="2:13" ht="15">
      <c r="B26" s="238" t="s">
        <v>315</v>
      </c>
      <c r="C26" s="239">
        <v>812.1</v>
      </c>
    </row>
    <row r="27" spans="2:13" ht="15">
      <c r="B27" s="238" t="s">
        <v>316</v>
      </c>
      <c r="C27" s="239">
        <v>844.5</v>
      </c>
    </row>
    <row r="28" spans="2:13" ht="15">
      <c r="B28" s="241" t="s">
        <v>284</v>
      </c>
      <c r="C28" s="239">
        <v>858.1</v>
      </c>
    </row>
    <row r="29" spans="2:13" ht="15">
      <c r="B29" s="241" t="s">
        <v>285</v>
      </c>
      <c r="C29" s="239">
        <v>1049.5999999999999</v>
      </c>
    </row>
    <row r="30" spans="2:13" ht="15">
      <c r="B30" s="241" t="s">
        <v>286</v>
      </c>
      <c r="C30" s="239">
        <v>1036</v>
      </c>
    </row>
    <row r="31" spans="2:13" ht="15">
      <c r="B31" s="241" t="s">
        <v>287</v>
      </c>
      <c r="C31" s="239">
        <v>1201.7</v>
      </c>
    </row>
    <row r="32" spans="2:13" ht="15">
      <c r="B32" s="242" t="s">
        <v>288</v>
      </c>
      <c r="C32" s="243">
        <v>19718</v>
      </c>
    </row>
  </sheetData>
  <mergeCells count="25">
    <mergeCell ref="A2:H3"/>
    <mergeCell ref="A5:B5"/>
    <mergeCell ref="A6:B6"/>
    <mergeCell ref="A7:B7"/>
    <mergeCell ref="A11:B11"/>
    <mergeCell ref="D8:M8"/>
    <mergeCell ref="A8:B8"/>
    <mergeCell ref="D11:E11"/>
    <mergeCell ref="F10:M10"/>
    <mergeCell ref="F11:M11"/>
    <mergeCell ref="B18:C18"/>
    <mergeCell ref="E18:M18"/>
    <mergeCell ref="D6:M6"/>
    <mergeCell ref="D5:M5"/>
    <mergeCell ref="D7:M7"/>
    <mergeCell ref="A12:B12"/>
    <mergeCell ref="A14:B14"/>
    <mergeCell ref="A15:B15"/>
    <mergeCell ref="D14:E14"/>
    <mergeCell ref="D12:E12"/>
    <mergeCell ref="D15:E15"/>
    <mergeCell ref="F12:M12"/>
    <mergeCell ref="F14:M14"/>
    <mergeCell ref="F15:M15"/>
    <mergeCell ref="A13:B13"/>
  </mergeCells>
  <pageMargins left="0.7" right="0.7" top="0.75" bottom="0.75" header="0.3" footer="0.3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zoomScale="85" zoomScaleNormal="85" workbookViewId="0">
      <pane ySplit="1" topLeftCell="A11" activePane="bottomLeft" state="frozen"/>
      <selection pane="bottomLeft" activeCell="E29" sqref="E29"/>
    </sheetView>
  </sheetViews>
  <sheetFormatPr defaultColWidth="9" defaultRowHeight="12.75"/>
  <cols>
    <col min="1" max="1" width="16.75" style="1" customWidth="1"/>
    <col min="2" max="2" width="17" style="1" customWidth="1"/>
    <col min="3" max="3" width="29.375" style="1" customWidth="1"/>
    <col min="4" max="4" width="14" style="1" customWidth="1"/>
    <col min="5" max="5" width="23.75" style="1" customWidth="1"/>
    <col min="6" max="6" width="44.625" style="1" customWidth="1"/>
    <col min="7" max="7" width="45.75" style="1" customWidth="1"/>
    <col min="8" max="8" width="11.875" style="1" bestFit="1" customWidth="1"/>
    <col min="9" max="9" width="13.5" style="1" bestFit="1" customWidth="1"/>
    <col min="10" max="11" width="12.375" style="1" bestFit="1" customWidth="1"/>
    <col min="12" max="12" width="11.625" style="1" customWidth="1"/>
    <col min="13" max="13" width="15.75" style="1" bestFit="1" customWidth="1"/>
    <col min="14" max="16384" width="9" style="1"/>
  </cols>
  <sheetData>
    <row r="1" spans="1:7" ht="13.5" thickBot="1">
      <c r="A1" s="1" t="s">
        <v>15</v>
      </c>
      <c r="B1" s="1" t="s">
        <v>0</v>
      </c>
      <c r="C1" s="1" t="s">
        <v>3</v>
      </c>
      <c r="D1" s="1" t="s">
        <v>16</v>
      </c>
      <c r="E1" s="1" t="s">
        <v>1</v>
      </c>
      <c r="F1" s="1" t="s">
        <v>2</v>
      </c>
      <c r="G1" s="1" t="s">
        <v>5</v>
      </c>
    </row>
    <row r="2" spans="1:7" ht="38.25">
      <c r="A2" s="87" t="s">
        <v>182</v>
      </c>
      <c r="B2" s="62" t="s">
        <v>39</v>
      </c>
      <c r="C2" s="62" t="s">
        <v>88</v>
      </c>
      <c r="D2" s="127">
        <f>(D3*D4*D5)</f>
        <v>2027.2822812748796</v>
      </c>
      <c r="E2" s="62" t="s">
        <v>177</v>
      </c>
      <c r="F2" s="62" t="s">
        <v>183</v>
      </c>
      <c r="G2" s="63" t="s">
        <v>225</v>
      </c>
    </row>
    <row r="3" spans="1:7" ht="75" customHeight="1" thickBot="1">
      <c r="A3" s="64" t="s">
        <v>178</v>
      </c>
      <c r="B3" s="65" t="s">
        <v>179</v>
      </c>
      <c r="C3" s="65" t="s">
        <v>148</v>
      </c>
      <c r="D3" s="178">
        <f>+'Baseline emission'!D42</f>
        <v>2585.8192363199996</v>
      </c>
      <c r="E3" s="65"/>
      <c r="F3" s="65" t="s">
        <v>253</v>
      </c>
      <c r="G3" s="66" t="s">
        <v>307</v>
      </c>
    </row>
    <row r="4" spans="1:7" ht="59.25" customHeight="1">
      <c r="A4" s="64" t="s">
        <v>180</v>
      </c>
      <c r="B4" s="65" t="s">
        <v>149</v>
      </c>
      <c r="C4" s="65"/>
      <c r="D4" s="67">
        <v>2.8000000000000001E-2</v>
      </c>
      <c r="E4" s="65"/>
      <c r="F4" s="62" t="s">
        <v>183</v>
      </c>
      <c r="G4" s="66" t="s">
        <v>150</v>
      </c>
    </row>
    <row r="5" spans="1:7" ht="26.25" thickBot="1">
      <c r="A5" s="68" t="s">
        <v>181</v>
      </c>
      <c r="B5" s="69"/>
      <c r="C5" s="70" t="s">
        <v>26</v>
      </c>
      <c r="D5" s="71">
        <v>28</v>
      </c>
      <c r="E5" s="69"/>
      <c r="F5" s="69" t="s">
        <v>162</v>
      </c>
      <c r="G5" s="72"/>
    </row>
    <row r="6" spans="1:7" ht="25.5">
      <c r="A6" s="12" t="s">
        <v>27</v>
      </c>
      <c r="B6" s="7" t="s">
        <v>28</v>
      </c>
      <c r="C6" s="7" t="s">
        <v>29</v>
      </c>
      <c r="D6" s="6">
        <v>6.7000000000000002E-4</v>
      </c>
      <c r="E6" s="6"/>
      <c r="F6" s="6" t="s">
        <v>114</v>
      </c>
      <c r="G6" s="13"/>
    </row>
    <row r="7" spans="1:7" ht="25.5">
      <c r="A7" s="12" t="s">
        <v>30</v>
      </c>
      <c r="B7" s="6"/>
      <c r="C7" s="7" t="s">
        <v>31</v>
      </c>
      <c r="D7" s="21">
        <f>+'Baseline emission'!D8</f>
        <v>0.71439999999999992</v>
      </c>
      <c r="E7" s="6"/>
      <c r="F7" s="7" t="s">
        <v>82</v>
      </c>
      <c r="G7" s="13" t="s">
        <v>155</v>
      </c>
    </row>
    <row r="8" spans="1:7" ht="42" customHeight="1">
      <c r="A8" s="12" t="s">
        <v>32</v>
      </c>
      <c r="B8" s="7" t="s">
        <v>34</v>
      </c>
      <c r="C8" s="7" t="s">
        <v>33</v>
      </c>
      <c r="D8" s="6">
        <f>'Baseline emission'!D10</f>
        <v>0.24</v>
      </c>
      <c r="E8" s="6"/>
      <c r="F8" s="7" t="s">
        <v>83</v>
      </c>
      <c r="G8" s="13" t="s">
        <v>105</v>
      </c>
    </row>
    <row r="9" spans="1:7" ht="25.5">
      <c r="A9" s="19" t="s">
        <v>91</v>
      </c>
      <c r="B9" s="6"/>
      <c r="C9" s="6" t="s">
        <v>92</v>
      </c>
      <c r="D9" s="8">
        <v>1</v>
      </c>
      <c r="E9" s="6"/>
      <c r="F9" s="6"/>
      <c r="G9" s="14"/>
    </row>
    <row r="10" spans="1:7" ht="13.5" thickBot="1">
      <c r="A10" s="15" t="s">
        <v>35</v>
      </c>
      <c r="B10" s="16"/>
      <c r="C10" s="17" t="s">
        <v>36</v>
      </c>
      <c r="D10" s="16"/>
      <c r="E10" s="16"/>
      <c r="F10" s="16"/>
      <c r="G10" s="18"/>
    </row>
    <row r="11" spans="1:7" ht="13.5" thickBot="1"/>
    <row r="12" spans="1:7" ht="28.5">
      <c r="A12" s="106" t="s">
        <v>185</v>
      </c>
      <c r="B12" s="89" t="s">
        <v>40</v>
      </c>
      <c r="C12" s="89" t="s">
        <v>41</v>
      </c>
      <c r="D12" s="89">
        <f>D15*(1-D14)*D13</f>
        <v>0</v>
      </c>
      <c r="E12" s="90" t="s">
        <v>101</v>
      </c>
      <c r="F12" s="254" t="s">
        <v>337</v>
      </c>
      <c r="G12" s="91" t="s">
        <v>74</v>
      </c>
    </row>
    <row r="13" spans="1:7" ht="25.5">
      <c r="A13" s="92" t="s">
        <v>25</v>
      </c>
      <c r="B13" s="93"/>
      <c r="C13" s="94" t="s">
        <v>26</v>
      </c>
      <c r="D13" s="95">
        <v>28</v>
      </c>
      <c r="E13" s="96"/>
      <c r="F13" s="96"/>
      <c r="G13" s="97"/>
    </row>
    <row r="14" spans="1:7" ht="14.25">
      <c r="A14" s="92" t="s">
        <v>42</v>
      </c>
      <c r="B14" s="96"/>
      <c r="C14" s="96" t="s">
        <v>43</v>
      </c>
      <c r="D14" s="98">
        <v>0.5</v>
      </c>
      <c r="E14" s="96"/>
      <c r="F14" s="99" t="s">
        <v>106</v>
      </c>
      <c r="G14" s="100" t="s">
        <v>110</v>
      </c>
    </row>
    <row r="15" spans="1:7" ht="25.5">
      <c r="A15" s="92" t="s">
        <v>75</v>
      </c>
      <c r="B15" s="96"/>
      <c r="C15" s="96" t="s">
        <v>76</v>
      </c>
      <c r="D15" s="96">
        <f>D16*D17*D18</f>
        <v>0</v>
      </c>
      <c r="E15" s="96" t="s">
        <v>77</v>
      </c>
      <c r="F15" s="96"/>
      <c r="G15" s="97"/>
    </row>
    <row r="16" spans="1:7" ht="38.25">
      <c r="A16" s="92" t="s">
        <v>50</v>
      </c>
      <c r="B16" s="96" t="s">
        <v>51</v>
      </c>
      <c r="C16" s="93" t="s">
        <v>96</v>
      </c>
      <c r="D16" s="96">
        <v>0</v>
      </c>
      <c r="E16" s="96"/>
      <c r="F16" s="96"/>
      <c r="G16" s="97"/>
    </row>
    <row r="17" spans="1:13" ht="38.25">
      <c r="A17" s="101" t="s">
        <v>108</v>
      </c>
      <c r="B17" s="93" t="s">
        <v>97</v>
      </c>
      <c r="C17" s="93" t="s">
        <v>95</v>
      </c>
      <c r="D17" s="98">
        <v>0.65</v>
      </c>
      <c r="E17" s="96"/>
      <c r="F17" s="96"/>
      <c r="G17" s="100" t="s">
        <v>98</v>
      </c>
    </row>
    <row r="18" spans="1:13" ht="26.25" thickBot="1">
      <c r="A18" s="102" t="s">
        <v>93</v>
      </c>
      <c r="B18" s="103" t="s">
        <v>94</v>
      </c>
      <c r="C18" s="104" t="s">
        <v>78</v>
      </c>
      <c r="D18" s="104">
        <v>6.7000000000000002E-4</v>
      </c>
      <c r="E18" s="104"/>
      <c r="F18" s="104"/>
      <c r="G18" s="105"/>
    </row>
    <row r="19" spans="1:13" ht="13.5" thickBot="1"/>
    <row r="20" spans="1:13" ht="49.5">
      <c r="A20" s="107" t="s">
        <v>186</v>
      </c>
      <c r="B20" s="108" t="s">
        <v>4</v>
      </c>
      <c r="C20" s="108" t="s">
        <v>112</v>
      </c>
      <c r="D20" s="125">
        <f>(D21*D24*(1+D22))</f>
        <v>1704.5751800000003</v>
      </c>
      <c r="E20" s="108" t="s">
        <v>161</v>
      </c>
      <c r="F20" s="109"/>
      <c r="G20" s="110"/>
    </row>
    <row r="21" spans="1:13" ht="53.25">
      <c r="A21" s="111" t="s">
        <v>158</v>
      </c>
      <c r="B21" s="112" t="s">
        <v>99</v>
      </c>
      <c r="C21" s="112" t="s">
        <v>100</v>
      </c>
      <c r="D21" s="113">
        <f>'Baseline emission'!D25*0.1</f>
        <v>2987.6000000000004</v>
      </c>
      <c r="E21" s="112"/>
      <c r="F21" s="114" t="s">
        <v>113</v>
      </c>
      <c r="G21" s="115"/>
    </row>
    <row r="22" spans="1:13" ht="68.25" customHeight="1" thickBot="1">
      <c r="A22" s="111" t="s">
        <v>159</v>
      </c>
      <c r="B22" s="112" t="s">
        <v>97</v>
      </c>
      <c r="C22" s="116" t="s">
        <v>160</v>
      </c>
      <c r="D22" s="117">
        <v>0</v>
      </c>
      <c r="E22" s="112"/>
      <c r="F22" s="118" t="s">
        <v>175</v>
      </c>
      <c r="G22" s="119" t="s">
        <v>176</v>
      </c>
      <c r="H22" s="4"/>
      <c r="I22" s="3"/>
    </row>
    <row r="23" spans="1:13">
      <c r="A23" s="111" t="s">
        <v>14</v>
      </c>
      <c r="B23" s="112" t="s">
        <v>13</v>
      </c>
      <c r="C23" s="112" t="s">
        <v>12</v>
      </c>
      <c r="D23" s="120">
        <v>7000</v>
      </c>
      <c r="E23" s="112"/>
      <c r="F23" s="121"/>
      <c r="G23" s="115"/>
      <c r="H23" s="4"/>
      <c r="I23" s="3"/>
      <c r="J23" s="11"/>
      <c r="K23" s="27"/>
      <c r="L23" s="27"/>
      <c r="M23" s="28"/>
    </row>
    <row r="24" spans="1:13" ht="24" customHeight="1" thickBot="1">
      <c r="A24" s="122" t="s">
        <v>102</v>
      </c>
      <c r="B24" s="123" t="s">
        <v>11</v>
      </c>
      <c r="C24" s="123" t="s">
        <v>103</v>
      </c>
      <c r="D24" s="233">
        <f>'Baseline emission'!D26</f>
        <v>0.57055</v>
      </c>
      <c r="E24" s="123"/>
      <c r="F24" s="123" t="str">
        <f>'Baseline emission'!F26</f>
        <v>Calculated as per the applied tool. See CM Calculation Excel Sheet</v>
      </c>
      <c r="G24" s="124"/>
      <c r="H24" s="4"/>
      <c r="I24" s="3"/>
      <c r="J24" s="25"/>
      <c r="K24" s="7"/>
      <c r="L24" s="10"/>
      <c r="M24" s="23"/>
    </row>
    <row r="25" spans="1:13" ht="24" customHeight="1" thickBot="1">
      <c r="A25" s="9"/>
      <c r="B25" s="9"/>
      <c r="C25" s="9"/>
      <c r="D25" s="20"/>
      <c r="E25" s="9"/>
      <c r="F25" s="9"/>
      <c r="G25" s="7"/>
      <c r="H25" s="4"/>
      <c r="I25" s="3"/>
      <c r="J25" s="25"/>
      <c r="K25" s="7"/>
      <c r="L25" s="7"/>
      <c r="M25" s="14"/>
    </row>
    <row r="26" spans="1:13" ht="84" customHeight="1">
      <c r="A26" s="88" t="s">
        <v>184</v>
      </c>
      <c r="B26" s="73" t="s">
        <v>153</v>
      </c>
      <c r="C26" s="73" t="s">
        <v>89</v>
      </c>
      <c r="D26" s="126">
        <f>+D27*D29*D30*0.000001</f>
        <v>1095.9033749999999</v>
      </c>
      <c r="E26" s="74"/>
      <c r="F26" s="75" t="s">
        <v>169</v>
      </c>
      <c r="G26" s="76" t="s">
        <v>170</v>
      </c>
      <c r="H26" s="4"/>
      <c r="I26" s="3"/>
      <c r="J26" s="25"/>
      <c r="K26" s="7"/>
      <c r="L26" s="10"/>
      <c r="M26" s="23"/>
    </row>
    <row r="27" spans="1:13" ht="64.5" customHeight="1" thickBot="1">
      <c r="A27" s="77" t="s">
        <v>86</v>
      </c>
      <c r="B27" s="78" t="s">
        <v>90</v>
      </c>
      <c r="C27" s="78" t="s">
        <v>87</v>
      </c>
      <c r="D27" s="79">
        <v>34675</v>
      </c>
      <c r="E27" s="80"/>
      <c r="F27" s="78"/>
      <c r="G27" s="81" t="s">
        <v>335</v>
      </c>
      <c r="H27" s="4"/>
      <c r="I27" s="3"/>
      <c r="J27" s="26"/>
      <c r="K27" s="24"/>
      <c r="L27" s="17"/>
      <c r="M27" s="18"/>
    </row>
    <row r="28" spans="1:13" ht="64.5" customHeight="1">
      <c r="A28" s="77" t="s">
        <v>171</v>
      </c>
      <c r="B28" s="78" t="s">
        <v>151</v>
      </c>
      <c r="C28" s="78" t="s">
        <v>172</v>
      </c>
      <c r="D28" s="79">
        <f>+D27</f>
        <v>34675</v>
      </c>
      <c r="E28" s="80"/>
      <c r="F28" s="79"/>
      <c r="G28" s="81">
        <f>95*365</f>
        <v>34675</v>
      </c>
      <c r="H28" s="4"/>
      <c r="I28" s="3"/>
      <c r="J28" s="42"/>
      <c r="K28" s="43"/>
      <c r="L28" s="7"/>
      <c r="M28" s="7"/>
    </row>
    <row r="29" spans="1:13" ht="64.5" customHeight="1">
      <c r="A29" s="77" t="s">
        <v>166</v>
      </c>
      <c r="B29" s="78" t="s">
        <v>167</v>
      </c>
      <c r="C29" s="78" t="s">
        <v>168</v>
      </c>
      <c r="D29" s="79">
        <v>245</v>
      </c>
      <c r="E29" s="80"/>
      <c r="F29" s="78" t="s">
        <v>169</v>
      </c>
      <c r="G29" s="81" t="s">
        <v>170</v>
      </c>
      <c r="H29" s="4"/>
      <c r="I29" s="3"/>
      <c r="J29" s="42"/>
      <c r="K29" s="43"/>
      <c r="L29" s="7"/>
      <c r="M29" s="7"/>
    </row>
    <row r="30" spans="1:13" ht="64.5" customHeight="1" thickBot="1">
      <c r="A30" s="82" t="s">
        <v>173</v>
      </c>
      <c r="B30" s="83" t="s">
        <v>152</v>
      </c>
      <c r="C30" s="83" t="s">
        <v>174</v>
      </c>
      <c r="D30" s="84">
        <v>129</v>
      </c>
      <c r="E30" s="85"/>
      <c r="F30" s="83"/>
      <c r="G30" s="86"/>
      <c r="H30" s="4"/>
      <c r="I30" s="3"/>
      <c r="J30" s="42"/>
      <c r="K30" s="43"/>
      <c r="L30" s="7"/>
      <c r="M30" s="7"/>
    </row>
    <row r="31" spans="1:13" ht="29.25" thickBot="1">
      <c r="A31" s="129" t="s">
        <v>79</v>
      </c>
      <c r="B31" s="130" t="s">
        <v>39</v>
      </c>
      <c r="C31" s="130" t="s">
        <v>80</v>
      </c>
      <c r="D31" s="128">
        <f>D2+D12+D20+D26</f>
        <v>4827.7608362748797</v>
      </c>
      <c r="E31" s="130" t="s">
        <v>187</v>
      </c>
      <c r="F31" s="130"/>
      <c r="G31" s="131"/>
      <c r="H31" s="46"/>
      <c r="I31" s="46"/>
    </row>
    <row r="41" spans="1:6">
      <c r="F41" s="1">
        <f>355*365</f>
        <v>129575</v>
      </c>
    </row>
    <row r="43" spans="1:6" ht="25.5" hidden="1">
      <c r="A43" s="1" t="s">
        <v>44</v>
      </c>
      <c r="B43" s="1" t="s">
        <v>45</v>
      </c>
      <c r="C43" s="1" t="s">
        <v>46</v>
      </c>
      <c r="E43" s="1" t="s">
        <v>53</v>
      </c>
    </row>
    <row r="44" spans="1:6" hidden="1"/>
    <row r="45" spans="1:6" ht="25.5" hidden="1">
      <c r="A45" s="1" t="s">
        <v>47</v>
      </c>
      <c r="B45" s="1" t="s">
        <v>48</v>
      </c>
      <c r="C45" s="1" t="s">
        <v>49</v>
      </c>
      <c r="E45" s="1" t="s">
        <v>54</v>
      </c>
    </row>
    <row r="46" spans="1:6" ht="38.25" hidden="1">
      <c r="A46" s="1" t="s">
        <v>50</v>
      </c>
      <c r="B46" s="1" t="s">
        <v>51</v>
      </c>
      <c r="C46" s="1" t="s">
        <v>52</v>
      </c>
    </row>
    <row r="47" spans="1:6" hidden="1"/>
    <row r="48" spans="1:6" ht="25.5" hidden="1">
      <c r="A48" s="1" t="s">
        <v>55</v>
      </c>
      <c r="B48" s="1" t="s">
        <v>56</v>
      </c>
      <c r="C48" s="1" t="s">
        <v>57</v>
      </c>
      <c r="D48" s="1">
        <v>101325</v>
      </c>
    </row>
    <row r="49" spans="1:5" ht="15" hidden="1">
      <c r="A49" s="1" t="s">
        <v>58</v>
      </c>
      <c r="B49" s="1" t="s">
        <v>59</v>
      </c>
      <c r="C49" s="1" t="s">
        <v>70</v>
      </c>
      <c r="D49" s="1">
        <v>8314</v>
      </c>
    </row>
    <row r="50" spans="1:5" ht="25.5" hidden="1">
      <c r="A50" s="1" t="s">
        <v>64</v>
      </c>
      <c r="B50" s="1" t="s">
        <v>65</v>
      </c>
      <c r="C50" s="1" t="s">
        <v>60</v>
      </c>
      <c r="E50" s="1" t="s">
        <v>66</v>
      </c>
    </row>
    <row r="51" spans="1:5" ht="15" hidden="1">
      <c r="A51" s="1" t="s">
        <v>67</v>
      </c>
      <c r="B51" s="1" t="s">
        <v>61</v>
      </c>
      <c r="C51" s="1" t="s">
        <v>62</v>
      </c>
      <c r="D51" s="1">
        <v>273.14999999999998</v>
      </c>
    </row>
    <row r="52" spans="1:5" hidden="1"/>
    <row r="53" spans="1:5" ht="38.25" hidden="1">
      <c r="A53" s="1" t="s">
        <v>68</v>
      </c>
      <c r="C53" s="1" t="s">
        <v>71</v>
      </c>
    </row>
    <row r="54" spans="1:5" ht="25.5" hidden="1">
      <c r="A54" s="1" t="s">
        <v>69</v>
      </c>
      <c r="C54" s="1" t="s">
        <v>72</v>
      </c>
    </row>
    <row r="55" spans="1:5" ht="25.5" hidden="1">
      <c r="A55" s="1" t="s">
        <v>63</v>
      </c>
      <c r="C55" s="1" t="s">
        <v>73</v>
      </c>
    </row>
  </sheetData>
  <phoneticPr fontId="7" type="noConversion"/>
  <dataValidations count="1">
    <dataValidation allowBlank="1" showInputMessage="1" showErrorMessage="1" sqref="D13 D5"/>
  </dataValidations>
  <hyperlinks>
    <hyperlink ref="F22" r:id="rId1"/>
  </hyperlinks>
  <pageMargins left="0.7" right="0.7" top="0.75" bottom="0.75" header="0.3" footer="0.3"/>
  <pageSetup paperSize="9" orientation="portrait" horizontalDpi="4294967293" verticalDpi="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zoomScale="85" zoomScaleNormal="85" workbookViewId="0">
      <selection activeCell="B9" sqref="B9:D9"/>
    </sheetView>
  </sheetViews>
  <sheetFormatPr defaultColWidth="9" defaultRowHeight="12.75"/>
  <cols>
    <col min="1" max="1" width="24.875" customWidth="1"/>
    <col min="2" max="2" width="21.75" customWidth="1"/>
    <col min="4" max="4" width="21.5" customWidth="1"/>
    <col min="5" max="5" width="3.25" customWidth="1"/>
    <col min="6" max="6" width="16.625" customWidth="1"/>
    <col min="7" max="8" width="10.375" bestFit="1" customWidth="1"/>
  </cols>
  <sheetData>
    <row r="1" spans="1:9" ht="44.25" customHeight="1">
      <c r="A1" s="61" t="s">
        <v>256</v>
      </c>
      <c r="B1" s="200" t="s">
        <v>257</v>
      </c>
      <c r="C1" s="200" t="s">
        <v>258</v>
      </c>
      <c r="D1" s="200" t="s">
        <v>259</v>
      </c>
      <c r="H1" t="s">
        <v>278</v>
      </c>
    </row>
    <row r="2" spans="1:9">
      <c r="A2" s="202" t="s">
        <v>308</v>
      </c>
      <c r="B2" s="38">
        <f>('Baseline emission'!D28/365)*H2</f>
        <v>49509.632876712327</v>
      </c>
      <c r="C2" s="38">
        <f>('Project emission'!D$31/365)*H2</f>
        <v>2830.5227916789709</v>
      </c>
      <c r="D2" s="38">
        <f>B2-C2</f>
        <v>46679.110085033353</v>
      </c>
      <c r="F2" s="224">
        <v>42521</v>
      </c>
      <c r="G2" s="224">
        <v>42734</v>
      </c>
      <c r="H2" s="135">
        <f>+G2-F2+1</f>
        <v>214</v>
      </c>
      <c r="I2" s="132"/>
    </row>
    <row r="3" spans="1:9">
      <c r="A3" s="37">
        <v>2021</v>
      </c>
      <c r="B3" s="38">
        <f>ROUND('Baseline emission'!D$27,0)</f>
        <v>92201</v>
      </c>
      <c r="C3" s="38">
        <f>'Project emission'!D$31</f>
        <v>4827.7608362748797</v>
      </c>
      <c r="D3" s="38">
        <f t="shared" ref="D3:D9" si="0">B3-C3</f>
        <v>87373.239163725113</v>
      </c>
      <c r="F3" s="133"/>
      <c r="G3" s="133"/>
      <c r="H3" s="134">
        <v>365</v>
      </c>
      <c r="I3" s="132"/>
    </row>
    <row r="4" spans="1:9">
      <c r="A4" s="37">
        <v>2022</v>
      </c>
      <c r="B4" s="38">
        <f>ROUND('Baseline emission'!D$27,0)</f>
        <v>92201</v>
      </c>
      <c r="C4" s="38">
        <f>'Project emission'!D$31</f>
        <v>4827.7608362748797</v>
      </c>
      <c r="D4" s="38">
        <f t="shared" si="0"/>
        <v>87373.239163725113</v>
      </c>
      <c r="F4" s="133"/>
      <c r="G4" s="133"/>
      <c r="H4" s="134">
        <v>365</v>
      </c>
      <c r="I4" s="132"/>
    </row>
    <row r="5" spans="1:9">
      <c r="A5" s="37">
        <v>2023</v>
      </c>
      <c r="B5" s="38">
        <f>ROUND('Baseline emission'!D$27,0)</f>
        <v>92201</v>
      </c>
      <c r="C5" s="38">
        <f>'Project emission'!D$31</f>
        <v>4827.7608362748797</v>
      </c>
      <c r="D5" s="38">
        <f t="shared" si="0"/>
        <v>87373.239163725113</v>
      </c>
      <c r="F5" s="133"/>
      <c r="G5" s="133"/>
      <c r="H5" s="134">
        <v>365</v>
      </c>
      <c r="I5" s="132"/>
    </row>
    <row r="6" spans="1:9">
      <c r="A6" s="37">
        <v>2024</v>
      </c>
      <c r="B6" s="38">
        <f>ROUND('Baseline emission'!D$27,0)</f>
        <v>92201</v>
      </c>
      <c r="C6" s="38">
        <f>'Project emission'!D$31</f>
        <v>4827.7608362748797</v>
      </c>
      <c r="D6" s="38">
        <f t="shared" si="0"/>
        <v>87373.239163725113</v>
      </c>
      <c r="F6" s="133"/>
      <c r="G6" s="133"/>
      <c r="H6" s="134">
        <v>365</v>
      </c>
      <c r="I6" s="132"/>
    </row>
    <row r="7" spans="1:9">
      <c r="A7" s="37" t="s">
        <v>309</v>
      </c>
      <c r="B7" s="38">
        <f>'Baseline emission'!D$27/365*H7</f>
        <v>38143.427397260275</v>
      </c>
      <c r="C7" s="38">
        <f>'Project emission'!D$31/365*H7</f>
        <v>1997.2380445959093</v>
      </c>
      <c r="D7" s="38">
        <f t="shared" si="0"/>
        <v>36146.189352664369</v>
      </c>
      <c r="F7" s="203">
        <v>44196</v>
      </c>
      <c r="G7" s="203">
        <v>44346</v>
      </c>
      <c r="H7" s="135">
        <f>+G7-F7+1</f>
        <v>151</v>
      </c>
      <c r="I7" s="132"/>
    </row>
    <row r="8" spans="1:9">
      <c r="A8" s="39" t="s">
        <v>147</v>
      </c>
      <c r="B8" s="40">
        <f>B9/5</f>
        <v>91291.41205479452</v>
      </c>
      <c r="C8" s="40">
        <f>C9/5</f>
        <v>4827.7608362748797</v>
      </c>
      <c r="D8" s="40">
        <f>D9/5</f>
        <v>86463.651218519648</v>
      </c>
    </row>
    <row r="9" spans="1:9">
      <c r="A9" s="41" t="s">
        <v>81</v>
      </c>
      <c r="B9" s="38">
        <f>SUM(B2:B7)</f>
        <v>456457.06027397263</v>
      </c>
      <c r="C9" s="38">
        <f>SUM(C2:C7)</f>
        <v>24138.804181374398</v>
      </c>
      <c r="D9" s="38">
        <f t="shared" si="0"/>
        <v>432318.25609259825</v>
      </c>
      <c r="G9" t="s">
        <v>279</v>
      </c>
      <c r="H9" s="132">
        <f>+SUM(H2:H7)</f>
        <v>1825</v>
      </c>
      <c r="I9">
        <f>+H9/5</f>
        <v>365</v>
      </c>
    </row>
    <row r="10" spans="1:9">
      <c r="G10" t="s">
        <v>280</v>
      </c>
      <c r="H10">
        <f>+H9/7</f>
        <v>260.71428571428572</v>
      </c>
    </row>
  </sheetData>
  <phoneticPr fontId="7" type="noConversion"/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D14" sqref="D14"/>
    </sheetView>
  </sheetViews>
  <sheetFormatPr defaultRowHeight="12.75"/>
  <cols>
    <col min="1" max="1" width="21" customWidth="1"/>
    <col min="2" max="2" width="29.375" customWidth="1"/>
    <col min="3" max="3" width="25.875" customWidth="1"/>
    <col min="4" max="4" width="29.125" customWidth="1"/>
    <col min="5" max="5" width="26.625" customWidth="1"/>
  </cols>
  <sheetData>
    <row r="1" spans="1:6" ht="41.25" customHeight="1">
      <c r="A1" s="284" t="s">
        <v>188</v>
      </c>
      <c r="B1" s="284"/>
      <c r="C1" s="284"/>
      <c r="D1" s="284"/>
      <c r="E1" s="284"/>
      <c r="F1" s="136"/>
    </row>
    <row r="2" spans="1:6">
      <c r="A2" s="285" t="s">
        <v>189</v>
      </c>
      <c r="B2" s="285"/>
      <c r="C2" s="285"/>
      <c r="D2" s="285"/>
      <c r="E2" s="285"/>
      <c r="F2" s="136"/>
    </row>
    <row r="3" spans="1:6">
      <c r="A3" s="286" t="s">
        <v>190</v>
      </c>
      <c r="B3" s="286"/>
      <c r="C3" s="286"/>
      <c r="D3" s="286"/>
      <c r="E3" s="286"/>
      <c r="F3" s="286"/>
    </row>
    <row r="4" spans="1:6">
      <c r="A4" s="137" t="s">
        <v>191</v>
      </c>
      <c r="B4" s="137">
        <v>1778.259</v>
      </c>
      <c r="C4" s="137" t="s">
        <v>192</v>
      </c>
      <c r="D4" s="137" t="s">
        <v>193</v>
      </c>
      <c r="E4" s="137">
        <v>358.88</v>
      </c>
      <c r="F4" s="137" t="s">
        <v>192</v>
      </c>
    </row>
    <row r="5" spans="1:6" ht="38.25">
      <c r="A5" s="31" t="s">
        <v>194</v>
      </c>
      <c r="B5" s="138">
        <v>304801.90000000002</v>
      </c>
      <c r="C5" s="137" t="s">
        <v>195</v>
      </c>
      <c r="D5" s="31" t="s">
        <v>194</v>
      </c>
      <c r="E5" s="138">
        <f>B5</f>
        <v>304801.90000000002</v>
      </c>
      <c r="F5" s="137" t="s">
        <v>195</v>
      </c>
    </row>
    <row r="6" spans="1:6">
      <c r="A6" s="137" t="s">
        <v>196</v>
      </c>
      <c r="B6" s="139">
        <f>+B4*1000/B5</f>
        <v>5.8341467031537526</v>
      </c>
      <c r="C6" s="137" t="s">
        <v>197</v>
      </c>
      <c r="D6" s="137" t="s">
        <v>198</v>
      </c>
      <c r="E6" s="139">
        <f>+E4/E5*1000</f>
        <v>1.1774204819589378</v>
      </c>
      <c r="F6" s="137" t="s">
        <v>197</v>
      </c>
    </row>
    <row r="7" spans="1:6" ht="38.25">
      <c r="A7" s="31" t="s">
        <v>199</v>
      </c>
      <c r="B7" s="140">
        <f>+B6*('Baseline emission'!D25/1000)</f>
        <v>174.30096690342151</v>
      </c>
      <c r="C7" s="137" t="s">
        <v>200</v>
      </c>
      <c r="D7" s="31" t="s">
        <v>201</v>
      </c>
      <c r="E7" s="140">
        <f>+E6*('Baseline emission'!D25/1000)</f>
        <v>35.176614319005225</v>
      </c>
      <c r="F7" s="137" t="s">
        <v>200</v>
      </c>
    </row>
  </sheetData>
  <mergeCells count="3">
    <mergeCell ref="A1:E1"/>
    <mergeCell ref="A2:E2"/>
    <mergeCell ref="A3:F3"/>
  </mergeCells>
  <hyperlinks>
    <hyperlink ref="A2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10</vt:i4>
      </vt:variant>
    </vt:vector>
  </HeadingPairs>
  <TitlesOfParts>
    <vt:vector size="10" baseType="lpstr">
      <vt:lpstr>Sheet3</vt:lpstr>
      <vt:lpstr>Sheet2</vt:lpstr>
      <vt:lpstr>Sheet1</vt:lpstr>
      <vt:lpstr>Average Temp</vt:lpstr>
      <vt:lpstr>Baseline emission</vt:lpstr>
      <vt:lpstr>Baseline Heat</vt:lpstr>
      <vt:lpstr>Project emission</vt:lpstr>
      <vt:lpstr>Emission reduction</vt:lpstr>
      <vt:lpstr>SOx and NOx</vt:lpstr>
      <vt:lpstr>CM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xiaodong jia</dc:creator>
  <cp:lastModifiedBy>Engin Koç</cp:lastModifiedBy>
  <dcterms:created xsi:type="dcterms:W3CDTF">2008-09-03T12:42:16Z</dcterms:created>
  <dcterms:modified xsi:type="dcterms:W3CDTF">2021-11-17T00:17:30Z</dcterms:modified>
</cp:coreProperties>
</file>