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caglabalcieris/Desktop/Genel_07012024/Dogan Enerji/Sah RES/Verifikasyon/5.verifikasyon/Sah RES 5. Verifikasyon/"/>
    </mc:Choice>
  </mc:AlternateContent>
  <xr:revisionPtr revIDLastSave="0" documentId="8_{0AC4F3B2-06E3-E141-A8B3-B5CFD1C0E2FF}" xr6:coauthVersionLast="47" xr6:coauthVersionMax="47" xr10:uidLastSave="{00000000-0000-0000-0000-000000000000}"/>
  <bookViews>
    <workbookView xWindow="0" yWindow="660" windowWidth="25600" windowHeight="14540"/>
  </bookViews>
  <sheets>
    <sheet name="Sah 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L9" i="1"/>
  <c r="G80" i="1"/>
  <c r="F80" i="1"/>
  <c r="C80" i="1"/>
  <c r="D78" i="1"/>
  <c r="F77" i="1"/>
  <c r="E77" i="1"/>
  <c r="D77" i="1"/>
  <c r="C77" i="1"/>
  <c r="F76" i="1"/>
  <c r="E76" i="1"/>
  <c r="D76" i="1"/>
  <c r="C76" i="1"/>
  <c r="E78" i="1"/>
  <c r="C58" i="1"/>
  <c r="C59" i="1"/>
  <c r="C60" i="1"/>
  <c r="C61" i="1"/>
  <c r="C62" i="1"/>
  <c r="F62" i="1"/>
  <c r="C63" i="1"/>
  <c r="F63" i="1"/>
  <c r="C64" i="1"/>
  <c r="F64" i="1"/>
  <c r="C65" i="1"/>
  <c r="F65" i="1"/>
  <c r="C66" i="1"/>
  <c r="C67" i="1"/>
  <c r="C68" i="1"/>
  <c r="C69" i="1"/>
  <c r="C70" i="1"/>
  <c r="C71" i="1"/>
  <c r="F71" i="1"/>
  <c r="C72" i="1"/>
  <c r="F72" i="1"/>
  <c r="C73" i="1"/>
  <c r="F73" i="1"/>
  <c r="C74" i="1"/>
  <c r="C57" i="1"/>
  <c r="H42" i="1"/>
  <c r="H40" i="1"/>
  <c r="H39" i="1"/>
  <c r="H38" i="1"/>
  <c r="E40" i="1"/>
  <c r="D40" i="1"/>
  <c r="C40" i="1"/>
  <c r="E39" i="1"/>
  <c r="D39" i="1"/>
  <c r="C39" i="1"/>
  <c r="C38" i="1"/>
  <c r="E38" i="1"/>
  <c r="M2" i="1"/>
  <c r="C35" i="1"/>
  <c r="D36" i="1"/>
  <c r="C36" i="1"/>
  <c r="K36" i="1"/>
  <c r="D35" i="1"/>
  <c r="L35" i="1"/>
  <c r="K35" i="1"/>
  <c r="D34" i="1"/>
  <c r="C34" i="1"/>
  <c r="K34" i="1"/>
  <c r="J36" i="1"/>
  <c r="L36" i="1"/>
  <c r="I36" i="1"/>
  <c r="J35" i="1"/>
  <c r="I35" i="1"/>
  <c r="J34" i="1"/>
  <c r="L34" i="1"/>
  <c r="I34" i="1"/>
  <c r="J33" i="1"/>
  <c r="I33" i="1"/>
  <c r="J32" i="1"/>
  <c r="I32" i="1"/>
  <c r="J31" i="1"/>
  <c r="I31" i="1"/>
  <c r="J30" i="1"/>
  <c r="I30" i="1"/>
  <c r="J29" i="1"/>
  <c r="I29" i="1"/>
  <c r="J28" i="1"/>
  <c r="L28" i="1"/>
  <c r="I28" i="1"/>
  <c r="K28" i="1"/>
  <c r="J27" i="1"/>
  <c r="L27" i="1"/>
  <c r="I27" i="1"/>
  <c r="J26" i="1"/>
  <c r="I26" i="1"/>
  <c r="J25" i="1"/>
  <c r="L25" i="1"/>
  <c r="I25" i="1"/>
  <c r="K25" i="1"/>
  <c r="J24" i="1"/>
  <c r="I24" i="1"/>
  <c r="J23" i="1"/>
  <c r="I23" i="1"/>
  <c r="J22" i="1"/>
  <c r="I22" i="1"/>
  <c r="J21" i="1"/>
  <c r="I21" i="1"/>
  <c r="J20" i="1"/>
  <c r="I20" i="1"/>
  <c r="K20" i="1"/>
  <c r="J19" i="1"/>
  <c r="I19" i="1"/>
  <c r="D33" i="1"/>
  <c r="C33" i="1"/>
  <c r="D32" i="1"/>
  <c r="L32" i="1"/>
  <c r="C32" i="1"/>
  <c r="K32" i="1"/>
  <c r="D31" i="1"/>
  <c r="L31" i="1"/>
  <c r="C31" i="1"/>
  <c r="K31" i="1"/>
  <c r="D30" i="1"/>
  <c r="C30" i="1"/>
  <c r="K30" i="1"/>
  <c r="D29" i="1"/>
  <c r="L29" i="1"/>
  <c r="C29" i="1"/>
  <c r="E29" i="1"/>
  <c r="G29" i="1"/>
  <c r="D28" i="1"/>
  <c r="C28" i="1"/>
  <c r="D27" i="1"/>
  <c r="C27" i="1"/>
  <c r="K27" i="1"/>
  <c r="D26" i="1"/>
  <c r="L26" i="1"/>
  <c r="C26" i="1"/>
  <c r="E26" i="1"/>
  <c r="G26" i="1"/>
  <c r="D25" i="1"/>
  <c r="C25" i="1"/>
  <c r="D24" i="1"/>
  <c r="C24" i="1"/>
  <c r="E24" i="1"/>
  <c r="G24" i="1"/>
  <c r="D23" i="1"/>
  <c r="C23" i="1"/>
  <c r="E23" i="1"/>
  <c r="D22" i="1"/>
  <c r="C22" i="1"/>
  <c r="D21" i="1"/>
  <c r="L21" i="1"/>
  <c r="C21" i="1"/>
  <c r="E21" i="1"/>
  <c r="G21" i="1"/>
  <c r="D20" i="1"/>
  <c r="C20" i="1"/>
  <c r="E20" i="1"/>
  <c r="G20" i="1"/>
  <c r="D19" i="1"/>
  <c r="C19" i="1"/>
  <c r="E19" i="1"/>
  <c r="E32" i="1"/>
  <c r="G32" i="1"/>
  <c r="K9" i="1"/>
  <c r="E80" i="1"/>
  <c r="F66" i="1"/>
  <c r="F67" i="1"/>
  <c r="F68" i="1"/>
  <c r="F69" i="1"/>
  <c r="F70" i="1"/>
  <c r="F74" i="1"/>
  <c r="F58" i="1"/>
  <c r="F59" i="1"/>
  <c r="F60" i="1"/>
  <c r="F61" i="1"/>
  <c r="E33" i="1"/>
  <c r="G33" i="1"/>
  <c r="E28" i="1"/>
  <c r="G28" i="1"/>
  <c r="E22" i="1"/>
  <c r="L30" i="1"/>
  <c r="L23" i="1"/>
  <c r="L22" i="1"/>
  <c r="F57" i="1"/>
  <c r="L20" i="1"/>
  <c r="E25" i="1"/>
  <c r="G25" i="1"/>
  <c r="L33" i="1"/>
  <c r="K33" i="1"/>
  <c r="K22" i="1"/>
  <c r="L24" i="1"/>
  <c r="G22" i="1"/>
  <c r="K21" i="1"/>
  <c r="D38" i="1"/>
  <c r="L19" i="1"/>
  <c r="E36" i="1"/>
  <c r="G36" i="1"/>
  <c r="E34" i="1"/>
  <c r="D80" i="1"/>
  <c r="F78" i="1"/>
  <c r="G78" i="1"/>
  <c r="C78" i="1"/>
  <c r="G77" i="1"/>
  <c r="G19" i="1"/>
  <c r="G76" i="1"/>
  <c r="G23" i="1"/>
  <c r="D42" i="1"/>
  <c r="K10" i="1"/>
  <c r="K24" i="1"/>
  <c r="E27" i="1"/>
  <c r="G27" i="1"/>
  <c r="K26" i="1"/>
  <c r="K29" i="1"/>
  <c r="E31" i="1"/>
  <c r="G31" i="1"/>
  <c r="E35" i="1"/>
  <c r="G35" i="1"/>
  <c r="E30" i="1"/>
  <c r="G30" i="1"/>
  <c r="K19" i="1"/>
  <c r="C42" i="1"/>
  <c r="K23" i="1"/>
  <c r="G34" i="1"/>
  <c r="G39" i="1"/>
  <c r="G40" i="1"/>
  <c r="E42" i="1"/>
  <c r="G38" i="1"/>
  <c r="J12" i="1"/>
  <c r="J15" i="1"/>
  <c r="J13" i="1"/>
  <c r="J16" i="1"/>
  <c r="G42" i="1"/>
</calcChain>
</file>

<file path=xl/sharedStrings.xml><?xml version="1.0" encoding="utf-8"?>
<sst xmlns="http://schemas.openxmlformats.org/spreadsheetml/2006/main" count="99" uniqueCount="70">
  <si>
    <t>Month</t>
  </si>
  <si>
    <t>(A)
Electricity
supplied to
the grid
[kWh]</t>
  </si>
  <si>
    <t>(B)
Electricity
consumption
from the grid
[kWh]</t>
  </si>
  <si>
    <t>(C) = (A) - (B)
EG (ID 8)
Net electricity
supplied to the grid
[kWh]</t>
  </si>
  <si>
    <t>GOLD STANDARD - VOLUNTARY EMISSION REDUCTIONS</t>
  </si>
  <si>
    <t>Emission Reduction Calucalations</t>
  </si>
  <si>
    <t>Project Name:</t>
  </si>
  <si>
    <t>Gold Satandard Project ID:</t>
  </si>
  <si>
    <t>Monitoring Period:</t>
  </si>
  <si>
    <t>Project Emissions (PE)</t>
  </si>
  <si>
    <t>Baseline Emissions (BE)</t>
  </si>
  <si>
    <t>Leakege (L)</t>
  </si>
  <si>
    <t>Emission Reductions (ER)</t>
  </si>
  <si>
    <t xml:space="preserve">Project emission: </t>
  </si>
  <si>
    <t xml:space="preserve">Baseline
emission:
</t>
  </si>
  <si>
    <t xml:space="preserve">Leakge: </t>
  </si>
  <si>
    <t>[t CO2-eq]</t>
  </si>
  <si>
    <t>(ER=BE-PE-L)</t>
  </si>
  <si>
    <t xml:space="preserve">Emission Reductions: </t>
  </si>
  <si>
    <t>t CO2-eq</t>
  </si>
  <si>
    <t>Rounded Value</t>
  </si>
  <si>
    <r>
      <t>EF  [tCO</t>
    </r>
    <r>
      <rPr>
        <b/>
        <vertAlign val="subscript"/>
        <sz val="12"/>
        <rFont val="Times New Roman"/>
        <family val="1"/>
        <charset val="162"/>
      </rPr>
      <t>2</t>
    </r>
    <r>
      <rPr>
        <b/>
        <sz val="12"/>
        <rFont val="Times New Roman"/>
        <family val="1"/>
        <charset val="162"/>
      </rPr>
      <t>/MWh]</t>
    </r>
  </si>
  <si>
    <r>
      <t>Baseline
emission:
BR = EG * EF)
[t CO</t>
    </r>
    <r>
      <rPr>
        <b/>
        <vertAlign val="subscript"/>
        <sz val="12"/>
        <rFont val="Times New Roman"/>
        <family val="1"/>
        <charset val="162"/>
      </rPr>
      <t>2</t>
    </r>
    <r>
      <rPr>
        <b/>
        <sz val="12"/>
        <rFont val="Times New Roman"/>
        <family val="1"/>
        <charset val="162"/>
      </rPr>
      <t>-eq]</t>
    </r>
  </si>
  <si>
    <t>Table of values according to EPIAS (values in kWh)</t>
  </si>
  <si>
    <t>For A-OSOS (teias protocol) Electricity Supplied Amount (kWh)</t>
  </si>
  <si>
    <t>For B-OSOS Electricity Consumption Amount (kWh)</t>
  </si>
  <si>
    <t>(B) için  OSOS (Tutanak) ile EPIAS farkı</t>
  </si>
  <si>
    <t>(A) için OSOS (tutanak) ile  EPIAS farkı</t>
  </si>
  <si>
    <t>İletim Hattı Kaybı (Transmission Lost)*</t>
  </si>
  <si>
    <t>Vintage 2021 Emission Reductions</t>
  </si>
  <si>
    <t>Total Emission Reductions for the Third Period</t>
  </si>
  <si>
    <t>No leakage is to be accounted by the Project. This is in line with the registered PDD and applicable methodology ACM0002 Version 18.1.</t>
  </si>
  <si>
    <t xml:space="preserve">Project emissions are negligable. In accordance to the registered PDD and applicable methodology ACM0002 Version 18.1., no project emissions are to be accounted by the Project. </t>
  </si>
  <si>
    <t xml:space="preserve">Electricity Generation </t>
  </si>
  <si>
    <t>one year</t>
  </si>
  <si>
    <t>Monitoring period days</t>
  </si>
  <si>
    <t>Expectation value for Emission Reduction in PDD</t>
  </si>
  <si>
    <t>Actual value for Emission Reduction</t>
  </si>
  <si>
    <t>The diffrence comparison for Emission Reduction</t>
  </si>
  <si>
    <t>Actual value for Electricity Generation</t>
  </si>
  <si>
    <t>The diffrence comparison for Electricity Generation</t>
  </si>
  <si>
    <t>Vintage 2022 Emission Reductions</t>
  </si>
  <si>
    <t>Sah Wind Power Plant</t>
  </si>
  <si>
    <t>GS905</t>
  </si>
  <si>
    <t>Expectation value for Electricity Generation in PDD</t>
  </si>
  <si>
    <t xml:space="preserve">Fifth Monitoring Period </t>
  </si>
  <si>
    <t>from 01/10/2022 to 31/03/2024</t>
  </si>
  <si>
    <t>October 2022</t>
  </si>
  <si>
    <t>November 2022</t>
  </si>
  <si>
    <t>Decamber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</si>
  <si>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</si>
  <si>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</si>
  <si>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</si>
  <si>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</si>
  <si>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</si>
  <si>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</si>
  <si>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</si>
  <si>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</si>
  <si>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</si>
  <si>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</si>
  <si>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</si>
  <si>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Decamber 2023</t>
  </si>
  <si>
    <t>January 2024</t>
  </si>
  <si>
    <t>February 2024</t>
  </si>
  <si>
    <t>March 2024</t>
  </si>
  <si>
    <t>Sum (01/10/2022 - 31/12/2022)</t>
  </si>
  <si>
    <t>Sum (01/01/2023- 31/12/2023)</t>
  </si>
  <si>
    <t>Sum (01/01/2024- 31/03/2024)</t>
  </si>
  <si>
    <t>Sum (01/10/2022 - 31/03/2024)</t>
  </si>
  <si>
    <t>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</si>
</sst>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6" formatCode="#,##0.000"/>
    <numFmt numFmtId="201" formatCode="#,##0.0000"/>
  </numFmts>
  <fonts count="3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vertAlign val="subscript"/>
      <sz val="12"/>
      <name val="Times New Roman"/>
      <family val="1"/>
      <charset val="162"/>
    </font>
    <font>
      <sz val="12"/>
      <name val="Times New Roman"/>
      <family val="1"/>
    </font>
    <font>
      <sz val="12"/>
      <color indexed="8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2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6" borderId="6" applyNumberFormat="0" applyAlignment="0" applyProtection="0"/>
    <xf numFmtId="0" fontId="12" fillId="7" borderId="5" applyNumberFormat="0" applyAlignment="0" applyProtection="0"/>
    <xf numFmtId="0" fontId="1" fillId="0" borderId="0"/>
    <xf numFmtId="0" fontId="2" fillId="0" borderId="0"/>
    <xf numFmtId="0" fontId="3" fillId="17" borderId="7" applyNumberFormat="0" applyFont="0" applyAlignment="0" applyProtection="0"/>
    <xf numFmtId="9" fontId="15" fillId="0" borderId="0" applyFont="0" applyFill="0" applyBorder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</cellStyleXfs>
  <cellXfs count="103">
    <xf numFmtId="0" fontId="0" fillId="0" borderId="0" xfId="0"/>
    <xf numFmtId="0" fontId="28" fillId="18" borderId="9" xfId="0" applyFont="1" applyFill="1" applyBorder="1"/>
    <xf numFmtId="0" fontId="28" fillId="18" borderId="10" xfId="0" applyFont="1" applyFill="1" applyBorder="1"/>
    <xf numFmtId="0" fontId="28" fillId="18" borderId="11" xfId="0" applyFont="1" applyFill="1" applyBorder="1"/>
    <xf numFmtId="0" fontId="28" fillId="0" borderId="0" xfId="0" applyFont="1"/>
    <xf numFmtId="0" fontId="28" fillId="18" borderId="12" xfId="0" applyFont="1" applyFill="1" applyBorder="1"/>
    <xf numFmtId="0" fontId="16" fillId="18" borderId="0" xfId="29" applyFont="1" applyFill="1" applyBorder="1" applyAlignment="1"/>
    <xf numFmtId="0" fontId="28" fillId="18" borderId="13" xfId="0" applyFont="1" applyFill="1" applyBorder="1"/>
    <xf numFmtId="0" fontId="17" fillId="18" borderId="0" xfId="0" applyFont="1" applyFill="1" applyBorder="1"/>
    <xf numFmtId="0" fontId="17" fillId="18" borderId="9" xfId="0" applyFont="1" applyFill="1" applyBorder="1"/>
    <xf numFmtId="0" fontId="17" fillId="18" borderId="11" xfId="0" applyFont="1" applyFill="1" applyBorder="1"/>
    <xf numFmtId="0" fontId="17" fillId="18" borderId="14" xfId="0" applyFont="1" applyFill="1" applyBorder="1"/>
    <xf numFmtId="0" fontId="17" fillId="18" borderId="15" xfId="0" applyFont="1" applyFill="1" applyBorder="1"/>
    <xf numFmtId="0" fontId="17" fillId="18" borderId="16" xfId="0" applyFont="1" applyFill="1" applyBorder="1"/>
    <xf numFmtId="0" fontId="17" fillId="18" borderId="12" xfId="0" applyFont="1" applyFill="1" applyBorder="1"/>
    <xf numFmtId="0" fontId="17" fillId="18" borderId="13" xfId="0" applyFont="1" applyFill="1" applyBorder="1"/>
    <xf numFmtId="0" fontId="17" fillId="18" borderId="17" xfId="0" applyFont="1" applyFill="1" applyBorder="1"/>
    <xf numFmtId="0" fontId="22" fillId="18" borderId="0" xfId="28" applyFont="1" applyFill="1" applyBorder="1" applyAlignment="1">
      <alignment horizontal="left"/>
    </xf>
    <xf numFmtId="0" fontId="23" fillId="18" borderId="0" xfId="28" applyFont="1" applyFill="1" applyBorder="1"/>
    <xf numFmtId="0" fontId="18" fillId="19" borderId="18" xfId="29" applyFont="1" applyFill="1" applyBorder="1" applyAlignment="1">
      <alignment horizontal="center" vertical="center"/>
    </xf>
    <xf numFmtId="0" fontId="18" fillId="19" borderId="19" xfId="29" applyFont="1" applyFill="1" applyBorder="1" applyAlignment="1">
      <alignment horizontal="center" vertical="center" wrapText="1"/>
    </xf>
    <xf numFmtId="0" fontId="18" fillId="19" borderId="20" xfId="29" applyFont="1" applyFill="1" applyBorder="1" applyAlignment="1">
      <alignment horizontal="center" vertical="center" wrapText="1"/>
    </xf>
    <xf numFmtId="49" fontId="25" fillId="18" borderId="17" xfId="28" applyNumberFormat="1" applyFont="1" applyFill="1" applyBorder="1" applyAlignment="1">
      <alignment horizontal="center"/>
    </xf>
    <xf numFmtId="3" fontId="25" fillId="18" borderId="21" xfId="28" applyNumberFormat="1" applyFont="1" applyFill="1" applyBorder="1" applyAlignment="1">
      <alignment horizontal="right"/>
    </xf>
    <xf numFmtId="3" fontId="26" fillId="18" borderId="21" xfId="29" applyNumberFormat="1" applyFont="1" applyFill="1" applyBorder="1" applyAlignment="1">
      <alignment horizontal="right"/>
    </xf>
    <xf numFmtId="49" fontId="18" fillId="18" borderId="22" xfId="28" applyNumberFormat="1" applyFont="1" applyFill="1" applyBorder="1" applyAlignment="1">
      <alignment horizontal="center" wrapText="1"/>
    </xf>
    <xf numFmtId="3" fontId="19" fillId="18" borderId="23" xfId="0" applyNumberFormat="1" applyFont="1" applyFill="1" applyBorder="1"/>
    <xf numFmtId="3" fontId="19" fillId="18" borderId="24" xfId="0" applyNumberFormat="1" applyFont="1" applyFill="1" applyBorder="1"/>
    <xf numFmtId="0" fontId="18" fillId="19" borderId="25" xfId="29" applyFont="1" applyFill="1" applyBorder="1" applyAlignment="1">
      <alignment horizontal="center" vertical="center" wrapText="1"/>
    </xf>
    <xf numFmtId="0" fontId="20" fillId="19" borderId="26" xfId="0" applyFont="1" applyFill="1" applyBorder="1" applyAlignment="1">
      <alignment horizontal="center"/>
    </xf>
    <xf numFmtId="196" fontId="18" fillId="19" borderId="26" xfId="29" applyNumberFormat="1" applyFont="1" applyFill="1" applyBorder="1" applyAlignment="1">
      <alignment horizontal="center"/>
    </xf>
    <xf numFmtId="4" fontId="18" fillId="18" borderId="0" xfId="29" applyNumberFormat="1" applyFont="1" applyFill="1" applyBorder="1" applyAlignment="1">
      <alignment horizontal="right"/>
    </xf>
    <xf numFmtId="3" fontId="18" fillId="19" borderId="26" xfId="28" applyNumberFormat="1" applyFont="1" applyFill="1" applyBorder="1" applyAlignment="1">
      <alignment horizontal="center"/>
    </xf>
    <xf numFmtId="3" fontId="18" fillId="19" borderId="26" xfId="29" applyNumberFormat="1" applyFont="1" applyFill="1" applyBorder="1" applyAlignment="1">
      <alignment horizontal="center"/>
    </xf>
    <xf numFmtId="4" fontId="25" fillId="18" borderId="27" xfId="29" applyNumberFormat="1" applyFont="1" applyFill="1" applyBorder="1" applyAlignment="1">
      <alignment horizontal="right"/>
    </xf>
    <xf numFmtId="0" fontId="17" fillId="18" borderId="28" xfId="0" applyFont="1" applyFill="1" applyBorder="1"/>
    <xf numFmtId="0" fontId="17" fillId="0" borderId="0" xfId="0" applyFont="1"/>
    <xf numFmtId="3" fontId="30" fillId="18" borderId="29" xfId="0" applyNumberFormat="1" applyFont="1" applyFill="1" applyBorder="1" applyAlignment="1">
      <alignment horizontal="center"/>
    </xf>
    <xf numFmtId="0" fontId="17" fillId="18" borderId="30" xfId="0" applyFont="1" applyFill="1" applyBorder="1"/>
    <xf numFmtId="0" fontId="18" fillId="18" borderId="31" xfId="29" applyFont="1" applyFill="1" applyBorder="1" applyAlignment="1">
      <alignment horizontal="center" vertical="center" wrapText="1"/>
    </xf>
    <xf numFmtId="3" fontId="30" fillId="18" borderId="32" xfId="0" applyNumberFormat="1" applyFont="1" applyFill="1" applyBorder="1" applyAlignment="1">
      <alignment horizontal="center"/>
    </xf>
    <xf numFmtId="0" fontId="18" fillId="21" borderId="19" xfId="29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3" fontId="28" fillId="0" borderId="0" xfId="0" applyNumberFormat="1" applyFont="1" applyAlignment="1">
      <alignment horizontal="center"/>
    </xf>
    <xf numFmtId="0" fontId="18" fillId="22" borderId="19" xfId="29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3" fontId="31" fillId="0" borderId="0" xfId="0" applyNumberFormat="1" applyFont="1"/>
    <xf numFmtId="4" fontId="32" fillId="18" borderId="9" xfId="0" applyNumberFormat="1" applyFont="1" applyFill="1" applyBorder="1" applyAlignment="1">
      <alignment horizontal="center"/>
    </xf>
    <xf numFmtId="49" fontId="25" fillId="0" borderId="17" xfId="28" applyNumberFormat="1" applyFont="1" applyFill="1" applyBorder="1" applyAlignment="1">
      <alignment horizontal="center"/>
    </xf>
    <xf numFmtId="4" fontId="26" fillId="18" borderId="25" xfId="28" applyNumberFormat="1" applyFont="1" applyFill="1" applyBorder="1" applyAlignment="1">
      <alignment horizontal="right"/>
    </xf>
    <xf numFmtId="10" fontId="28" fillId="0" borderId="0" xfId="31" applyNumberFormat="1" applyFont="1"/>
    <xf numFmtId="0" fontId="31" fillId="0" borderId="0" xfId="0" applyFont="1"/>
    <xf numFmtId="3" fontId="26" fillId="18" borderId="25" xfId="29" applyNumberFormat="1" applyFont="1" applyFill="1" applyBorder="1" applyAlignment="1">
      <alignment horizontal="right"/>
    </xf>
    <xf numFmtId="3" fontId="30" fillId="18" borderId="30" xfId="0" applyNumberFormat="1" applyFont="1" applyFill="1" applyBorder="1" applyAlignment="1">
      <alignment horizontal="center"/>
    </xf>
    <xf numFmtId="201" fontId="25" fillId="18" borderId="21" xfId="29" applyNumberFormat="1" applyFont="1" applyFill="1" applyBorder="1" applyAlignment="1">
      <alignment horizontal="right"/>
    </xf>
    <xf numFmtId="3" fontId="25" fillId="23" borderId="21" xfId="28" applyNumberFormat="1" applyFont="1" applyFill="1" applyBorder="1" applyAlignment="1">
      <alignment horizontal="right"/>
    </xf>
    <xf numFmtId="4" fontId="32" fillId="18" borderId="33" xfId="0" applyNumberFormat="1" applyFont="1" applyFill="1" applyBorder="1" applyAlignment="1">
      <alignment horizontal="center"/>
    </xf>
    <xf numFmtId="0" fontId="33" fillId="0" borderId="0" xfId="0" applyFont="1"/>
    <xf numFmtId="0" fontId="34" fillId="0" borderId="0" xfId="0" applyFont="1"/>
    <xf numFmtId="10" fontId="33" fillId="0" borderId="0" xfId="0" applyNumberFormat="1" applyFont="1"/>
    <xf numFmtId="3" fontId="33" fillId="0" borderId="0" xfId="0" applyNumberFormat="1" applyFont="1" applyFill="1"/>
    <xf numFmtId="14" fontId="28" fillId="0" borderId="0" xfId="0" applyNumberFormat="1" applyFont="1"/>
    <xf numFmtId="3" fontId="35" fillId="0" borderId="0" xfId="0" applyNumberFormat="1" applyFont="1" applyFill="1"/>
    <xf numFmtId="3" fontId="28" fillId="0" borderId="0" xfId="0" applyNumberFormat="1" applyFont="1"/>
    <xf numFmtId="3" fontId="33" fillId="0" borderId="0" xfId="0" applyNumberFormat="1" applyFont="1"/>
    <xf numFmtId="196" fontId="33" fillId="0" borderId="0" xfId="0" applyNumberFormat="1" applyFont="1"/>
    <xf numFmtId="196" fontId="35" fillId="0" borderId="0" xfId="0" applyNumberFormat="1" applyFont="1" applyFill="1"/>
    <xf numFmtId="0" fontId="28" fillId="18" borderId="0" xfId="0" applyFont="1" applyFill="1" applyBorder="1"/>
    <xf numFmtId="49" fontId="29" fillId="18" borderId="22" xfId="28" applyNumberFormat="1" applyFont="1" applyFill="1" applyBorder="1" applyAlignment="1">
      <alignment horizontal="center" wrapText="1"/>
    </xf>
    <xf numFmtId="0" fontId="28" fillId="18" borderId="32" xfId="0" applyFont="1" applyFill="1" applyBorder="1"/>
    <xf numFmtId="0" fontId="28" fillId="0" borderId="21" xfId="0" applyFont="1" applyBorder="1"/>
    <xf numFmtId="3" fontId="19" fillId="18" borderId="34" xfId="0" applyNumberFormat="1" applyFont="1" applyFill="1" applyBorder="1"/>
    <xf numFmtId="201" fontId="25" fillId="18" borderId="25" xfId="29" applyNumberFormat="1" applyFont="1" applyFill="1" applyBorder="1" applyAlignment="1">
      <alignment horizontal="right"/>
    </xf>
    <xf numFmtId="3" fontId="19" fillId="18" borderId="21" xfId="0" applyNumberFormat="1" applyFont="1" applyFill="1" applyBorder="1"/>
    <xf numFmtId="3" fontId="18" fillId="18" borderId="27" xfId="29" applyNumberFormat="1" applyFont="1" applyFill="1" applyBorder="1" applyAlignment="1">
      <alignment horizontal="right"/>
    </xf>
    <xf numFmtId="3" fontId="18" fillId="18" borderId="21" xfId="29" applyNumberFormat="1" applyFont="1" applyFill="1" applyBorder="1" applyAlignment="1">
      <alignment horizontal="right"/>
    </xf>
    <xf numFmtId="3" fontId="16" fillId="18" borderId="35" xfId="28" applyNumberFormat="1" applyFont="1" applyFill="1" applyBorder="1" applyAlignment="1">
      <alignment horizontal="right"/>
    </xf>
    <xf numFmtId="0" fontId="17" fillId="18" borderId="9" xfId="0" applyFont="1" applyFill="1" applyBorder="1" applyAlignment="1">
      <alignment horizontal="center"/>
    </xf>
    <xf numFmtId="0" fontId="17" fillId="18" borderId="10" xfId="0" applyFont="1" applyFill="1" applyBorder="1" applyAlignment="1">
      <alignment horizontal="center"/>
    </xf>
    <xf numFmtId="0" fontId="17" fillId="18" borderId="11" xfId="0" applyFont="1" applyFill="1" applyBorder="1" applyAlignment="1">
      <alignment horizontal="center"/>
    </xf>
    <xf numFmtId="0" fontId="17" fillId="18" borderId="12" xfId="0" applyFont="1" applyFill="1" applyBorder="1" applyAlignment="1">
      <alignment horizontal="center"/>
    </xf>
    <xf numFmtId="0" fontId="17" fillId="18" borderId="0" xfId="0" applyFont="1" applyFill="1" applyBorder="1" applyAlignment="1">
      <alignment horizontal="center"/>
    </xf>
    <xf numFmtId="0" fontId="17" fillId="18" borderId="13" xfId="0" applyFont="1" applyFill="1" applyBorder="1" applyAlignment="1">
      <alignment horizontal="center"/>
    </xf>
    <xf numFmtId="0" fontId="17" fillId="18" borderId="38" xfId="0" applyFont="1" applyFill="1" applyBorder="1" applyAlignment="1">
      <alignment horizontal="center"/>
    </xf>
    <xf numFmtId="0" fontId="17" fillId="18" borderId="39" xfId="0" applyFont="1" applyFill="1" applyBorder="1" applyAlignment="1">
      <alignment horizontal="center"/>
    </xf>
    <xf numFmtId="0" fontId="17" fillId="18" borderId="40" xfId="0" applyFont="1" applyFill="1" applyBorder="1" applyAlignment="1">
      <alignment horizontal="center"/>
    </xf>
    <xf numFmtId="0" fontId="21" fillId="20" borderId="33" xfId="0" applyFont="1" applyFill="1" applyBorder="1" applyAlignment="1">
      <alignment horizontal="center"/>
    </xf>
    <xf numFmtId="0" fontId="21" fillId="20" borderId="28" xfId="0" applyFont="1" applyFill="1" applyBorder="1" applyAlignment="1">
      <alignment horizontal="center"/>
    </xf>
    <xf numFmtId="0" fontId="21" fillId="20" borderId="30" xfId="0" applyFont="1" applyFill="1" applyBorder="1" applyAlignment="1">
      <alignment horizontal="center"/>
    </xf>
    <xf numFmtId="0" fontId="17" fillId="18" borderId="38" xfId="0" applyFont="1" applyFill="1" applyBorder="1" applyAlignment="1">
      <alignment horizontal="left" wrapText="1"/>
    </xf>
    <xf numFmtId="0" fontId="17" fillId="18" borderId="39" xfId="0" applyFont="1" applyFill="1" applyBorder="1" applyAlignment="1">
      <alignment horizontal="left" wrapText="1"/>
    </xf>
    <xf numFmtId="0" fontId="18" fillId="19" borderId="36" xfId="29" applyFont="1" applyFill="1" applyBorder="1" applyAlignment="1">
      <alignment horizontal="center" vertical="center"/>
    </xf>
    <xf numFmtId="0" fontId="18" fillId="19" borderId="37" xfId="29" applyFont="1" applyFill="1" applyBorder="1" applyAlignment="1">
      <alignment horizontal="center" vertical="center"/>
    </xf>
    <xf numFmtId="49" fontId="27" fillId="20" borderId="33" xfId="28" applyNumberFormat="1" applyFont="1" applyFill="1" applyBorder="1" applyAlignment="1">
      <alignment horizontal="center"/>
    </xf>
    <xf numFmtId="49" fontId="27" fillId="20" borderId="28" xfId="28" applyNumberFormat="1" applyFont="1" applyFill="1" applyBorder="1" applyAlignment="1">
      <alignment horizontal="center"/>
    </xf>
    <xf numFmtId="49" fontId="27" fillId="20" borderId="30" xfId="28" applyNumberFormat="1" applyFont="1" applyFill="1" applyBorder="1" applyAlignment="1">
      <alignment horizontal="center"/>
    </xf>
    <xf numFmtId="0" fontId="17" fillId="18" borderId="33" xfId="0" applyFont="1" applyFill="1" applyBorder="1" applyAlignment="1">
      <alignment horizontal="left" wrapText="1"/>
    </xf>
    <xf numFmtId="0" fontId="17" fillId="18" borderId="28" xfId="0" applyFont="1" applyFill="1" applyBorder="1" applyAlignment="1">
      <alignment horizontal="left" wrapText="1"/>
    </xf>
    <xf numFmtId="0" fontId="17" fillId="18" borderId="30" xfId="0" applyFont="1" applyFill="1" applyBorder="1" applyAlignment="1">
      <alignment horizontal="left" wrapText="1"/>
    </xf>
    <xf numFmtId="0" fontId="21" fillId="20" borderId="0" xfId="0" applyFont="1" applyFill="1" applyBorder="1" applyAlignment="1">
      <alignment horizontal="center"/>
    </xf>
    <xf numFmtId="0" fontId="26" fillId="18" borderId="33" xfId="0" applyFont="1" applyFill="1" applyBorder="1" applyAlignment="1">
      <alignment horizontal="left" wrapText="1"/>
    </xf>
    <xf numFmtId="0" fontId="26" fillId="18" borderId="28" xfId="0" applyFont="1" applyFill="1" applyBorder="1" applyAlignment="1">
      <alignment horizontal="left" wrapText="1"/>
    </xf>
    <xf numFmtId="0" fontId="26" fillId="18" borderId="30" xfId="0" applyFont="1" applyFill="1" applyBorder="1" applyAlignment="1">
      <alignment horizontal="left" wrapText="1"/>
    </xf>
  </cellXfs>
  <cellStyles count="34">
    <cellStyle name="%20 - Vurgu1" xfId="1"/>
    <cellStyle name="%20 - Vurgu2" xfId="2"/>
    <cellStyle name="%20 - Vurgu3" xfId="3"/>
    <cellStyle name="%20 - Vurgu4" xfId="4"/>
    <cellStyle name="%20 - Vurgu5" xfId="5"/>
    <cellStyle name="%20 - Vurgu6" xfId="6"/>
    <cellStyle name="%40 - Vurgu1" xfId="7"/>
    <cellStyle name="%40 - Vurgu2" xfId="8"/>
    <cellStyle name="%40 - Vurgu3" xfId="9"/>
    <cellStyle name="%40 - Vurgu4" xfId="10"/>
    <cellStyle name="%40 - Vurgu5" xfId="11"/>
    <cellStyle name="%40 - Vurgu6" xfId="12"/>
    <cellStyle name="%60 - Vurgu1" xfId="13"/>
    <cellStyle name="%60 - Vurgu2" xfId="14"/>
    <cellStyle name="%60 - Vurgu3" xfId="15"/>
    <cellStyle name="%60 - Vurgu4" xfId="16"/>
    <cellStyle name="%60 - Vurgu5" xfId="17"/>
    <cellStyle name="%60 - Vurgu6" xfId="18"/>
    <cellStyle name="Açıklama Metni" xfId="19"/>
    <cellStyle name="Ana Başlık" xfId="20"/>
    <cellStyle name="Bağlı Hücre" xfId="21"/>
    <cellStyle name="Başlık 1" xfId="22"/>
    <cellStyle name="Başlık 2" xfId="23"/>
    <cellStyle name="Başlık 3" xfId="24"/>
    <cellStyle name="Başlık 4" xfId="25"/>
    <cellStyle name="Çıkış" xfId="26"/>
    <cellStyle name="Giriş" xfId="27"/>
    <cellStyle name="Normal" xfId="0" builtinId="0"/>
    <cellStyle name="Normal 2" xfId="28"/>
    <cellStyle name="Normal_Sheet1" xfId="29"/>
    <cellStyle name="Not" xfId="30"/>
    <cellStyle name="Percent" xfId="31" builtinId="5"/>
    <cellStyle name="Toplam" xfId="32"/>
    <cellStyle name="Uyarı Metni" xfId="3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0"/>
  <sheetViews>
    <sheetView tabSelected="1" topLeftCell="E1" zoomScale="85" zoomScaleNormal="85" workbookViewId="0">
      <selection activeCell="I14" sqref="I14"/>
    </sheetView>
  </sheetViews>
  <sheetFormatPr baseColWidth="10" defaultColWidth="13" defaultRowHeight="14" x14ac:dyDescent="0.15"/>
  <cols>
    <col min="1" max="1" width="4" style="4" customWidth="1"/>
    <col min="2" max="2" width="22.83203125" style="4" customWidth="1"/>
    <col min="3" max="3" width="26" style="4" customWidth="1"/>
    <col min="4" max="4" width="26.83203125" style="4" customWidth="1"/>
    <col min="5" max="5" width="24.6640625" style="4" customWidth="1"/>
    <col min="6" max="6" width="27" style="4" customWidth="1"/>
    <col min="7" max="7" width="28.33203125" style="4" customWidth="1"/>
    <col min="8" max="8" width="14.6640625" style="4" customWidth="1"/>
    <col min="9" max="9" width="50.6640625" style="42" bestFit="1" customWidth="1"/>
    <col min="10" max="10" width="17.83203125" style="42" customWidth="1"/>
    <col min="11" max="11" width="15" style="4" customWidth="1"/>
    <col min="12" max="12" width="15.1640625" style="4" customWidth="1"/>
    <col min="13" max="13" width="15.1640625" style="4" bestFit="1" customWidth="1"/>
    <col min="14" max="14" width="16.1640625" style="4" customWidth="1"/>
    <col min="15" max="16384" width="13" style="4"/>
  </cols>
  <sheetData>
    <row r="1" spans="1:17" x14ac:dyDescent="0.15">
      <c r="A1" s="1"/>
      <c r="B1" s="2"/>
      <c r="C1" s="2"/>
      <c r="D1" s="2"/>
      <c r="E1" s="2"/>
      <c r="F1" s="2"/>
      <c r="G1" s="2"/>
      <c r="H1" s="3"/>
      <c r="J1" s="61"/>
      <c r="K1" s="61"/>
      <c r="M1" s="61"/>
      <c r="N1" s="61"/>
    </row>
    <row r="2" spans="1:17" ht="17" thickBot="1" x14ac:dyDescent="0.25">
      <c r="A2" s="5"/>
      <c r="B2" s="6"/>
      <c r="C2" s="6"/>
      <c r="D2" s="6"/>
      <c r="E2" s="6"/>
      <c r="F2" s="6"/>
      <c r="G2" s="6"/>
      <c r="H2" s="7"/>
      <c r="J2" s="4"/>
      <c r="K2" s="61">
        <v>44835</v>
      </c>
      <c r="L2" s="61">
        <v>45382</v>
      </c>
      <c r="M2" s="4">
        <f>L2-K2+1</f>
        <v>548</v>
      </c>
    </row>
    <row r="3" spans="1:17" x14ac:dyDescent="0.15">
      <c r="A3" s="5"/>
      <c r="B3" s="77" t="s">
        <v>4</v>
      </c>
      <c r="C3" s="78"/>
      <c r="D3" s="78"/>
      <c r="E3" s="78"/>
      <c r="F3" s="78"/>
      <c r="G3" s="79"/>
      <c r="H3" s="7"/>
      <c r="J3" s="4"/>
      <c r="K3" s="63"/>
    </row>
    <row r="4" spans="1:17" x14ac:dyDescent="0.15">
      <c r="A4" s="5"/>
      <c r="B4" s="80" t="s">
        <v>45</v>
      </c>
      <c r="C4" s="81"/>
      <c r="D4" s="81"/>
      <c r="E4" s="81"/>
      <c r="F4" s="81"/>
      <c r="G4" s="82"/>
      <c r="H4" s="7"/>
      <c r="J4" s="4"/>
      <c r="L4" s="36"/>
    </row>
    <row r="5" spans="1:17" ht="15" thickBot="1" x14ac:dyDescent="0.2">
      <c r="A5" s="5"/>
      <c r="B5" s="83" t="s">
        <v>5</v>
      </c>
      <c r="C5" s="84"/>
      <c r="D5" s="84"/>
      <c r="E5" s="84"/>
      <c r="F5" s="84"/>
      <c r="G5" s="85"/>
      <c r="H5" s="7"/>
      <c r="K5" s="36"/>
    </row>
    <row r="6" spans="1:17" ht="15" thickBot="1" x14ac:dyDescent="0.2">
      <c r="A6" s="5"/>
      <c r="B6" s="8"/>
      <c r="C6" s="8"/>
      <c r="D6" s="35"/>
      <c r="E6" s="8"/>
      <c r="F6" s="8"/>
      <c r="G6" s="8"/>
      <c r="H6" s="7"/>
      <c r="I6" s="45" t="s">
        <v>33</v>
      </c>
      <c r="K6" s="36"/>
    </row>
    <row r="7" spans="1:17" x14ac:dyDescent="0.15">
      <c r="A7" s="5"/>
      <c r="B7" s="9" t="s">
        <v>6</v>
      </c>
      <c r="C7" s="10"/>
      <c r="D7" s="8" t="s">
        <v>42</v>
      </c>
      <c r="E7" s="10"/>
      <c r="F7" s="8"/>
      <c r="G7" s="8"/>
      <c r="H7" s="7"/>
      <c r="K7" s="36"/>
    </row>
    <row r="8" spans="1:17" ht="15" thickBot="1" x14ac:dyDescent="0.2">
      <c r="A8" s="5"/>
      <c r="B8" s="11" t="s">
        <v>7</v>
      </c>
      <c r="C8" s="12"/>
      <c r="D8" s="13" t="s">
        <v>43</v>
      </c>
      <c r="E8" s="12"/>
      <c r="F8" s="8"/>
      <c r="G8" s="8"/>
      <c r="H8" s="7"/>
      <c r="I8" s="57"/>
      <c r="J8" s="57" t="s">
        <v>34</v>
      </c>
      <c r="K8" s="57" t="s">
        <v>35</v>
      </c>
      <c r="L8" s="57"/>
      <c r="N8" s="57"/>
      <c r="O8" s="57"/>
      <c r="P8" s="57"/>
      <c r="Q8" s="57"/>
    </row>
    <row r="9" spans="1:17" ht="18" thickBot="1" x14ac:dyDescent="0.25">
      <c r="A9" s="5"/>
      <c r="B9" s="14" t="s">
        <v>8</v>
      </c>
      <c r="C9" s="15"/>
      <c r="D9" s="8" t="s">
        <v>46</v>
      </c>
      <c r="E9" s="15"/>
      <c r="F9" s="39" t="s">
        <v>20</v>
      </c>
      <c r="G9" s="8"/>
      <c r="H9" s="7"/>
      <c r="I9" s="58" t="s">
        <v>36</v>
      </c>
      <c r="J9" s="60">
        <v>171828</v>
      </c>
      <c r="K9" s="57">
        <f>M2</f>
        <v>548</v>
      </c>
      <c r="L9" s="62">
        <f>(J9/365)*K9</f>
        <v>257977.38082191782</v>
      </c>
      <c r="N9" s="60"/>
      <c r="O9" s="57"/>
      <c r="P9"/>
      <c r="Q9"/>
    </row>
    <row r="10" spans="1:17" ht="15" thickBot="1" x14ac:dyDescent="0.2">
      <c r="A10" s="5"/>
      <c r="B10" s="16" t="s">
        <v>29</v>
      </c>
      <c r="C10" s="16"/>
      <c r="D10" s="47"/>
      <c r="E10" s="38" t="s">
        <v>19</v>
      </c>
      <c r="F10" s="40"/>
      <c r="G10" s="8"/>
      <c r="H10" s="7"/>
      <c r="I10" s="58" t="s">
        <v>44</v>
      </c>
      <c r="J10" s="65">
        <v>306566</v>
      </c>
      <c r="K10" s="57">
        <f>M2</f>
        <v>548</v>
      </c>
      <c r="L10" s="66">
        <f>(J10/365)*K10</f>
        <v>460268.95342465752</v>
      </c>
      <c r="M10" s="57"/>
      <c r="N10" s="57"/>
      <c r="O10" s="57"/>
      <c r="P10" s="57"/>
      <c r="Q10" s="57"/>
    </row>
    <row r="11" spans="1:17" ht="16" thickBot="1" x14ac:dyDescent="0.25">
      <c r="B11" s="16" t="s">
        <v>41</v>
      </c>
      <c r="D11" s="47"/>
      <c r="E11" s="10" t="s">
        <v>19</v>
      </c>
      <c r="F11" s="40"/>
      <c r="J11" s="57"/>
      <c r="K11" s="57"/>
      <c r="L11" s="57"/>
      <c r="M11" s="57"/>
      <c r="N11" s="57"/>
      <c r="O11" s="57"/>
      <c r="P11" s="57"/>
      <c r="Q11"/>
    </row>
    <row r="12" spans="1:17" ht="20" customHeight="1" thickBot="1" x14ac:dyDescent="0.25">
      <c r="A12" s="5"/>
      <c r="B12" s="89" t="s">
        <v>30</v>
      </c>
      <c r="C12" s="90"/>
      <c r="D12" s="56"/>
      <c r="E12" s="38" t="s">
        <v>19</v>
      </c>
      <c r="F12" s="53"/>
      <c r="G12" s="8"/>
      <c r="H12" s="7"/>
      <c r="I12" s="58" t="s">
        <v>37</v>
      </c>
      <c r="J12" s="64">
        <f>H42</f>
        <v>272893</v>
      </c>
      <c r="K12" s="57"/>
      <c r="L12" s="57"/>
      <c r="M12" s="57"/>
      <c r="N12" s="57"/>
      <c r="O12" s="57"/>
      <c r="P12" s="57"/>
      <c r="Q12"/>
    </row>
    <row r="13" spans="1:17" ht="15" thickBot="1" x14ac:dyDescent="0.2">
      <c r="A13" s="5"/>
      <c r="B13" s="8"/>
      <c r="C13" s="8"/>
      <c r="D13" s="8"/>
      <c r="E13" s="8"/>
      <c r="G13" s="8"/>
      <c r="H13" s="7"/>
      <c r="I13" s="58" t="s">
        <v>39</v>
      </c>
      <c r="J13" s="65">
        <f>E42/1000</f>
        <v>486876.20699999999</v>
      </c>
      <c r="K13" s="57"/>
      <c r="L13" s="57"/>
      <c r="M13" s="57"/>
      <c r="N13" s="57"/>
      <c r="O13" s="57"/>
      <c r="P13" s="57"/>
      <c r="Q13" s="57"/>
    </row>
    <row r="14" spans="1:17" ht="16" thickBot="1" x14ac:dyDescent="0.25">
      <c r="A14" s="5"/>
      <c r="B14" s="86" t="s">
        <v>10</v>
      </c>
      <c r="C14" s="87"/>
      <c r="D14" s="87"/>
      <c r="E14" s="87"/>
      <c r="F14" s="87"/>
      <c r="G14" s="88"/>
      <c r="H14" s="7"/>
      <c r="J14" s="59"/>
      <c r="K14" s="57"/>
      <c r="L14" s="57"/>
      <c r="M14" s="57"/>
      <c r="N14" s="57"/>
      <c r="O14" s="57"/>
      <c r="P14"/>
      <c r="Q14"/>
    </row>
    <row r="15" spans="1:17" ht="15" x14ac:dyDescent="0.2">
      <c r="A15" s="5"/>
      <c r="B15" s="8"/>
      <c r="C15" s="8"/>
      <c r="D15" s="8"/>
      <c r="E15" s="8"/>
      <c r="F15" s="8"/>
      <c r="G15" s="8"/>
      <c r="H15" s="7"/>
      <c r="I15" s="58" t="s">
        <v>38</v>
      </c>
      <c r="J15" s="59">
        <f>(J12-L9)/L9</f>
        <v>5.781754636999923E-2</v>
      </c>
      <c r="K15" s="57"/>
      <c r="L15" s="57"/>
      <c r="M15" s="57"/>
      <c r="N15" s="57"/>
      <c r="O15" s="57"/>
      <c r="P15"/>
      <c r="Q15"/>
    </row>
    <row r="16" spans="1:17" x14ac:dyDescent="0.15">
      <c r="A16" s="5"/>
      <c r="B16" s="17" t="s">
        <v>23</v>
      </c>
      <c r="C16" s="17"/>
      <c r="D16" s="17"/>
      <c r="E16" s="17"/>
      <c r="F16" s="17"/>
      <c r="G16" s="17"/>
      <c r="H16" s="7"/>
      <c r="I16" s="58" t="s">
        <v>40</v>
      </c>
      <c r="J16" s="59">
        <f>(J13-L10)/L10</f>
        <v>5.780805630570926E-2</v>
      </c>
    </row>
    <row r="17" spans="1:13" ht="15" thickBot="1" x14ac:dyDescent="0.2">
      <c r="A17" s="5"/>
      <c r="B17" s="18"/>
      <c r="C17" s="18"/>
      <c r="D17" s="18"/>
      <c r="E17" s="18"/>
      <c r="F17" s="18"/>
      <c r="G17" s="18"/>
      <c r="H17" s="7"/>
      <c r="I17" s="45"/>
      <c r="J17" s="45"/>
    </row>
    <row r="18" spans="1:13" ht="85" x14ac:dyDescent="0.15">
      <c r="A18" s="5"/>
      <c r="B18" s="19" t="s">
        <v>0</v>
      </c>
      <c r="C18" s="20" t="s">
        <v>1</v>
      </c>
      <c r="D18" s="20" t="s">
        <v>2</v>
      </c>
      <c r="E18" s="20" t="s">
        <v>3</v>
      </c>
      <c r="F18" s="20" t="s">
        <v>21</v>
      </c>
      <c r="G18" s="21" t="s">
        <v>22</v>
      </c>
      <c r="H18" s="7"/>
      <c r="I18" s="41" t="s">
        <v>24</v>
      </c>
      <c r="J18" s="41" t="s">
        <v>25</v>
      </c>
      <c r="K18" s="44" t="s">
        <v>27</v>
      </c>
      <c r="L18" s="44" t="s">
        <v>26</v>
      </c>
      <c r="M18" s="51" t="s">
        <v>28</v>
      </c>
    </row>
    <row r="19" spans="1:13" ht="15" customHeight="1" x14ac:dyDescent="0.2">
      <c r="A19" s="5"/>
      <c r="B19" s="48" t="s">
        <v>47</v>
      </c>
      <c r="C19" s="55">
        <f>18204421+17672553</f>
        <v>35876974</v>
      </c>
      <c r="D19" s="55">
        <f>11093+9450</f>
        <v>20543</v>
      </c>
      <c r="E19" s="24">
        <f t="shared" ref="E19:E29" si="0">C19-D19</f>
        <v>35856431</v>
      </c>
      <c r="F19" s="54">
        <v>0.5605</v>
      </c>
      <c r="G19" s="74">
        <f t="shared" ref="G19:G28" si="1">(E19/1000)*F19</f>
        <v>20097.529575499997</v>
      </c>
      <c r="H19" s="7"/>
      <c r="I19" s="55">
        <f>18204410+17672540</f>
        <v>35876950</v>
      </c>
      <c r="J19" s="55">
        <f>11100+9450</f>
        <v>20550</v>
      </c>
      <c r="K19" s="46">
        <f>C19-I19</f>
        <v>24</v>
      </c>
      <c r="L19" s="46">
        <f t="shared" ref="L19:L29" si="2">D19-J19</f>
        <v>-7</v>
      </c>
      <c r="M19" s="50"/>
    </row>
    <row r="20" spans="1:13" ht="15" customHeight="1" x14ac:dyDescent="0.2">
      <c r="A20" s="5"/>
      <c r="B20" s="22" t="s">
        <v>48</v>
      </c>
      <c r="C20" s="55">
        <f>15532868+15448655</f>
        <v>30981523</v>
      </c>
      <c r="D20" s="55">
        <f>12980+11824</f>
        <v>24804</v>
      </c>
      <c r="E20" s="24">
        <f t="shared" si="0"/>
        <v>30956719</v>
      </c>
      <c r="F20" s="54">
        <v>0.5605</v>
      </c>
      <c r="G20" s="74">
        <f t="shared" si="1"/>
        <v>17351.240999500002</v>
      </c>
      <c r="H20" s="7"/>
      <c r="I20" s="55">
        <f>15532870+15448660</f>
        <v>30981530</v>
      </c>
      <c r="J20" s="55">
        <f>12980+11830</f>
        <v>24810</v>
      </c>
      <c r="K20" s="46">
        <f>C20-I20</f>
        <v>-7</v>
      </c>
      <c r="L20" s="46">
        <f t="shared" si="2"/>
        <v>-6</v>
      </c>
      <c r="M20" s="50"/>
    </row>
    <row r="21" spans="1:13" ht="16" x14ac:dyDescent="0.2">
      <c r="A21" s="5"/>
      <c r="B21" s="22" t="s">
        <v>49</v>
      </c>
      <c r="C21" s="55">
        <f>12791743+12942377</f>
        <v>25734120</v>
      </c>
      <c r="D21" s="55">
        <f>26109+24785</f>
        <v>50894</v>
      </c>
      <c r="E21" s="24">
        <f t="shared" si="0"/>
        <v>25683226</v>
      </c>
      <c r="F21" s="54">
        <v>0.5605</v>
      </c>
      <c r="G21" s="74">
        <f t="shared" si="1"/>
        <v>14395.448172999999</v>
      </c>
      <c r="H21" s="7"/>
      <c r="I21" s="55">
        <f>12942380+12791750</f>
        <v>25734130</v>
      </c>
      <c r="J21" s="55">
        <f>24780+26110</f>
        <v>50890</v>
      </c>
      <c r="K21" s="46">
        <f>C21-I21</f>
        <v>-10</v>
      </c>
      <c r="L21" s="46">
        <f t="shared" si="2"/>
        <v>4</v>
      </c>
    </row>
    <row r="22" spans="1:13" ht="15" customHeight="1" x14ac:dyDescent="0.2">
      <c r="A22" s="5"/>
      <c r="B22" s="22" t="s">
        <v>50</v>
      </c>
      <c r="C22" s="55">
        <f>13205753+13317124</f>
        <v>26522877</v>
      </c>
      <c r="D22" s="23">
        <f>23754+21599</f>
        <v>45353</v>
      </c>
      <c r="E22" s="24">
        <f t="shared" si="0"/>
        <v>26477524</v>
      </c>
      <c r="F22" s="54">
        <v>0.5605</v>
      </c>
      <c r="G22" s="74">
        <f t="shared" si="1"/>
        <v>14840.652202000001</v>
      </c>
      <c r="H22" s="7"/>
      <c r="I22" s="55">
        <f>13317130+13205760</f>
        <v>26522890</v>
      </c>
      <c r="J22" s="55">
        <f>21600+23750</f>
        <v>45350</v>
      </c>
      <c r="K22" s="46">
        <f t="shared" ref="K22:K29" si="3">C22-I22</f>
        <v>-13</v>
      </c>
      <c r="L22" s="46">
        <f t="shared" si="2"/>
        <v>3</v>
      </c>
    </row>
    <row r="23" spans="1:13" ht="15" customHeight="1" x14ac:dyDescent="0.2">
      <c r="A23" s="5"/>
      <c r="B23" s="22" t="s">
        <v>51</v>
      </c>
      <c r="C23" s="55">
        <f>11580788+11551496</f>
        <v>23132284</v>
      </c>
      <c r="D23" s="23">
        <f>20664+19937</f>
        <v>40601</v>
      </c>
      <c r="E23" s="24">
        <f t="shared" si="0"/>
        <v>23091683</v>
      </c>
      <c r="F23" s="54">
        <v>0.5605</v>
      </c>
      <c r="G23" s="74">
        <f t="shared" si="1"/>
        <v>12942.888321500001</v>
      </c>
      <c r="H23" s="7"/>
      <c r="I23" s="55">
        <f>11580780+11551490</f>
        <v>23132270</v>
      </c>
      <c r="J23" s="55">
        <f>20670+19930</f>
        <v>40600</v>
      </c>
      <c r="K23" s="46">
        <f t="shared" si="3"/>
        <v>14</v>
      </c>
      <c r="L23" s="46">
        <f t="shared" si="2"/>
        <v>1</v>
      </c>
    </row>
    <row r="24" spans="1:13" ht="15" customHeight="1" x14ac:dyDescent="0.2">
      <c r="A24" s="5"/>
      <c r="B24" s="22" t="s">
        <v>52</v>
      </c>
      <c r="C24" s="55">
        <f>13368675+13338517</f>
        <v>26707192</v>
      </c>
      <c r="D24" s="23">
        <f>29660+27214</f>
        <v>56874</v>
      </c>
      <c r="E24" s="24">
        <f t="shared" si="0"/>
        <v>26650318</v>
      </c>
      <c r="F24" s="54">
        <v>0.5605</v>
      </c>
      <c r="G24" s="74">
        <f t="shared" si="1"/>
        <v>14937.503239</v>
      </c>
      <c r="H24" s="7"/>
      <c r="I24" s="55">
        <f>13368670+13338510</f>
        <v>26707180</v>
      </c>
      <c r="J24" s="55">
        <f>29660+27220</f>
        <v>56880</v>
      </c>
      <c r="K24" s="46">
        <f t="shared" si="3"/>
        <v>12</v>
      </c>
      <c r="L24" s="46">
        <f t="shared" si="2"/>
        <v>-6</v>
      </c>
    </row>
    <row r="25" spans="1:13" ht="15" customHeight="1" x14ac:dyDescent="0.2">
      <c r="A25" s="5"/>
      <c r="B25" s="22" t="s">
        <v>53</v>
      </c>
      <c r="C25" s="55">
        <f>8340793+7985838</f>
        <v>16326631</v>
      </c>
      <c r="D25" s="23">
        <f>40280+40228</f>
        <v>80508</v>
      </c>
      <c r="E25" s="24">
        <f t="shared" si="0"/>
        <v>16246123</v>
      </c>
      <c r="F25" s="54">
        <v>0.5605</v>
      </c>
      <c r="G25" s="74">
        <f t="shared" si="1"/>
        <v>9105.9519414999995</v>
      </c>
      <c r="H25" s="7"/>
      <c r="I25" s="55">
        <f>7985850+8340800</f>
        <v>16326650</v>
      </c>
      <c r="J25" s="55">
        <f>40230+40280</f>
        <v>80510</v>
      </c>
      <c r="K25" s="46">
        <f t="shared" si="3"/>
        <v>-19</v>
      </c>
      <c r="L25" s="46">
        <f t="shared" si="2"/>
        <v>-2</v>
      </c>
    </row>
    <row r="26" spans="1:13" ht="15" customHeight="1" x14ac:dyDescent="0.2">
      <c r="A26" s="5"/>
      <c r="B26" s="22" t="s">
        <v>54</v>
      </c>
      <c r="C26" s="55">
        <f>11551211+11520701</f>
        <v>23071912</v>
      </c>
      <c r="D26" s="23">
        <f>24209+24186</f>
        <v>48395</v>
      </c>
      <c r="E26" s="24">
        <f t="shared" si="0"/>
        <v>23023517</v>
      </c>
      <c r="F26" s="54">
        <v>0.5605</v>
      </c>
      <c r="G26" s="74">
        <f t="shared" si="1"/>
        <v>12904.6812785</v>
      </c>
      <c r="H26" s="7"/>
      <c r="I26" s="55">
        <f>11520690+11551210</f>
        <v>23071900</v>
      </c>
      <c r="J26" s="55">
        <f>24180+24210</f>
        <v>48390</v>
      </c>
      <c r="K26" s="46">
        <f t="shared" si="3"/>
        <v>12</v>
      </c>
      <c r="L26" s="46">
        <f t="shared" si="2"/>
        <v>5</v>
      </c>
    </row>
    <row r="27" spans="1:13" ht="15" customHeight="1" x14ac:dyDescent="0.2">
      <c r="A27" s="5"/>
      <c r="B27" s="22" t="s">
        <v>55</v>
      </c>
      <c r="C27" s="55">
        <f>9965461+9762743</f>
        <v>19728204</v>
      </c>
      <c r="D27" s="23">
        <f>15541+13340</f>
        <v>28881</v>
      </c>
      <c r="E27" s="24">
        <f t="shared" si="0"/>
        <v>19699323</v>
      </c>
      <c r="F27" s="54">
        <v>0.5605</v>
      </c>
      <c r="G27" s="74">
        <f t="shared" si="1"/>
        <v>11041.470541500001</v>
      </c>
      <c r="H27" s="7"/>
      <c r="I27" s="55">
        <f>9965470+9762470</f>
        <v>19727940</v>
      </c>
      <c r="J27" s="55">
        <f>15530+13340</f>
        <v>28870</v>
      </c>
      <c r="K27" s="46">
        <f t="shared" si="3"/>
        <v>264</v>
      </c>
      <c r="L27" s="46">
        <f t="shared" si="2"/>
        <v>11</v>
      </c>
    </row>
    <row r="28" spans="1:13" ht="16" x14ac:dyDescent="0.2">
      <c r="A28" s="5"/>
      <c r="B28" s="22" t="s">
        <v>56</v>
      </c>
      <c r="C28" s="55">
        <f>11028199+11390514</f>
        <v>22418713</v>
      </c>
      <c r="D28" s="23">
        <f>31469+31102</f>
        <v>62571</v>
      </c>
      <c r="E28" s="24">
        <f t="shared" si="0"/>
        <v>22356142</v>
      </c>
      <c r="F28" s="54">
        <v>0.5605</v>
      </c>
      <c r="G28" s="74">
        <f t="shared" si="1"/>
        <v>12530.617591</v>
      </c>
      <c r="H28" s="7"/>
      <c r="I28" s="55">
        <f>11028190+11390510</f>
        <v>22418700</v>
      </c>
      <c r="J28" s="55">
        <f>31470+31100</f>
        <v>62570</v>
      </c>
      <c r="K28" s="46">
        <f t="shared" si="3"/>
        <v>13</v>
      </c>
      <c r="L28" s="46">
        <f t="shared" si="2"/>
        <v>1</v>
      </c>
    </row>
    <row r="29" spans="1:13" ht="16" x14ac:dyDescent="0.2">
      <c r="A29" s="5"/>
      <c r="B29" s="22" t="s">
        <v>57</v>
      </c>
      <c r="C29" s="55">
        <f>19453729+19340487</f>
        <v>38794216</v>
      </c>
      <c r="D29" s="55">
        <f>19627+17523</f>
        <v>37150</v>
      </c>
      <c r="E29" s="55">
        <f t="shared" si="0"/>
        <v>38757066</v>
      </c>
      <c r="F29" s="54">
        <v>0.5605</v>
      </c>
      <c r="G29" s="74">
        <f>(E29/1000)*F29</f>
        <v>21723.335492999999</v>
      </c>
      <c r="H29" s="7"/>
      <c r="I29" s="55">
        <f>19453740+19340500</f>
        <v>38794240</v>
      </c>
      <c r="J29" s="55">
        <f>19630+17520</f>
        <v>37150</v>
      </c>
      <c r="K29" s="46">
        <f t="shared" si="3"/>
        <v>-24</v>
      </c>
      <c r="L29" s="46">
        <f t="shared" si="2"/>
        <v>0</v>
      </c>
    </row>
    <row r="30" spans="1:13" ht="15" customHeight="1" x14ac:dyDescent="0.2">
      <c r="A30" s="5"/>
      <c r="B30" s="22" t="s">
        <v>58</v>
      </c>
      <c r="C30" s="55">
        <f>19980522+19784712</f>
        <v>39765234</v>
      </c>
      <c r="D30" s="55">
        <f>16490+16313</f>
        <v>32803</v>
      </c>
      <c r="E30" s="55">
        <f>C30-D30</f>
        <v>39732431</v>
      </c>
      <c r="F30" s="54">
        <v>0.5605</v>
      </c>
      <c r="G30" s="74">
        <f>(E30/1000)*F30</f>
        <v>22270.027575499997</v>
      </c>
      <c r="H30" s="7"/>
      <c r="I30" s="55">
        <f>19980520+19784710</f>
        <v>39765230</v>
      </c>
      <c r="J30" s="55">
        <f>16490+16310</f>
        <v>32800</v>
      </c>
      <c r="K30" s="46">
        <f>C30-I30</f>
        <v>4</v>
      </c>
      <c r="L30" s="46">
        <f>D30-J30</f>
        <v>3</v>
      </c>
    </row>
    <row r="31" spans="1:13" ht="15" customHeight="1" x14ac:dyDescent="0.2">
      <c r="A31" s="67"/>
      <c r="B31" s="22" t="s">
        <v>59</v>
      </c>
      <c r="C31" s="55">
        <f>11487126+11574754</f>
        <v>23061880</v>
      </c>
      <c r="D31" s="55">
        <f>33350+32888</f>
        <v>66238</v>
      </c>
      <c r="E31" s="55">
        <f t="shared" ref="E31:E36" si="4">C31-D31</f>
        <v>22995642</v>
      </c>
      <c r="F31" s="54">
        <v>0.5605</v>
      </c>
      <c r="G31" s="74">
        <f t="shared" ref="G31:G36" si="5">(E31/1000)*F31</f>
        <v>12889.057341</v>
      </c>
      <c r="H31" s="67"/>
      <c r="I31" s="55">
        <f>11487120+11574740</f>
        <v>23061860</v>
      </c>
      <c r="J31" s="55">
        <f>33350+32890</f>
        <v>66240</v>
      </c>
      <c r="K31" s="46">
        <f t="shared" ref="K31:K36" si="6">C31-I31</f>
        <v>20</v>
      </c>
      <c r="L31" s="46">
        <f t="shared" ref="L31:L36" si="7">D31-J31</f>
        <v>-2</v>
      </c>
    </row>
    <row r="32" spans="1:13" ht="15" customHeight="1" x14ac:dyDescent="0.2">
      <c r="A32" s="67"/>
      <c r="B32" s="22" t="s">
        <v>60</v>
      </c>
      <c r="C32" s="55">
        <f>13919107+14783271</f>
        <v>28702378</v>
      </c>
      <c r="D32" s="55">
        <f>16262+15847</f>
        <v>32109</v>
      </c>
      <c r="E32" s="55">
        <f t="shared" si="4"/>
        <v>28670269</v>
      </c>
      <c r="F32" s="54">
        <v>0.5605</v>
      </c>
      <c r="G32" s="74">
        <f t="shared" si="5"/>
        <v>16069.6857745</v>
      </c>
      <c r="H32" s="67"/>
      <c r="I32" s="55">
        <f>13919100+14783270</f>
        <v>28702370</v>
      </c>
      <c r="J32" s="55">
        <f>15850+16260</f>
        <v>32110</v>
      </c>
      <c r="K32" s="46">
        <f t="shared" si="6"/>
        <v>8</v>
      </c>
      <c r="L32" s="46">
        <f t="shared" si="7"/>
        <v>-1</v>
      </c>
    </row>
    <row r="33" spans="1:12" ht="15" customHeight="1" x14ac:dyDescent="0.2">
      <c r="A33" s="67"/>
      <c r="B33" s="22" t="s">
        <v>69</v>
      </c>
      <c r="C33" s="55">
        <f>14085391+14677546</f>
        <v>28762937</v>
      </c>
      <c r="D33" s="55">
        <f>19283+19029</f>
        <v>38312</v>
      </c>
      <c r="E33" s="55">
        <f t="shared" si="4"/>
        <v>28724625</v>
      </c>
      <c r="F33" s="54">
        <v>0.5605</v>
      </c>
      <c r="G33" s="74">
        <f t="shared" si="5"/>
        <v>16100.1523125</v>
      </c>
      <c r="H33" s="67"/>
      <c r="I33" s="55">
        <f>14085400+14677560</f>
        <v>28762960</v>
      </c>
      <c r="J33" s="55">
        <f>19280+19030</f>
        <v>38310</v>
      </c>
      <c r="K33" s="46">
        <f t="shared" si="6"/>
        <v>-23</v>
      </c>
      <c r="L33" s="46">
        <f t="shared" si="7"/>
        <v>2</v>
      </c>
    </row>
    <row r="34" spans="1:12" ht="15" customHeight="1" x14ac:dyDescent="0.2">
      <c r="A34" s="67"/>
      <c r="B34" s="22" t="s">
        <v>62</v>
      </c>
      <c r="C34" s="55">
        <f>18956387+19495193</f>
        <v>38451580</v>
      </c>
      <c r="D34" s="55">
        <f>13639+10102</f>
        <v>23741</v>
      </c>
      <c r="E34" s="55">
        <f t="shared" si="4"/>
        <v>38427839</v>
      </c>
      <c r="F34" s="54">
        <v>0.5605</v>
      </c>
      <c r="G34" s="74">
        <f t="shared" si="5"/>
        <v>21538.803759499999</v>
      </c>
      <c r="H34" s="67"/>
      <c r="I34" s="55">
        <f>18956380+19495180</f>
        <v>38451560</v>
      </c>
      <c r="J34" s="55">
        <f>13640+10100</f>
        <v>23740</v>
      </c>
      <c r="K34" s="46">
        <f t="shared" si="6"/>
        <v>20</v>
      </c>
      <c r="L34" s="46">
        <f t="shared" si="7"/>
        <v>1</v>
      </c>
    </row>
    <row r="35" spans="1:12" ht="16" x14ac:dyDescent="0.2">
      <c r="B35" s="22" t="s">
        <v>63</v>
      </c>
      <c r="C35" s="55">
        <f>12551646+13516609</f>
        <v>26068255</v>
      </c>
      <c r="D35" s="55">
        <f>33763+33901</f>
        <v>67664</v>
      </c>
      <c r="E35" s="55">
        <f t="shared" si="4"/>
        <v>26000591</v>
      </c>
      <c r="F35" s="54">
        <v>0.5605</v>
      </c>
      <c r="G35" s="74">
        <f t="shared" si="5"/>
        <v>14573.331255499999</v>
      </c>
      <c r="I35" s="55">
        <f>12551660+13516620</f>
        <v>26068280</v>
      </c>
      <c r="J35" s="55">
        <f>33760+33910</f>
        <v>67670</v>
      </c>
      <c r="K35" s="46">
        <f t="shared" si="6"/>
        <v>-25</v>
      </c>
      <c r="L35" s="46">
        <f t="shared" si="7"/>
        <v>-6</v>
      </c>
    </row>
    <row r="36" spans="1:12" ht="17" thickBot="1" x14ac:dyDescent="0.25">
      <c r="B36" s="22" t="s">
        <v>64</v>
      </c>
      <c r="C36" s="55">
        <f>6502246+7118594</f>
        <v>13620840</v>
      </c>
      <c r="D36" s="55">
        <f>46267+47835</f>
        <v>94102</v>
      </c>
      <c r="E36" s="55">
        <f t="shared" si="4"/>
        <v>13526738</v>
      </c>
      <c r="F36" s="54">
        <v>0.5605</v>
      </c>
      <c r="G36" s="74">
        <f t="shared" si="5"/>
        <v>7581.7366489999995</v>
      </c>
      <c r="I36" s="55">
        <f>6502240+7118600</f>
        <v>13620840</v>
      </c>
      <c r="J36" s="55">
        <f>46270+47830</f>
        <v>94100</v>
      </c>
      <c r="K36" s="46">
        <f t="shared" si="6"/>
        <v>0</v>
      </c>
      <c r="L36" s="46">
        <f t="shared" si="7"/>
        <v>2</v>
      </c>
    </row>
    <row r="37" spans="1:12" ht="31" customHeight="1" x14ac:dyDescent="0.2">
      <c r="A37" s="5"/>
      <c r="B37" s="22"/>
      <c r="C37" s="8"/>
      <c r="D37" s="8"/>
      <c r="E37" s="8"/>
      <c r="F37" s="54"/>
      <c r="G37" s="8"/>
      <c r="H37" s="21" t="s">
        <v>20</v>
      </c>
      <c r="I37" s="43"/>
    </row>
    <row r="38" spans="1:12" ht="35.25" customHeight="1" thickBot="1" x14ac:dyDescent="0.25">
      <c r="A38" s="5"/>
      <c r="B38" s="68" t="s">
        <v>65</v>
      </c>
      <c r="C38" s="26">
        <f>SUM(C19:C21)</f>
        <v>92592617</v>
      </c>
      <c r="D38" s="26">
        <f>SUM(D19:D21)</f>
        <v>96241</v>
      </c>
      <c r="E38" s="26">
        <f>SUM(E19:E21)</f>
        <v>92496376</v>
      </c>
      <c r="F38" s="54">
        <v>0.5605</v>
      </c>
      <c r="G38" s="74">
        <f>(E38/1000)*F38</f>
        <v>51844.218747999999</v>
      </c>
      <c r="H38" s="27">
        <f>ROUNDDOWN(G38,0)</f>
        <v>51844</v>
      </c>
    </row>
    <row r="39" spans="1:12" ht="35.25" customHeight="1" thickBot="1" x14ac:dyDescent="0.25">
      <c r="A39" s="5"/>
      <c r="B39" s="25" t="s">
        <v>66</v>
      </c>
      <c r="C39" s="26">
        <f>SUM(C22:C33)</f>
        <v>316994458</v>
      </c>
      <c r="D39" s="26">
        <f>SUM(D22:D33)</f>
        <v>569795</v>
      </c>
      <c r="E39" s="26">
        <f>SUM(E22:E33)</f>
        <v>316424663</v>
      </c>
      <c r="F39" s="54">
        <v>0.5605</v>
      </c>
      <c r="G39" s="74">
        <f>(E39/1000)*F39</f>
        <v>177356.02361149999</v>
      </c>
      <c r="H39" s="27">
        <f>ROUNDDOWN(G39,0)</f>
        <v>177356</v>
      </c>
    </row>
    <row r="40" spans="1:12" ht="35.25" customHeight="1" thickBot="1" x14ac:dyDescent="0.25">
      <c r="A40" s="5"/>
      <c r="B40" s="25" t="s">
        <v>67</v>
      </c>
      <c r="C40" s="26">
        <f>SUM(C34:C36)</f>
        <v>78140675</v>
      </c>
      <c r="D40" s="26">
        <f>SUM(D34:D36)</f>
        <v>185507</v>
      </c>
      <c r="E40" s="26">
        <f>SUM(E34:E36)</f>
        <v>77955168</v>
      </c>
      <c r="F40" s="54">
        <v>0.5605</v>
      </c>
      <c r="G40" s="74">
        <f>(E40/1000)*F40</f>
        <v>43693.871664000006</v>
      </c>
      <c r="H40" s="27">
        <f>ROUNDDOWN(G40,0)</f>
        <v>43693</v>
      </c>
    </row>
    <row r="41" spans="1:12" ht="16" x14ac:dyDescent="0.2">
      <c r="F41" s="72"/>
      <c r="G41" s="63"/>
      <c r="I41" s="4"/>
      <c r="J41" s="4"/>
    </row>
    <row r="42" spans="1:12" ht="42.5" customHeight="1" thickBot="1" x14ac:dyDescent="0.25">
      <c r="A42" s="5"/>
      <c r="B42" s="25" t="s">
        <v>68</v>
      </c>
      <c r="C42" s="73">
        <f>SUM(C38:C40)</f>
        <v>487727750</v>
      </c>
      <c r="D42" s="73">
        <f>SUM(D38:D40)</f>
        <v>851543</v>
      </c>
      <c r="E42" s="73">
        <f>SUM(E38:E40)</f>
        <v>486876207</v>
      </c>
      <c r="F42" s="54">
        <v>0.5605</v>
      </c>
      <c r="G42" s="75">
        <f>(E42/1000)*F42</f>
        <v>272894.11402350001</v>
      </c>
      <c r="H42" s="71">
        <f>SUM(H38:H40)</f>
        <v>272893</v>
      </c>
      <c r="I42" s="4"/>
      <c r="J42" s="4"/>
    </row>
    <row r="43" spans="1:12" ht="15" customHeight="1" thickBot="1" x14ac:dyDescent="0.2">
      <c r="A43" s="5"/>
      <c r="B43" s="8"/>
      <c r="C43" s="8"/>
      <c r="D43" s="8"/>
      <c r="E43" s="8"/>
      <c r="F43" s="8"/>
      <c r="G43" s="8"/>
      <c r="H43" s="7"/>
      <c r="I43" s="4"/>
      <c r="J43" s="4"/>
    </row>
    <row r="44" spans="1:12" ht="15" customHeight="1" thickBot="1" x14ac:dyDescent="0.25">
      <c r="A44" s="5"/>
      <c r="B44" s="93" t="s">
        <v>9</v>
      </c>
      <c r="C44" s="94"/>
      <c r="D44" s="94"/>
      <c r="E44" s="94"/>
      <c r="F44" s="94"/>
      <c r="G44" s="95"/>
      <c r="H44" s="7"/>
      <c r="I44" s="4"/>
      <c r="J44" s="4"/>
    </row>
    <row r="45" spans="1:12" ht="15" customHeight="1" thickBot="1" x14ac:dyDescent="0.2">
      <c r="A45" s="5"/>
      <c r="B45" s="8"/>
      <c r="C45" s="8"/>
      <c r="D45" s="8"/>
      <c r="E45" s="8"/>
      <c r="F45" s="8"/>
      <c r="G45" s="8"/>
      <c r="H45" s="7"/>
      <c r="I45" s="4"/>
      <c r="J45" s="4"/>
    </row>
    <row r="46" spans="1:12" ht="15" customHeight="1" thickBot="1" x14ac:dyDescent="0.2">
      <c r="A46" s="5"/>
      <c r="B46" s="96" t="s">
        <v>32</v>
      </c>
      <c r="C46" s="97"/>
      <c r="D46" s="97"/>
      <c r="E46" s="97"/>
      <c r="F46" s="97"/>
      <c r="G46" s="98"/>
      <c r="H46" s="7"/>
      <c r="I46" s="4"/>
      <c r="J46" s="4"/>
    </row>
    <row r="47" spans="1:12" ht="15" customHeight="1" x14ac:dyDescent="0.15">
      <c r="A47" s="5"/>
      <c r="B47" s="8"/>
      <c r="C47" s="8"/>
      <c r="D47" s="8"/>
      <c r="E47" s="8"/>
      <c r="F47" s="8"/>
      <c r="G47" s="8"/>
      <c r="H47" s="7"/>
      <c r="I47" s="4"/>
      <c r="J47" s="4"/>
    </row>
    <row r="48" spans="1:12" ht="15" customHeight="1" x14ac:dyDescent="0.15">
      <c r="A48" s="5"/>
      <c r="B48" s="99" t="s">
        <v>11</v>
      </c>
      <c r="C48" s="99"/>
      <c r="D48" s="99"/>
      <c r="E48" s="99"/>
      <c r="F48" s="99"/>
      <c r="G48" s="99"/>
      <c r="H48" s="7"/>
      <c r="I48" s="4"/>
      <c r="J48" s="4"/>
    </row>
    <row r="49" spans="1:10" ht="15" customHeight="1" thickBot="1" x14ac:dyDescent="0.2">
      <c r="A49" s="5"/>
      <c r="B49" s="8"/>
      <c r="C49" s="8"/>
      <c r="D49" s="8"/>
      <c r="E49" s="8"/>
      <c r="F49" s="8"/>
      <c r="G49" s="8"/>
      <c r="H49" s="7"/>
      <c r="I49" s="4"/>
      <c r="J49" s="4"/>
    </row>
    <row r="50" spans="1:10" ht="15" customHeight="1" thickBot="1" x14ac:dyDescent="0.25">
      <c r="A50" s="5"/>
      <c r="B50" s="100" t="s">
        <v>31</v>
      </c>
      <c r="C50" s="101"/>
      <c r="D50" s="101"/>
      <c r="E50" s="101"/>
      <c r="F50" s="101"/>
      <c r="G50" s="102"/>
      <c r="H50" s="7"/>
      <c r="I50" s="4"/>
      <c r="J50" s="4"/>
    </row>
    <row r="51" spans="1:10" ht="15" customHeight="1" thickBot="1" x14ac:dyDescent="0.2">
      <c r="A51" s="5"/>
      <c r="B51" s="8"/>
      <c r="C51" s="8"/>
      <c r="D51" s="8"/>
      <c r="E51" s="8"/>
      <c r="F51" s="8"/>
      <c r="G51" s="8"/>
      <c r="H51" s="7"/>
      <c r="I51" s="4"/>
      <c r="J51" s="4"/>
    </row>
    <row r="52" spans="1:10" ht="15" customHeight="1" thickBot="1" x14ac:dyDescent="0.2">
      <c r="A52" s="5"/>
      <c r="B52" s="86" t="s">
        <v>12</v>
      </c>
      <c r="C52" s="87"/>
      <c r="D52" s="87"/>
      <c r="E52" s="87"/>
      <c r="F52" s="87"/>
      <c r="G52" s="88"/>
      <c r="H52" s="7"/>
      <c r="I52" s="4"/>
      <c r="J52" s="4"/>
    </row>
    <row r="53" spans="1:10" ht="15" customHeight="1" x14ac:dyDescent="0.15">
      <c r="A53" s="5"/>
      <c r="B53" s="8"/>
      <c r="C53" s="8"/>
      <c r="D53" s="8"/>
      <c r="E53" s="8"/>
      <c r="F53" s="8"/>
      <c r="G53" s="8"/>
      <c r="H53" s="7"/>
      <c r="I53" s="4"/>
      <c r="J53" s="4"/>
    </row>
    <row r="54" spans="1:10" ht="15" customHeight="1" x14ac:dyDescent="0.15">
      <c r="A54" s="5"/>
      <c r="B54" s="91" t="s">
        <v>0</v>
      </c>
      <c r="C54" s="28" t="s">
        <v>14</v>
      </c>
      <c r="D54" s="28" t="s">
        <v>13</v>
      </c>
      <c r="E54" s="28" t="s">
        <v>15</v>
      </c>
      <c r="F54" s="28" t="s">
        <v>18</v>
      </c>
      <c r="G54" s="8"/>
      <c r="H54" s="7"/>
      <c r="I54" s="4"/>
      <c r="J54" s="4"/>
    </row>
    <row r="55" spans="1:10" ht="15" customHeight="1" x14ac:dyDescent="0.2">
      <c r="A55" s="5"/>
      <c r="B55" s="92"/>
      <c r="C55" s="29"/>
      <c r="D55" s="29"/>
      <c r="E55" s="29"/>
      <c r="F55" s="30" t="s">
        <v>17</v>
      </c>
      <c r="G55" s="31"/>
      <c r="H55" s="7"/>
      <c r="I55" s="4"/>
      <c r="J55" s="4"/>
    </row>
    <row r="56" spans="1:10" ht="15" customHeight="1" x14ac:dyDescent="0.2">
      <c r="A56" s="5"/>
      <c r="B56" s="92"/>
      <c r="C56" s="32" t="s">
        <v>16</v>
      </c>
      <c r="D56" s="33" t="s">
        <v>16</v>
      </c>
      <c r="E56" s="33" t="s">
        <v>16</v>
      </c>
      <c r="F56" s="33" t="s">
        <v>16</v>
      </c>
      <c r="G56" s="31"/>
      <c r="H56" s="7"/>
      <c r="I56" s="4"/>
      <c r="J56" s="4"/>
    </row>
    <row r="57" spans="1:10" ht="16" x14ac:dyDescent="0.2">
      <c r="A57" s="5"/>
      <c r="B57" s="48" t="s">
        <v>47</v>
      </c>
      <c r="C57" s="24">
        <f>G19</f>
        <v>20097.529575499997</v>
      </c>
      <c r="D57" s="24">
        <v>0</v>
      </c>
      <c r="E57" s="24">
        <v>0</v>
      </c>
      <c r="F57" s="24">
        <f t="shared" ref="F57:F64" si="8">C57-D57-E57</f>
        <v>20097.529575499997</v>
      </c>
      <c r="G57" s="31"/>
      <c r="H57" s="7"/>
      <c r="I57" s="4"/>
      <c r="J57" s="4"/>
    </row>
    <row r="58" spans="1:10" ht="16" x14ac:dyDescent="0.2">
      <c r="A58" s="5"/>
      <c r="B58" s="22" t="s">
        <v>48</v>
      </c>
      <c r="C58" s="24">
        <f t="shared" ref="C58:C74" si="9">G20</f>
        <v>17351.240999500002</v>
      </c>
      <c r="D58" s="24">
        <v>0</v>
      </c>
      <c r="E58" s="24">
        <v>0</v>
      </c>
      <c r="F58" s="24">
        <f t="shared" si="8"/>
        <v>17351.240999500002</v>
      </c>
      <c r="G58" s="31"/>
      <c r="H58" s="7"/>
      <c r="I58" s="4"/>
      <c r="J58" s="4"/>
    </row>
    <row r="59" spans="1:10" ht="16" x14ac:dyDescent="0.2">
      <c r="A59" s="5"/>
      <c r="B59" s="22" t="s">
        <v>49</v>
      </c>
      <c r="C59" s="24">
        <f t="shared" si="9"/>
        <v>14395.448172999999</v>
      </c>
      <c r="D59" s="24">
        <v>0</v>
      </c>
      <c r="E59" s="24">
        <v>0</v>
      </c>
      <c r="F59" s="24">
        <f t="shared" si="8"/>
        <v>14395.448172999999</v>
      </c>
      <c r="G59" s="31"/>
      <c r="H59" s="7"/>
      <c r="I59" s="4"/>
      <c r="J59" s="4"/>
    </row>
    <row r="60" spans="1:10" ht="16" x14ac:dyDescent="0.2">
      <c r="A60" s="5"/>
      <c r="B60" s="22" t="s">
        <v>50</v>
      </c>
      <c r="C60" s="24">
        <f t="shared" si="9"/>
        <v>14840.652202000001</v>
      </c>
      <c r="D60" s="24">
        <v>0</v>
      </c>
      <c r="E60" s="24">
        <v>0</v>
      </c>
      <c r="F60" s="24">
        <f t="shared" si="8"/>
        <v>14840.652202000001</v>
      </c>
      <c r="G60" s="31"/>
      <c r="H60" s="7"/>
      <c r="I60" s="4"/>
      <c r="J60" s="4"/>
    </row>
    <row r="61" spans="1:10" ht="16" x14ac:dyDescent="0.2">
      <c r="A61" s="5"/>
      <c r="B61" s="22" t="s">
        <v>51</v>
      </c>
      <c r="C61" s="24">
        <f t="shared" si="9"/>
        <v>12942.888321500001</v>
      </c>
      <c r="D61" s="24">
        <v>0</v>
      </c>
      <c r="E61" s="24">
        <v>0</v>
      </c>
      <c r="F61" s="24">
        <f>C61-D61-E61</f>
        <v>12942.888321500001</v>
      </c>
      <c r="G61" s="31"/>
      <c r="H61" s="7"/>
      <c r="I61" s="4"/>
      <c r="J61" s="4"/>
    </row>
    <row r="62" spans="1:10" ht="16" x14ac:dyDescent="0.2">
      <c r="A62" s="5"/>
      <c r="B62" s="22" t="s">
        <v>52</v>
      </c>
      <c r="C62" s="24">
        <f t="shared" si="9"/>
        <v>14937.503239</v>
      </c>
      <c r="D62" s="24">
        <v>0</v>
      </c>
      <c r="E62" s="24">
        <v>0</v>
      </c>
      <c r="F62" s="24">
        <f>C62-D62-E62</f>
        <v>14937.503239</v>
      </c>
      <c r="G62" s="31"/>
      <c r="H62" s="7"/>
      <c r="I62" s="4"/>
      <c r="J62" s="4"/>
    </row>
    <row r="63" spans="1:10" ht="16" x14ac:dyDescent="0.2">
      <c r="A63" s="5"/>
      <c r="B63" s="22" t="s">
        <v>53</v>
      </c>
      <c r="C63" s="24">
        <f t="shared" si="9"/>
        <v>9105.9519414999995</v>
      </c>
      <c r="D63" s="24">
        <v>0</v>
      </c>
      <c r="E63" s="24">
        <v>0</v>
      </c>
      <c r="F63" s="24">
        <f t="shared" si="8"/>
        <v>9105.9519414999995</v>
      </c>
      <c r="G63" s="31"/>
      <c r="H63" s="7"/>
      <c r="I63" s="4"/>
      <c r="J63" s="4"/>
    </row>
    <row r="64" spans="1:10" ht="16" x14ac:dyDescent="0.2">
      <c r="A64" s="5"/>
      <c r="B64" s="22" t="s">
        <v>54</v>
      </c>
      <c r="C64" s="24">
        <f t="shared" si="9"/>
        <v>12904.6812785</v>
      </c>
      <c r="D64" s="24">
        <v>0</v>
      </c>
      <c r="E64" s="24">
        <v>0</v>
      </c>
      <c r="F64" s="24">
        <f t="shared" si="8"/>
        <v>12904.6812785</v>
      </c>
      <c r="G64" s="31"/>
      <c r="H64" s="7"/>
      <c r="I64" s="4"/>
      <c r="J64" s="4"/>
    </row>
    <row r="65" spans="1:10" ht="16" x14ac:dyDescent="0.2">
      <c r="A65" s="5"/>
      <c r="B65" s="22" t="s">
        <v>55</v>
      </c>
      <c r="C65" s="24">
        <f t="shared" si="9"/>
        <v>11041.470541500001</v>
      </c>
      <c r="D65" s="24">
        <v>0</v>
      </c>
      <c r="E65" s="24">
        <v>0</v>
      </c>
      <c r="F65" s="24">
        <f t="shared" ref="F65:F74" si="10">C65-D65-E65</f>
        <v>11041.470541500001</v>
      </c>
      <c r="G65" s="31"/>
      <c r="H65" s="7"/>
      <c r="I65" s="4"/>
      <c r="J65" s="4"/>
    </row>
    <row r="66" spans="1:10" ht="16" x14ac:dyDescent="0.2">
      <c r="A66" s="5"/>
      <c r="B66" s="22" t="s">
        <v>56</v>
      </c>
      <c r="C66" s="24">
        <f t="shared" si="9"/>
        <v>12530.617591</v>
      </c>
      <c r="D66" s="24">
        <v>0</v>
      </c>
      <c r="E66" s="24">
        <v>0</v>
      </c>
      <c r="F66" s="24">
        <f t="shared" si="10"/>
        <v>12530.617591</v>
      </c>
      <c r="G66" s="31"/>
      <c r="H66" s="7"/>
      <c r="I66" s="4"/>
      <c r="J66" s="4"/>
    </row>
    <row r="67" spans="1:10" ht="16" customHeight="1" x14ac:dyDescent="0.2">
      <c r="A67" s="5"/>
      <c r="B67" s="22" t="s">
        <v>57</v>
      </c>
      <c r="C67" s="24">
        <f t="shared" si="9"/>
        <v>21723.335492999999</v>
      </c>
      <c r="D67" s="24">
        <v>0</v>
      </c>
      <c r="E67" s="24">
        <v>0</v>
      </c>
      <c r="F67" s="24">
        <f t="shared" si="10"/>
        <v>21723.335492999999</v>
      </c>
      <c r="G67" s="31"/>
      <c r="H67" s="7"/>
      <c r="I67" s="4"/>
      <c r="J67" s="4"/>
    </row>
    <row r="68" spans="1:10" ht="16" x14ac:dyDescent="0.2">
      <c r="A68" s="5"/>
      <c r="B68" s="22" t="s">
        <v>58</v>
      </c>
      <c r="C68" s="24">
        <f t="shared" si="9"/>
        <v>22270.027575499997</v>
      </c>
      <c r="D68" s="24">
        <v>0</v>
      </c>
      <c r="E68" s="24">
        <v>0</v>
      </c>
      <c r="F68" s="24">
        <f t="shared" si="10"/>
        <v>22270.027575499997</v>
      </c>
      <c r="G68" s="31"/>
      <c r="H68" s="7"/>
      <c r="I68" s="4"/>
      <c r="J68" s="4"/>
    </row>
    <row r="69" spans="1:10" ht="16" customHeight="1" x14ac:dyDescent="0.2">
      <c r="A69" s="5"/>
      <c r="B69" s="22" t="s">
        <v>59</v>
      </c>
      <c r="C69" s="24">
        <f t="shared" si="9"/>
        <v>12889.057341</v>
      </c>
      <c r="D69" s="24">
        <v>0</v>
      </c>
      <c r="E69" s="24">
        <v>0</v>
      </c>
      <c r="F69" s="24">
        <f t="shared" si="10"/>
        <v>12889.057341</v>
      </c>
      <c r="G69" s="31"/>
      <c r="H69" s="7"/>
      <c r="I69" s="4"/>
      <c r="J69" s="4"/>
    </row>
    <row r="70" spans="1:10" ht="16" x14ac:dyDescent="0.2">
      <c r="A70" s="5"/>
      <c r="B70" s="22" t="s">
        <v>60</v>
      </c>
      <c r="C70" s="24">
        <f t="shared" si="9"/>
        <v>16069.6857745</v>
      </c>
      <c r="D70" s="24">
        <v>0</v>
      </c>
      <c r="E70" s="24">
        <v>0</v>
      </c>
      <c r="F70" s="24">
        <f t="shared" si="10"/>
        <v>16069.6857745</v>
      </c>
      <c r="G70" s="31"/>
      <c r="H70" s="7"/>
      <c r="I70" s="4"/>
      <c r="J70" s="4"/>
    </row>
    <row r="71" spans="1:10" ht="16" x14ac:dyDescent="0.2">
      <c r="A71" s="5"/>
      <c r="B71" s="22" t="s">
        <v>61</v>
      </c>
      <c r="C71" s="24">
        <f t="shared" si="9"/>
        <v>16100.1523125</v>
      </c>
      <c r="D71" s="24">
        <v>0</v>
      </c>
      <c r="E71" s="24">
        <v>0</v>
      </c>
      <c r="F71" s="24">
        <f t="shared" si="10"/>
        <v>16100.1523125</v>
      </c>
      <c r="G71" s="31"/>
      <c r="H71" s="7"/>
      <c r="I71" s="4"/>
      <c r="J71" s="4"/>
    </row>
    <row r="72" spans="1:10" ht="16" x14ac:dyDescent="0.2">
      <c r="A72" s="5"/>
      <c r="B72" s="22" t="s">
        <v>62</v>
      </c>
      <c r="C72" s="24">
        <f t="shared" si="9"/>
        <v>21538.803759499999</v>
      </c>
      <c r="D72" s="24">
        <v>0</v>
      </c>
      <c r="E72" s="24">
        <v>0</v>
      </c>
      <c r="F72" s="24">
        <f t="shared" si="10"/>
        <v>21538.803759499999</v>
      </c>
      <c r="G72" s="31"/>
      <c r="H72" s="7"/>
      <c r="I72" s="4"/>
      <c r="J72" s="4"/>
    </row>
    <row r="73" spans="1:10" ht="16" x14ac:dyDescent="0.2">
      <c r="A73" s="5"/>
      <c r="B73" s="22" t="s">
        <v>63</v>
      </c>
      <c r="C73" s="24">
        <f t="shared" si="9"/>
        <v>14573.331255499999</v>
      </c>
      <c r="D73" s="24">
        <v>0</v>
      </c>
      <c r="E73" s="24">
        <v>0</v>
      </c>
      <c r="F73" s="24">
        <f t="shared" si="10"/>
        <v>14573.331255499999</v>
      </c>
      <c r="G73" s="31"/>
      <c r="H73" s="7"/>
      <c r="I73" s="4"/>
      <c r="J73" s="4"/>
    </row>
    <row r="74" spans="1:10" ht="17" thickBot="1" x14ac:dyDescent="0.25">
      <c r="A74" s="5"/>
      <c r="B74" s="22" t="s">
        <v>64</v>
      </c>
      <c r="C74" s="24">
        <f t="shared" si="9"/>
        <v>7581.7366489999995</v>
      </c>
      <c r="D74" s="24">
        <v>0</v>
      </c>
      <c r="E74" s="24">
        <v>0</v>
      </c>
      <c r="F74" s="24">
        <f t="shared" si="10"/>
        <v>7581.7366489999995</v>
      </c>
      <c r="G74" s="31"/>
      <c r="H74" s="7"/>
      <c r="I74" s="4"/>
      <c r="J74" s="4"/>
    </row>
    <row r="75" spans="1:10" ht="18" thickBot="1" x14ac:dyDescent="0.25">
      <c r="A75" s="5"/>
      <c r="C75" s="49"/>
      <c r="D75" s="24">
        <v>0</v>
      </c>
      <c r="E75" s="52"/>
      <c r="F75" s="34"/>
      <c r="G75" s="21" t="s">
        <v>20</v>
      </c>
      <c r="H75" s="7"/>
      <c r="I75" s="4"/>
      <c r="J75" s="4"/>
    </row>
    <row r="76" spans="1:10" ht="35" thickBot="1" x14ac:dyDescent="0.25">
      <c r="A76" s="5"/>
      <c r="B76" s="68" t="s">
        <v>65</v>
      </c>
      <c r="C76" s="76">
        <f>SUM(C57:C59)</f>
        <v>51844.218747999999</v>
      </c>
      <c r="D76" s="76">
        <f>SUM(D57:D59)</f>
        <v>0</v>
      </c>
      <c r="E76" s="76">
        <f>SUM(E57:E59)</f>
        <v>0</v>
      </c>
      <c r="F76" s="76">
        <f>SUM(F57:F59)</f>
        <v>51844.218747999999</v>
      </c>
      <c r="G76" s="37">
        <f>ROUNDDOWN(F76,0)</f>
        <v>51844</v>
      </c>
      <c r="H76" s="7"/>
      <c r="I76" s="4"/>
      <c r="J76" s="4"/>
    </row>
    <row r="77" spans="1:10" ht="35" thickBot="1" x14ac:dyDescent="0.25">
      <c r="A77" s="5"/>
      <c r="B77" s="25" t="s">
        <v>66</v>
      </c>
      <c r="C77" s="76">
        <f>SUM(C60:C71)</f>
        <v>177356.02361149999</v>
      </c>
      <c r="D77" s="76">
        <f>SUM(D60:D71)</f>
        <v>0</v>
      </c>
      <c r="E77" s="76">
        <f>SUM(E60:E71)</f>
        <v>0</v>
      </c>
      <c r="F77" s="76">
        <f>SUM(F60:F71)</f>
        <v>177356.02361149999</v>
      </c>
      <c r="G77" s="37">
        <f>ROUNDDOWN(F77,0)</f>
        <v>177356</v>
      </c>
      <c r="H77" s="7"/>
      <c r="I77" s="4"/>
      <c r="J77" s="4"/>
    </row>
    <row r="78" spans="1:10" ht="35" thickBot="1" x14ac:dyDescent="0.25">
      <c r="B78" s="25" t="s">
        <v>67</v>
      </c>
      <c r="C78" s="76">
        <f>SUM(C72:C74)</f>
        <v>43693.871663999998</v>
      </c>
      <c r="D78" s="76">
        <f>SUM(D61:D72)</f>
        <v>0</v>
      </c>
      <c r="E78" s="76">
        <f>SUM(D72:D74)</f>
        <v>0</v>
      </c>
      <c r="F78" s="76">
        <f>SUM(F72:F74)</f>
        <v>43693.871663999998</v>
      </c>
      <c r="G78" s="37">
        <f>ROUNDDOWN(F78,0)</f>
        <v>43693</v>
      </c>
      <c r="H78" s="7"/>
      <c r="I78" s="4"/>
      <c r="J78" s="4"/>
    </row>
    <row r="79" spans="1:10" ht="15" thickBot="1" x14ac:dyDescent="0.2">
      <c r="G79" s="37"/>
      <c r="H79" s="69"/>
    </row>
    <row r="80" spans="1:10" ht="35" thickBot="1" x14ac:dyDescent="0.25">
      <c r="B80" s="25" t="s">
        <v>68</v>
      </c>
      <c r="C80" s="73">
        <f>SUM(C76:C78)</f>
        <v>272894.11402349995</v>
      </c>
      <c r="D80" s="73">
        <f>SUM(D76:D78)</f>
        <v>0</v>
      </c>
      <c r="E80" s="73">
        <f>SUM(E76:E78)</f>
        <v>0</v>
      </c>
      <c r="F80" s="76">
        <f>SUM(F76:F78)</f>
        <v>272894.11402349995</v>
      </c>
      <c r="G80" s="37">
        <f>G76+G77+G78</f>
        <v>272893</v>
      </c>
      <c r="H80" s="70"/>
    </row>
  </sheetData>
  <mergeCells count="11">
    <mergeCell ref="B52:G52"/>
    <mergeCell ref="B3:G3"/>
    <mergeCell ref="B4:G4"/>
    <mergeCell ref="B5:G5"/>
    <mergeCell ref="B14:G14"/>
    <mergeCell ref="B12:C12"/>
    <mergeCell ref="B54:B56"/>
    <mergeCell ref="B44:G44"/>
    <mergeCell ref="B46:G46"/>
    <mergeCell ref="B48:G48"/>
    <mergeCell ref="B50:G5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portrait"/>
  <ignoredErrors>
    <ignoredError sqref="D76:E7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 RES</vt:lpstr>
    </vt:vector>
  </TitlesOfParts>
  <Manager/>
  <Company>Ruzgar Danismanlik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Cagla Balci Eris</dc:creator>
  <cp:keywords/>
  <dc:description/>
  <cp:lastModifiedBy>Cagla Balci Eris</cp:lastModifiedBy>
  <cp:lastPrinted>2012-10-12T14:47:03Z</cp:lastPrinted>
  <dcterms:created xsi:type="dcterms:W3CDTF">2010-11-11T14:08:33Z</dcterms:created>
  <dcterms:modified xsi:type="dcterms:W3CDTF">2024-06-18T12:57:28Z</dcterms:modified>
  <cp:category/>
</cp:coreProperties>
</file>