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cagla/Desktop/Genel_06112022/Dogan Enerji/Sah RES/Verifikasyon/4.verifikasyon/"/>
    </mc:Choice>
  </mc:AlternateContent>
  <xr:revisionPtr revIDLastSave="0" documentId="8_{6853734D-864A-7E4D-BF49-76962A47E64B}" xr6:coauthVersionLast="47" xr6:coauthVersionMax="47" xr10:uidLastSave="{00000000-0000-0000-0000-000000000000}"/>
  <bookViews>
    <workbookView xWindow="0" yWindow="460" windowWidth="25600" windowHeight="14380"/>
  </bookViews>
  <sheets>
    <sheet name="Sah RES" sheetId="1" r:id="rId1"/>
    <sheet name="SD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L10" i="1"/>
  <c r="L9" i="1"/>
  <c r="E42" i="1"/>
  <c r="I25" i="1"/>
  <c r="I24" i="1"/>
  <c r="K24" i="1"/>
  <c r="M24" i="1"/>
  <c r="J20" i="1"/>
  <c r="L20" i="1"/>
  <c r="C24" i="1"/>
  <c r="D39" i="1"/>
  <c r="C39" i="1"/>
  <c r="E39" i="1"/>
  <c r="G39" i="1"/>
  <c r="C78" i="1"/>
  <c r="F78" i="1"/>
  <c r="D38" i="1"/>
  <c r="C38" i="1"/>
  <c r="E38" i="1"/>
  <c r="G38" i="1"/>
  <c r="C77" i="1"/>
  <c r="F77" i="1"/>
  <c r="D37" i="1"/>
  <c r="C37" i="1"/>
  <c r="E37" i="1"/>
  <c r="G37" i="1"/>
  <c r="C76" i="1"/>
  <c r="F76" i="1"/>
  <c r="D36" i="1"/>
  <c r="C36" i="1"/>
  <c r="E36" i="1"/>
  <c r="G36" i="1"/>
  <c r="C75" i="1"/>
  <c r="F75" i="1"/>
  <c r="D35" i="1"/>
  <c r="C35" i="1"/>
  <c r="E35" i="1"/>
  <c r="G35" i="1"/>
  <c r="C74" i="1"/>
  <c r="F74" i="1"/>
  <c r="D34" i="1"/>
  <c r="C34" i="1"/>
  <c r="E34" i="1"/>
  <c r="G34" i="1"/>
  <c r="C73" i="1"/>
  <c r="F73" i="1"/>
  <c r="D33" i="1"/>
  <c r="C33" i="1"/>
  <c r="E33" i="1"/>
  <c r="G33" i="1"/>
  <c r="C72" i="1"/>
  <c r="F72" i="1"/>
  <c r="E32" i="1"/>
  <c r="D32" i="1"/>
  <c r="C32" i="1"/>
  <c r="D31" i="1"/>
  <c r="C31" i="1"/>
  <c r="E31" i="1"/>
  <c r="D29" i="1"/>
  <c r="C29" i="1"/>
  <c r="E29" i="1"/>
  <c r="G29" i="1"/>
  <c r="C68" i="1"/>
  <c r="F68" i="1"/>
  <c r="D28" i="1"/>
  <c r="C28" i="1"/>
  <c r="E28" i="1"/>
  <c r="G28" i="1"/>
  <c r="C67" i="1"/>
  <c r="F67" i="1"/>
  <c r="E27" i="1"/>
  <c r="D27" i="1"/>
  <c r="C27" i="1"/>
  <c r="D26" i="1"/>
  <c r="E26" i="1"/>
  <c r="G26" i="1"/>
  <c r="C65" i="1"/>
  <c r="F65" i="1"/>
  <c r="C26" i="1"/>
  <c r="D25" i="1"/>
  <c r="C25" i="1"/>
  <c r="E25" i="1"/>
  <c r="G25" i="1"/>
  <c r="C64" i="1"/>
  <c r="F64" i="1"/>
  <c r="D24" i="1"/>
  <c r="E24" i="1"/>
  <c r="G24" i="1"/>
  <c r="C63" i="1"/>
  <c r="F63" i="1"/>
  <c r="E23" i="1"/>
  <c r="D23" i="1"/>
  <c r="C23" i="1"/>
  <c r="D22" i="1"/>
  <c r="E22" i="1"/>
  <c r="G22" i="1"/>
  <c r="C61" i="1"/>
  <c r="F61" i="1"/>
  <c r="C22" i="1"/>
  <c r="D21" i="1"/>
  <c r="C21" i="1"/>
  <c r="E21" i="1"/>
  <c r="G21" i="1"/>
  <c r="C60" i="1"/>
  <c r="F60" i="1"/>
  <c r="D20" i="1"/>
  <c r="C20" i="1"/>
  <c r="E20" i="1"/>
  <c r="K9" i="1"/>
  <c r="L1" i="1"/>
  <c r="J39" i="1"/>
  <c r="J38" i="1"/>
  <c r="J37" i="1"/>
  <c r="J36" i="1"/>
  <c r="J35" i="1"/>
  <c r="J34" i="1"/>
  <c r="J33" i="1"/>
  <c r="J32" i="1"/>
  <c r="J31" i="1"/>
  <c r="J29" i="1"/>
  <c r="J28" i="1"/>
  <c r="J27" i="1"/>
  <c r="J26" i="1"/>
  <c r="J25" i="1"/>
  <c r="J24" i="1"/>
  <c r="J23" i="1"/>
  <c r="J22" i="1"/>
  <c r="J21" i="1"/>
  <c r="I39" i="1"/>
  <c r="I38" i="1"/>
  <c r="I37" i="1"/>
  <c r="I36" i="1"/>
  <c r="I35" i="1"/>
  <c r="I34" i="1"/>
  <c r="I33" i="1"/>
  <c r="I32" i="1"/>
  <c r="I31" i="1"/>
  <c r="I29" i="1"/>
  <c r="I28" i="1"/>
  <c r="I27" i="1"/>
  <c r="I26" i="1"/>
  <c r="I23" i="1"/>
  <c r="I22" i="1"/>
  <c r="I21" i="1"/>
  <c r="I20" i="1"/>
  <c r="F79" i="1"/>
  <c r="D81" i="1"/>
  <c r="E81" i="1"/>
  <c r="E80" i="1"/>
  <c r="E83" i="1"/>
  <c r="D80" i="1"/>
  <c r="D83" i="1"/>
  <c r="D42" i="1"/>
  <c r="C41" i="1"/>
  <c r="C44" i="1"/>
  <c r="C42" i="1"/>
  <c r="D41" i="1"/>
  <c r="K20" i="1"/>
  <c r="M20" i="1"/>
  <c r="G23" i="1"/>
  <c r="C62" i="1"/>
  <c r="F62" i="1"/>
  <c r="G27" i="1"/>
  <c r="C66" i="1"/>
  <c r="F66" i="1"/>
  <c r="G32" i="1"/>
  <c r="C71" i="1"/>
  <c r="F71" i="1"/>
  <c r="K25" i="1"/>
  <c r="M25" i="1"/>
  <c r="K23" i="1"/>
  <c r="M23" i="1"/>
  <c r="K22" i="1"/>
  <c r="M22" i="1"/>
  <c r="K21" i="1"/>
  <c r="M21" i="1"/>
  <c r="L29" i="1"/>
  <c r="L21" i="1"/>
  <c r="L22" i="1"/>
  <c r="L23" i="1"/>
  <c r="L24" i="1"/>
  <c r="L25" i="1"/>
  <c r="K26" i="1"/>
  <c r="M26" i="1"/>
  <c r="L26" i="1"/>
  <c r="K27" i="1"/>
  <c r="M27" i="1"/>
  <c r="L27" i="1"/>
  <c r="K28" i="1"/>
  <c r="M28" i="1"/>
  <c r="L28" i="1"/>
  <c r="K29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D44" i="1"/>
  <c r="G31" i="1"/>
  <c r="C70" i="1"/>
  <c r="G42" i="1"/>
  <c r="H42" i="1"/>
  <c r="H44" i="1"/>
  <c r="J12" i="1"/>
  <c r="E41" i="1"/>
  <c r="G20" i="1"/>
  <c r="C59" i="1"/>
  <c r="C80" i="1"/>
  <c r="F59" i="1"/>
  <c r="E44" i="1"/>
  <c r="G41" i="1"/>
  <c r="H41" i="1"/>
  <c r="F70" i="1"/>
  <c r="C81" i="1"/>
  <c r="F81" i="1"/>
  <c r="J13" i="1"/>
  <c r="J16" i="1"/>
  <c r="G44" i="1"/>
  <c r="D11" i="1"/>
  <c r="G81" i="1"/>
  <c r="F11" i="1"/>
  <c r="F80" i="1"/>
  <c r="C83" i="1"/>
  <c r="F83" i="1"/>
  <c r="D12" i="1"/>
  <c r="G80" i="1"/>
  <c r="D10" i="1"/>
  <c r="G83" i="1"/>
  <c r="F12" i="1"/>
  <c r="F10" i="1"/>
</calcChain>
</file>

<file path=xl/sharedStrings.xml><?xml version="1.0" encoding="utf-8"?>
<sst xmlns="http://schemas.openxmlformats.org/spreadsheetml/2006/main" count="245" uniqueCount="116">
  <si>
    <t>Month</t>
  </si>
  <si>
    <t>(A)
Electricity
supplied to
the grid
[kWh]</t>
  </si>
  <si>
    <t>(B)
Electricity
consumption
from the grid
[kWh]</t>
  </si>
  <si>
    <t>(C) = (A) - (B)
EG (ID 8)
Net electricity
supplied to the grid
[kWh]</t>
  </si>
  <si>
    <t>GOLD STANDARD - VOLUNTARY EMISSION REDUCTIONS</t>
  </si>
  <si>
    <t>Emission Reduction Calucalations</t>
  </si>
  <si>
    <t>Project Name:</t>
  </si>
  <si>
    <t>Gold Satandard Project ID:</t>
  </si>
  <si>
    <t>Monitoring Period:</t>
  </si>
  <si>
    <t>Project Emissions (PE)</t>
  </si>
  <si>
    <t>Baseline Emissions (BE)</t>
  </si>
  <si>
    <t>Leakege (L)</t>
  </si>
  <si>
    <t>Emission Reductions (ER)</t>
  </si>
  <si>
    <t xml:space="preserve">Project emission: </t>
  </si>
  <si>
    <t xml:space="preserve">Baseline
emission:
</t>
  </si>
  <si>
    <t xml:space="preserve">Leakge: </t>
  </si>
  <si>
    <t>[t CO2-eq]</t>
  </si>
  <si>
    <t>(ER=BE-PE-L)</t>
  </si>
  <si>
    <t xml:space="preserve">Emission Reductions: </t>
  </si>
  <si>
    <t>t CO2-eq</t>
  </si>
  <si>
    <t>Rounded Value</t>
  </si>
  <si>
    <r>
      <t>EF  [tCO</t>
    </r>
    <r>
      <rPr>
        <b/>
        <vertAlign val="subscript"/>
        <sz val="12"/>
        <rFont val="Times New Roman"/>
        <family val="1"/>
        <charset val="162"/>
      </rPr>
      <t>2</t>
    </r>
    <r>
      <rPr>
        <b/>
        <sz val="12"/>
        <rFont val="Times New Roman"/>
        <family val="1"/>
        <charset val="162"/>
      </rPr>
      <t>/MWh]</t>
    </r>
  </si>
  <si>
    <r>
      <t>Baseline
emission:
BR = EG * EF)
[t CO</t>
    </r>
    <r>
      <rPr>
        <b/>
        <vertAlign val="subscript"/>
        <sz val="12"/>
        <rFont val="Times New Roman"/>
        <family val="1"/>
        <charset val="162"/>
      </rPr>
      <t>2</t>
    </r>
    <r>
      <rPr>
        <b/>
        <sz val="12"/>
        <rFont val="Times New Roman"/>
        <family val="1"/>
        <charset val="162"/>
      </rPr>
      <t>-eq]</t>
    </r>
  </si>
  <si>
    <t>Table of values according to EPIAS (values in kWh)</t>
  </si>
  <si>
    <t>For A-OSOS (teias protocol) Electricity Supplied Amount (kWh)</t>
  </si>
  <si>
    <t>For B-OSOS Electricity Consumption Amount (kWh)</t>
  </si>
  <si>
    <t>(B) için  OSOS (Tutanak) ile EPIAS farkı</t>
  </si>
  <si>
    <t>(A) için OSOS (tutanak) ile  EPIAS farkı</t>
  </si>
  <si>
    <t>İletim Hattı Kaybı (Transmission Lost)*</t>
  </si>
  <si>
    <t>Vintage 2021 Emission Reductions</t>
  </si>
  <si>
    <t>Total Emission Reductions for the Third Period</t>
  </si>
  <si>
    <t>No leakage is to be accounted by the Project. This is in line with the registered PDD and applicable methodology ACM0002 Version 18.1.</t>
  </si>
  <si>
    <t xml:space="preserve">Project emissions are negligable. In accordance to the registered PDD and applicable methodology ACM0002 Version 18.1., no project emissions are to be accounted by the Project. </t>
  </si>
  <si>
    <t xml:space="preserve">Electricity Generation </t>
  </si>
  <si>
    <t>one year</t>
  </si>
  <si>
    <t>Monitoring period days</t>
  </si>
  <si>
    <t>Expectation value for Emission Reduction in PDD</t>
  </si>
  <si>
    <t>Actual value for Emission Reduction</t>
  </si>
  <si>
    <t>The diffrence comparison for Emission Reduction</t>
  </si>
  <si>
    <t>Actual value for Electricity Generation</t>
  </si>
  <si>
    <t>The diffrence comparison for Electricity Generation</t>
  </si>
  <si>
    <t>Vintage 2022 Emission Reductions</t>
  </si>
  <si>
    <t>from 01/03/2021 to 30/09/2022</t>
  </si>
  <si>
    <t>March 2021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</si>
  <si>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</si>
  <si>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</si>
  <si>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</si>
  <si>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</si>
  <si>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</si>
  <si>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</si>
  <si>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</si>
  <si>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</si>
  <si>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Decamber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</si>
  <si>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</si>
  <si>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</si>
  <si>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</si>
  <si>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</si>
  <si>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</si>
  <si>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</si>
  <si>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</si>
  <si>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</si>
  <si>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</si>
  <si>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Sum (01/03/2021 - 31/12/2021)</t>
  </si>
  <si>
    <t>Sum (01/01/2022- 30/09/2022)</t>
  </si>
  <si>
    <t>Sum (01/03/2021 - 30/09/2022)</t>
  </si>
  <si>
    <t xml:space="preserve">Fourth Monitoring Period </t>
  </si>
  <si>
    <t>Sah Wind Power Plant</t>
  </si>
  <si>
    <t>GS905</t>
  </si>
  <si>
    <t>Expectation value for Electricity Generation in PDD</t>
  </si>
  <si>
    <t>Aziz Kaymakçı</t>
  </si>
  <si>
    <t>Durali Demirtaş</t>
  </si>
  <si>
    <t>Faik Tamer Onat</t>
  </si>
  <si>
    <t>İsmail Hakkı Okur</t>
  </si>
  <si>
    <t>Metin Çirkona</t>
  </si>
  <si>
    <t>Servet Mahir Ergül</t>
  </si>
  <si>
    <t>Yasin Usuğ</t>
  </si>
  <si>
    <t>Orçin Açıkel</t>
  </si>
  <si>
    <t>SDG 8</t>
  </si>
  <si>
    <t>Name/Surname</t>
  </si>
  <si>
    <t>Position</t>
  </si>
  <si>
    <t>Training given by</t>
  </si>
  <si>
    <t>Subject</t>
  </si>
  <si>
    <t>Training Date</t>
  </si>
  <si>
    <t>Record</t>
  </si>
  <si>
    <t>Content</t>
  </si>
  <si>
    <t>General Occupational Health and Safety</t>
  </si>
  <si>
    <t>Attendance Protocol</t>
  </si>
  <si>
    <t>Basic Training about General Occupational Health and Safety</t>
  </si>
  <si>
    <t>WPP Operations Manager</t>
  </si>
  <si>
    <t>Housekeeper</t>
  </si>
  <si>
    <t>WPP Admin Affairs</t>
  </si>
  <si>
    <t>Öykü OSGB-Hekimbey OSGB</t>
  </si>
  <si>
    <t xml:space="preserve">17-18/06/2021 12/09/2022 </t>
  </si>
  <si>
    <t>17-18/06/2021 12/09/2022</t>
  </si>
  <si>
    <t>Securitas</t>
  </si>
  <si>
    <t>Vestas</t>
  </si>
  <si>
    <t>ArtıMetrik</t>
  </si>
  <si>
    <t>Fettah Köse</t>
  </si>
  <si>
    <t xml:space="preserve">Ekoglobal OSG </t>
  </si>
  <si>
    <t>31.12.2020*</t>
  </si>
  <si>
    <t>Fatih Akyol</t>
  </si>
  <si>
    <t>30.11.2020*</t>
  </si>
  <si>
    <t>Halil Esen</t>
  </si>
  <si>
    <t>12-13/11/2021</t>
  </si>
  <si>
    <t>Ramazan Birgen</t>
  </si>
  <si>
    <t>Mustafa Balcı</t>
  </si>
  <si>
    <t>Ahmet Kan</t>
  </si>
  <si>
    <t>Anıl Can</t>
  </si>
  <si>
    <t>Onur Özkurtbay</t>
  </si>
  <si>
    <t>Gökhan Kara</t>
  </si>
  <si>
    <t>Emrah Durmaz</t>
  </si>
  <si>
    <t>Arda İspir</t>
  </si>
  <si>
    <t>Ufuk Yalçın*</t>
  </si>
  <si>
    <t>Kasım 2021'de İhsan Sabri Altınbaş geldi</t>
  </si>
  <si>
    <t>Rıza Orhanlı</t>
  </si>
  <si>
    <t xml:space="preserve"> 17-18/06/2021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</si>
</sst>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6" formatCode="#,##0.000"/>
    <numFmt numFmtId="201" formatCode="#,##0.0000"/>
  </numFmts>
  <fonts count="38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vertAlign val="subscript"/>
      <sz val="12"/>
      <name val="Times New Roman"/>
      <family val="1"/>
      <charset val="162"/>
    </font>
    <font>
      <sz val="12"/>
      <name val="Times New Roman"/>
      <family val="1"/>
    </font>
    <font>
      <sz val="12"/>
      <color indexed="8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8"/>
      <name val="Calibri"/>
      <family val="2"/>
      <charset val="162"/>
    </font>
    <font>
      <b/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theme="1"/>
      <name val="Avenir Book"/>
      <family val="2"/>
    </font>
    <font>
      <sz val="10"/>
      <color theme="1"/>
      <name val="Avenir Boo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6" borderId="6" applyNumberFormat="0" applyAlignment="0" applyProtection="0"/>
    <xf numFmtId="0" fontId="12" fillId="7" borderId="5" applyNumberFormat="0" applyAlignment="0" applyProtection="0"/>
    <xf numFmtId="0" fontId="1" fillId="0" borderId="0"/>
    <xf numFmtId="0" fontId="2" fillId="0" borderId="0"/>
    <xf numFmtId="0" fontId="3" fillId="17" borderId="7" applyNumberFormat="0" applyFont="0" applyAlignment="0" applyProtection="0"/>
    <xf numFmtId="9" fontId="15" fillId="0" borderId="0" applyFont="0" applyFill="0" applyBorder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</cellStyleXfs>
  <cellXfs count="113">
    <xf numFmtId="0" fontId="0" fillId="0" borderId="0" xfId="0"/>
    <xf numFmtId="0" fontId="28" fillId="18" borderId="9" xfId="0" applyFont="1" applyFill="1" applyBorder="1"/>
    <xf numFmtId="0" fontId="28" fillId="18" borderId="10" xfId="0" applyFont="1" applyFill="1" applyBorder="1"/>
    <xf numFmtId="0" fontId="28" fillId="18" borderId="11" xfId="0" applyFont="1" applyFill="1" applyBorder="1"/>
    <xf numFmtId="0" fontId="28" fillId="0" borderId="0" xfId="0" applyFont="1"/>
    <xf numFmtId="0" fontId="28" fillId="18" borderId="12" xfId="0" applyFont="1" applyFill="1" applyBorder="1"/>
    <xf numFmtId="0" fontId="16" fillId="18" borderId="0" xfId="29" applyFont="1" applyFill="1" applyBorder="1" applyAlignment="1"/>
    <xf numFmtId="0" fontId="28" fillId="18" borderId="13" xfId="0" applyFont="1" applyFill="1" applyBorder="1"/>
    <xf numFmtId="0" fontId="17" fillId="18" borderId="0" xfId="0" applyFont="1" applyFill="1" applyBorder="1"/>
    <xf numFmtId="0" fontId="17" fillId="18" borderId="9" xfId="0" applyFont="1" applyFill="1" applyBorder="1"/>
    <xf numFmtId="0" fontId="17" fillId="18" borderId="11" xfId="0" applyFont="1" applyFill="1" applyBorder="1"/>
    <xf numFmtId="0" fontId="17" fillId="18" borderId="14" xfId="0" applyFont="1" applyFill="1" applyBorder="1"/>
    <xf numFmtId="0" fontId="17" fillId="18" borderId="15" xfId="0" applyFont="1" applyFill="1" applyBorder="1"/>
    <xf numFmtId="0" fontId="17" fillId="18" borderId="16" xfId="0" applyFont="1" applyFill="1" applyBorder="1"/>
    <xf numFmtId="0" fontId="17" fillId="18" borderId="12" xfId="0" applyFont="1" applyFill="1" applyBorder="1"/>
    <xf numFmtId="0" fontId="17" fillId="18" borderId="13" xfId="0" applyFont="1" applyFill="1" applyBorder="1"/>
    <xf numFmtId="0" fontId="17" fillId="18" borderId="17" xfId="0" applyFont="1" applyFill="1" applyBorder="1"/>
    <xf numFmtId="0" fontId="22" fillId="18" borderId="0" xfId="28" applyFont="1" applyFill="1" applyBorder="1" applyAlignment="1">
      <alignment horizontal="left"/>
    </xf>
    <xf numFmtId="0" fontId="23" fillId="18" borderId="0" xfId="28" applyFont="1" applyFill="1" applyBorder="1"/>
    <xf numFmtId="0" fontId="18" fillId="19" borderId="18" xfId="29" applyFont="1" applyFill="1" applyBorder="1" applyAlignment="1">
      <alignment horizontal="center" vertical="center"/>
    </xf>
    <xf numFmtId="0" fontId="18" fillId="19" borderId="19" xfId="29" applyFont="1" applyFill="1" applyBorder="1" applyAlignment="1">
      <alignment horizontal="center" vertical="center" wrapText="1"/>
    </xf>
    <xf numFmtId="0" fontId="18" fillId="19" borderId="20" xfId="29" applyFont="1" applyFill="1" applyBorder="1" applyAlignment="1">
      <alignment horizontal="center" vertical="center" wrapText="1"/>
    </xf>
    <xf numFmtId="49" fontId="25" fillId="18" borderId="17" xfId="28" applyNumberFormat="1" applyFont="1" applyFill="1" applyBorder="1" applyAlignment="1">
      <alignment horizontal="center"/>
    </xf>
    <xf numFmtId="3" fontId="25" fillId="18" borderId="21" xfId="28" applyNumberFormat="1" applyFont="1" applyFill="1" applyBorder="1" applyAlignment="1">
      <alignment horizontal="right"/>
    </xf>
    <xf numFmtId="3" fontId="26" fillId="18" borderId="21" xfId="29" applyNumberFormat="1" applyFont="1" applyFill="1" applyBorder="1" applyAlignment="1">
      <alignment horizontal="right"/>
    </xf>
    <xf numFmtId="196" fontId="25" fillId="18" borderId="21" xfId="29" applyNumberFormat="1" applyFont="1" applyFill="1" applyBorder="1" applyAlignment="1">
      <alignment horizontal="right"/>
    </xf>
    <xf numFmtId="4" fontId="18" fillId="18" borderId="22" xfId="29" applyNumberFormat="1" applyFont="1" applyFill="1" applyBorder="1" applyAlignment="1">
      <alignment horizontal="right"/>
    </xf>
    <xf numFmtId="49" fontId="25" fillId="18" borderId="23" xfId="28" applyNumberFormat="1" applyFont="1" applyFill="1" applyBorder="1" applyAlignment="1">
      <alignment horizontal="center"/>
    </xf>
    <xf numFmtId="49" fontId="18" fillId="18" borderId="23" xfId="28" applyNumberFormat="1" applyFont="1" applyFill="1" applyBorder="1" applyAlignment="1">
      <alignment horizontal="center" wrapText="1"/>
    </xf>
    <xf numFmtId="3" fontId="19" fillId="18" borderId="24" xfId="0" applyNumberFormat="1" applyFont="1" applyFill="1" applyBorder="1"/>
    <xf numFmtId="3" fontId="19" fillId="18" borderId="25" xfId="0" applyNumberFormat="1" applyFont="1" applyFill="1" applyBorder="1"/>
    <xf numFmtId="49" fontId="18" fillId="18" borderId="26" xfId="28" applyNumberFormat="1" applyFont="1" applyFill="1" applyBorder="1" applyAlignment="1">
      <alignment horizontal="center" wrapText="1"/>
    </xf>
    <xf numFmtId="3" fontId="19" fillId="18" borderId="27" xfId="0" applyNumberFormat="1" applyFont="1" applyFill="1" applyBorder="1"/>
    <xf numFmtId="0" fontId="18" fillId="19" borderId="28" xfId="29" applyFont="1" applyFill="1" applyBorder="1" applyAlignment="1">
      <alignment horizontal="center" vertical="center" wrapText="1"/>
    </xf>
    <xf numFmtId="0" fontId="20" fillId="19" borderId="29" xfId="0" applyFont="1" applyFill="1" applyBorder="1" applyAlignment="1">
      <alignment horizontal="center"/>
    </xf>
    <xf numFmtId="196" fontId="18" fillId="19" borderId="29" xfId="29" applyNumberFormat="1" applyFont="1" applyFill="1" applyBorder="1" applyAlignment="1">
      <alignment horizontal="center"/>
    </xf>
    <xf numFmtId="4" fontId="18" fillId="18" borderId="0" xfId="29" applyNumberFormat="1" applyFont="1" applyFill="1" applyBorder="1" applyAlignment="1">
      <alignment horizontal="right"/>
    </xf>
    <xf numFmtId="3" fontId="18" fillId="19" borderId="29" xfId="28" applyNumberFormat="1" applyFont="1" applyFill="1" applyBorder="1" applyAlignment="1">
      <alignment horizontal="center"/>
    </xf>
    <xf numFmtId="3" fontId="18" fillId="19" borderId="29" xfId="29" applyNumberFormat="1" applyFont="1" applyFill="1" applyBorder="1" applyAlignment="1">
      <alignment horizontal="center"/>
    </xf>
    <xf numFmtId="4" fontId="26" fillId="18" borderId="21" xfId="28" applyNumberFormat="1" applyFont="1" applyFill="1" applyBorder="1" applyAlignment="1">
      <alignment horizontal="right"/>
    </xf>
    <xf numFmtId="4" fontId="25" fillId="18" borderId="22" xfId="29" applyNumberFormat="1" applyFont="1" applyFill="1" applyBorder="1" applyAlignment="1">
      <alignment horizontal="right"/>
    </xf>
    <xf numFmtId="0" fontId="17" fillId="18" borderId="27" xfId="0" applyFont="1" applyFill="1" applyBorder="1"/>
    <xf numFmtId="0" fontId="17" fillId="0" borderId="0" xfId="0" applyFont="1"/>
    <xf numFmtId="3" fontId="30" fillId="18" borderId="30" xfId="0" applyNumberFormat="1" applyFont="1" applyFill="1" applyBorder="1" applyAlignment="1">
      <alignment horizontal="center"/>
    </xf>
    <xf numFmtId="0" fontId="17" fillId="18" borderId="31" xfId="0" applyFont="1" applyFill="1" applyBorder="1"/>
    <xf numFmtId="0" fontId="18" fillId="18" borderId="32" xfId="29" applyFont="1" applyFill="1" applyBorder="1" applyAlignment="1">
      <alignment horizontal="center" vertical="center" wrapText="1"/>
    </xf>
    <xf numFmtId="3" fontId="30" fillId="18" borderId="33" xfId="0" applyNumberFormat="1" applyFont="1" applyFill="1" applyBorder="1" applyAlignment="1">
      <alignment horizontal="center"/>
    </xf>
    <xf numFmtId="0" fontId="18" fillId="21" borderId="19" xfId="29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3" fontId="28" fillId="0" borderId="0" xfId="0" applyNumberFormat="1" applyFont="1" applyAlignment="1">
      <alignment horizontal="center"/>
    </xf>
    <xf numFmtId="0" fontId="18" fillId="22" borderId="19" xfId="29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3" fontId="31" fillId="0" borderId="0" xfId="0" applyNumberFormat="1" applyFont="1"/>
    <xf numFmtId="4" fontId="32" fillId="18" borderId="9" xfId="0" applyNumberFormat="1" applyFont="1" applyFill="1" applyBorder="1" applyAlignment="1">
      <alignment horizontal="center"/>
    </xf>
    <xf numFmtId="49" fontId="25" fillId="0" borderId="17" xfId="28" applyNumberFormat="1" applyFont="1" applyFill="1" applyBorder="1" applyAlignment="1">
      <alignment horizontal="center"/>
    </xf>
    <xf numFmtId="4" fontId="26" fillId="18" borderId="28" xfId="28" applyNumberFormat="1" applyFont="1" applyFill="1" applyBorder="1" applyAlignment="1">
      <alignment horizontal="right"/>
    </xf>
    <xf numFmtId="10" fontId="28" fillId="0" borderId="0" xfId="31" applyNumberFormat="1" applyFont="1"/>
    <xf numFmtId="0" fontId="31" fillId="0" borderId="0" xfId="0" applyFont="1"/>
    <xf numFmtId="0" fontId="28" fillId="18" borderId="30" xfId="0" applyFont="1" applyFill="1" applyBorder="1"/>
    <xf numFmtId="4" fontId="16" fillId="18" borderId="34" xfId="28" applyNumberFormat="1" applyFont="1" applyFill="1" applyBorder="1" applyAlignment="1">
      <alignment horizontal="right"/>
    </xf>
    <xf numFmtId="4" fontId="16" fillId="18" borderId="35" xfId="28" applyNumberFormat="1" applyFont="1" applyFill="1" applyBorder="1" applyAlignment="1">
      <alignment horizontal="right"/>
    </xf>
    <xf numFmtId="4" fontId="16" fillId="18" borderId="36" xfId="28" applyNumberFormat="1" applyFont="1" applyFill="1" applyBorder="1" applyAlignment="1">
      <alignment horizontal="right"/>
    </xf>
    <xf numFmtId="3" fontId="26" fillId="18" borderId="28" xfId="29" applyNumberFormat="1" applyFont="1" applyFill="1" applyBorder="1" applyAlignment="1">
      <alignment horizontal="right"/>
    </xf>
    <xf numFmtId="3" fontId="30" fillId="18" borderId="31" xfId="0" applyNumberFormat="1" applyFont="1" applyFill="1" applyBorder="1" applyAlignment="1">
      <alignment horizontal="center"/>
    </xf>
    <xf numFmtId="201" fontId="25" fillId="18" borderId="21" xfId="29" applyNumberFormat="1" applyFont="1" applyFill="1" applyBorder="1" applyAlignment="1">
      <alignment horizontal="right"/>
    </xf>
    <xf numFmtId="3" fontId="25" fillId="23" borderId="21" xfId="28" applyNumberFormat="1" applyFont="1" applyFill="1" applyBorder="1" applyAlignment="1">
      <alignment horizontal="right"/>
    </xf>
    <xf numFmtId="4" fontId="32" fillId="18" borderId="26" xfId="0" applyNumberFormat="1" applyFont="1" applyFill="1" applyBorder="1" applyAlignment="1">
      <alignment horizontal="center"/>
    </xf>
    <xf numFmtId="0" fontId="33" fillId="0" borderId="0" xfId="0" applyFont="1"/>
    <xf numFmtId="0" fontId="34" fillId="0" borderId="0" xfId="0" applyFont="1"/>
    <xf numFmtId="10" fontId="33" fillId="0" borderId="0" xfId="0" applyNumberFormat="1" applyFont="1"/>
    <xf numFmtId="3" fontId="33" fillId="0" borderId="0" xfId="0" applyNumberFormat="1" applyFont="1" applyFill="1"/>
    <xf numFmtId="14" fontId="28" fillId="0" borderId="0" xfId="0" applyNumberFormat="1" applyFont="1"/>
    <xf numFmtId="3" fontId="35" fillId="0" borderId="0" xfId="0" applyNumberFormat="1" applyFont="1" applyFill="1"/>
    <xf numFmtId="3" fontId="28" fillId="0" borderId="0" xfId="0" applyNumberFormat="1" applyFont="1"/>
    <xf numFmtId="3" fontId="33" fillId="0" borderId="0" xfId="0" applyNumberFormat="1" applyFont="1"/>
    <xf numFmtId="196" fontId="33" fillId="0" borderId="0" xfId="0" applyNumberFormat="1" applyFont="1"/>
    <xf numFmtId="196" fontId="35" fillId="0" borderId="0" xfId="0" applyNumberFormat="1" applyFont="1" applyFill="1"/>
    <xf numFmtId="0" fontId="36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8" fillId="19" borderId="40" xfId="29" applyFont="1" applyFill="1" applyBorder="1" applyAlignment="1">
      <alignment horizontal="center" vertical="center"/>
    </xf>
    <xf numFmtId="0" fontId="18" fillId="19" borderId="41" xfId="29" applyFont="1" applyFill="1" applyBorder="1" applyAlignment="1">
      <alignment horizontal="center" vertical="center"/>
    </xf>
    <xf numFmtId="49" fontId="27" fillId="20" borderId="26" xfId="28" applyNumberFormat="1" applyFont="1" applyFill="1" applyBorder="1" applyAlignment="1">
      <alignment horizontal="center"/>
    </xf>
    <xf numFmtId="49" fontId="27" fillId="20" borderId="27" xfId="28" applyNumberFormat="1" applyFont="1" applyFill="1" applyBorder="1" applyAlignment="1">
      <alignment horizontal="center"/>
    </xf>
    <xf numFmtId="49" fontId="27" fillId="20" borderId="31" xfId="28" applyNumberFormat="1" applyFont="1" applyFill="1" applyBorder="1" applyAlignment="1">
      <alignment horizontal="center"/>
    </xf>
    <xf numFmtId="0" fontId="17" fillId="18" borderId="26" xfId="0" applyFont="1" applyFill="1" applyBorder="1" applyAlignment="1">
      <alignment horizontal="left" wrapText="1"/>
    </xf>
    <xf numFmtId="0" fontId="17" fillId="18" borderId="27" xfId="0" applyFont="1" applyFill="1" applyBorder="1" applyAlignment="1">
      <alignment horizontal="left" wrapText="1"/>
    </xf>
    <xf numFmtId="0" fontId="17" fillId="18" borderId="31" xfId="0" applyFont="1" applyFill="1" applyBorder="1" applyAlignment="1">
      <alignment horizontal="left" wrapText="1"/>
    </xf>
    <xf numFmtId="0" fontId="21" fillId="20" borderId="0" xfId="0" applyFont="1" applyFill="1" applyBorder="1" applyAlignment="1">
      <alignment horizontal="center"/>
    </xf>
    <xf numFmtId="0" fontId="26" fillId="18" borderId="26" xfId="0" applyFont="1" applyFill="1" applyBorder="1" applyAlignment="1">
      <alignment horizontal="left" wrapText="1"/>
    </xf>
    <xf numFmtId="0" fontId="26" fillId="18" borderId="27" xfId="0" applyFont="1" applyFill="1" applyBorder="1" applyAlignment="1">
      <alignment horizontal="left" wrapText="1"/>
    </xf>
    <xf numFmtId="0" fontId="26" fillId="18" borderId="31" xfId="0" applyFont="1" applyFill="1" applyBorder="1" applyAlignment="1">
      <alignment horizontal="left" wrapText="1"/>
    </xf>
    <xf numFmtId="0" fontId="21" fillId="20" borderId="26" xfId="0" applyFont="1" applyFill="1" applyBorder="1" applyAlignment="1">
      <alignment horizontal="center"/>
    </xf>
    <xf numFmtId="0" fontId="21" fillId="20" borderId="27" xfId="0" applyFont="1" applyFill="1" applyBorder="1" applyAlignment="1">
      <alignment horizontal="center"/>
    </xf>
    <xf numFmtId="0" fontId="21" fillId="20" borderId="31" xfId="0" applyFont="1" applyFill="1" applyBorder="1" applyAlignment="1">
      <alignment horizontal="center"/>
    </xf>
    <xf numFmtId="0" fontId="17" fillId="18" borderId="9" xfId="0" applyFont="1" applyFill="1" applyBorder="1" applyAlignment="1">
      <alignment horizontal="center"/>
    </xf>
    <xf numFmtId="0" fontId="17" fillId="18" borderId="10" xfId="0" applyFont="1" applyFill="1" applyBorder="1" applyAlignment="1">
      <alignment horizontal="center"/>
    </xf>
    <xf numFmtId="0" fontId="17" fillId="18" borderId="11" xfId="0" applyFont="1" applyFill="1" applyBorder="1" applyAlignment="1">
      <alignment horizontal="center"/>
    </xf>
    <xf numFmtId="0" fontId="17" fillId="18" borderId="12" xfId="0" applyFont="1" applyFill="1" applyBorder="1" applyAlignment="1">
      <alignment horizontal="center"/>
    </xf>
    <xf numFmtId="0" fontId="17" fillId="18" borderId="0" xfId="0" applyFont="1" applyFill="1" applyBorder="1" applyAlignment="1">
      <alignment horizontal="center"/>
    </xf>
    <xf numFmtId="0" fontId="17" fillId="18" borderId="13" xfId="0" applyFont="1" applyFill="1" applyBorder="1" applyAlignment="1">
      <alignment horizontal="center"/>
    </xf>
    <xf numFmtId="0" fontId="17" fillId="18" borderId="37" xfId="0" applyFont="1" applyFill="1" applyBorder="1" applyAlignment="1">
      <alignment horizontal="center"/>
    </xf>
    <xf numFmtId="0" fontId="17" fillId="18" borderId="38" xfId="0" applyFont="1" applyFill="1" applyBorder="1" applyAlignment="1">
      <alignment horizontal="center"/>
    </xf>
    <xf numFmtId="0" fontId="17" fillId="18" borderId="39" xfId="0" applyFont="1" applyFill="1" applyBorder="1" applyAlignment="1">
      <alignment horizontal="center"/>
    </xf>
    <xf numFmtId="0" fontId="17" fillId="18" borderId="37" xfId="0" applyFont="1" applyFill="1" applyBorder="1" applyAlignment="1">
      <alignment horizontal="left" wrapText="1"/>
    </xf>
    <xf numFmtId="0" fontId="17" fillId="18" borderId="38" xfId="0" applyFont="1" applyFill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37" fillId="21" borderId="33" xfId="0" applyFont="1" applyFill="1" applyBorder="1" applyAlignment="1">
      <alignment horizontal="center" vertical="center" wrapText="1"/>
    </xf>
    <xf numFmtId="0" fontId="37" fillId="21" borderId="36" xfId="0" applyFont="1" applyFill="1" applyBorder="1" applyAlignment="1">
      <alignment horizontal="center" vertical="center" wrapText="1"/>
    </xf>
    <xf numFmtId="14" fontId="37" fillId="21" borderId="33" xfId="0" applyNumberFormat="1" applyFont="1" applyFill="1" applyBorder="1" applyAlignment="1">
      <alignment horizontal="center" vertical="center" wrapText="1"/>
    </xf>
    <xf numFmtId="0" fontId="0" fillId="21" borderId="36" xfId="0" applyFill="1" applyBorder="1" applyAlignment="1">
      <alignment horizontal="center" vertical="center" wrapText="1"/>
    </xf>
    <xf numFmtId="14" fontId="37" fillId="21" borderId="36" xfId="0" applyNumberFormat="1" applyFont="1" applyFill="1" applyBorder="1" applyAlignment="1">
      <alignment horizontal="center" vertical="center" wrapText="1"/>
    </xf>
    <xf numFmtId="0" fontId="37" fillId="21" borderId="33" xfId="0" applyFont="1" applyFill="1" applyBorder="1" applyAlignment="1">
      <alignment horizontal="center" vertical="top" wrapText="1"/>
    </xf>
    <xf numFmtId="0" fontId="37" fillId="21" borderId="36" xfId="0" applyFont="1" applyFill="1" applyBorder="1" applyAlignment="1">
      <alignment horizontal="center" vertical="top" wrapText="1"/>
    </xf>
  </cellXfs>
  <cellStyles count="34">
    <cellStyle name="%20 - Vurgu1" xfId="1"/>
    <cellStyle name="%20 - Vurgu2" xfId="2"/>
    <cellStyle name="%20 - Vurgu3" xfId="3"/>
    <cellStyle name="%20 - Vurgu4" xfId="4"/>
    <cellStyle name="%20 - Vurgu5" xfId="5"/>
    <cellStyle name="%20 - Vurgu6" xfId="6"/>
    <cellStyle name="%40 - Vurgu1" xfId="7"/>
    <cellStyle name="%40 - Vurgu2" xfId="8"/>
    <cellStyle name="%40 - Vurgu3" xfId="9"/>
    <cellStyle name="%40 - Vurgu4" xfId="10"/>
    <cellStyle name="%40 - Vurgu5" xfId="11"/>
    <cellStyle name="%40 - Vurgu6" xfId="12"/>
    <cellStyle name="%60 - Vurgu1" xfId="13"/>
    <cellStyle name="%60 - Vurgu2" xfId="14"/>
    <cellStyle name="%60 - Vurgu3" xfId="15"/>
    <cellStyle name="%60 - Vurgu4" xfId="16"/>
    <cellStyle name="%60 - Vurgu5" xfId="17"/>
    <cellStyle name="%60 - Vurgu6" xfId="18"/>
    <cellStyle name="Açıklama Metni" xfId="19"/>
    <cellStyle name="Ana Başlık" xfId="20"/>
    <cellStyle name="Bağlı Hücre" xfId="21"/>
    <cellStyle name="Başlık 1" xfId="22"/>
    <cellStyle name="Başlık 2" xfId="23"/>
    <cellStyle name="Başlık 3" xfId="24"/>
    <cellStyle name="Başlık 4" xfId="25"/>
    <cellStyle name="Çıkış" xfId="26"/>
    <cellStyle name="Giriş" xfId="27"/>
    <cellStyle name="Normal" xfId="0" builtinId="0"/>
    <cellStyle name="Normal 2" xfId="28"/>
    <cellStyle name="Normal_Sheet1" xfId="29"/>
    <cellStyle name="Not" xfId="30"/>
    <cellStyle name="Percent" xfId="31" builtinId="5"/>
    <cellStyle name="Toplam" xfId="32"/>
    <cellStyle name="Uyarı Metni" xfId="3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3"/>
  <sheetViews>
    <sheetView tabSelected="1" topLeftCell="G6" zoomScale="150" workbookViewId="0">
      <selection activeCell="J16" sqref="J16"/>
    </sheetView>
  </sheetViews>
  <sheetFormatPr baseColWidth="10" defaultColWidth="13" defaultRowHeight="14" x14ac:dyDescent="0.15"/>
  <cols>
    <col min="1" max="1" width="4" style="4" customWidth="1"/>
    <col min="2" max="2" width="22.83203125" style="4" customWidth="1"/>
    <col min="3" max="3" width="26" style="4" customWidth="1"/>
    <col min="4" max="4" width="26.83203125" style="4" customWidth="1"/>
    <col min="5" max="5" width="24.6640625" style="4" customWidth="1"/>
    <col min="6" max="6" width="27" style="4" customWidth="1"/>
    <col min="7" max="7" width="28.33203125" style="4" customWidth="1"/>
    <col min="8" max="8" width="14.6640625" style="4" customWidth="1"/>
    <col min="9" max="9" width="41.1640625" style="48" customWidth="1"/>
    <col min="10" max="10" width="17.83203125" style="48" customWidth="1"/>
    <col min="11" max="11" width="15" style="4" customWidth="1"/>
    <col min="12" max="12" width="15.1640625" style="4" customWidth="1"/>
    <col min="13" max="13" width="15.1640625" style="4" bestFit="1" customWidth="1"/>
    <col min="14" max="14" width="16.1640625" style="4" customWidth="1"/>
    <col min="15" max="16384" width="13" style="4"/>
  </cols>
  <sheetData>
    <row r="1" spans="1:17" x14ac:dyDescent="0.15">
      <c r="A1" s="1"/>
      <c r="B1" s="2"/>
      <c r="C1" s="2"/>
      <c r="D1" s="2"/>
      <c r="E1" s="2"/>
      <c r="F1" s="2"/>
      <c r="G1" s="2"/>
      <c r="H1" s="3"/>
      <c r="J1" s="71">
        <v>44256</v>
      </c>
      <c r="K1" s="71">
        <v>44834</v>
      </c>
      <c r="L1" s="4">
        <f>(K1-J1)+1</f>
        <v>579</v>
      </c>
      <c r="M1" s="71"/>
      <c r="N1" s="71"/>
    </row>
    <row r="2" spans="1:17" ht="17" thickBot="1" x14ac:dyDescent="0.25">
      <c r="A2" s="5"/>
      <c r="B2" s="6"/>
      <c r="C2" s="6"/>
      <c r="D2" s="6"/>
      <c r="E2" s="6"/>
      <c r="F2" s="6"/>
      <c r="G2" s="6"/>
      <c r="H2" s="7"/>
      <c r="J2" s="4"/>
      <c r="K2" s="73"/>
    </row>
    <row r="3" spans="1:17" x14ac:dyDescent="0.15">
      <c r="A3" s="5"/>
      <c r="B3" s="94" t="s">
        <v>4</v>
      </c>
      <c r="C3" s="95"/>
      <c r="D3" s="95"/>
      <c r="E3" s="95"/>
      <c r="F3" s="95"/>
      <c r="G3" s="96"/>
      <c r="H3" s="7"/>
      <c r="J3" s="4"/>
      <c r="K3" s="73"/>
    </row>
    <row r="4" spans="1:17" x14ac:dyDescent="0.15">
      <c r="A4" s="5"/>
      <c r="B4" s="97" t="s">
        <v>65</v>
      </c>
      <c r="C4" s="98"/>
      <c r="D4" s="98"/>
      <c r="E4" s="98"/>
      <c r="F4" s="98"/>
      <c r="G4" s="99"/>
      <c r="H4" s="7"/>
      <c r="J4" s="4"/>
      <c r="L4" s="42"/>
    </row>
    <row r="5" spans="1:17" ht="15" thickBot="1" x14ac:dyDescent="0.2">
      <c r="A5" s="5"/>
      <c r="B5" s="100" t="s">
        <v>5</v>
      </c>
      <c r="C5" s="101"/>
      <c r="D5" s="101"/>
      <c r="E5" s="101"/>
      <c r="F5" s="101"/>
      <c r="G5" s="102"/>
      <c r="H5" s="7"/>
      <c r="K5" s="42"/>
    </row>
    <row r="6" spans="1:17" ht="15" thickBot="1" x14ac:dyDescent="0.2">
      <c r="A6" s="5"/>
      <c r="B6" s="8"/>
      <c r="C6" s="8"/>
      <c r="D6" s="41"/>
      <c r="E6" s="8"/>
      <c r="F6" s="8"/>
      <c r="G6" s="8"/>
      <c r="H6" s="7"/>
      <c r="I6" s="51" t="s">
        <v>33</v>
      </c>
      <c r="K6" s="42"/>
    </row>
    <row r="7" spans="1:17" x14ac:dyDescent="0.15">
      <c r="A7" s="5"/>
      <c r="B7" s="9" t="s">
        <v>6</v>
      </c>
      <c r="C7" s="10"/>
      <c r="D7" s="8" t="s">
        <v>66</v>
      </c>
      <c r="E7" s="10"/>
      <c r="F7" s="8"/>
      <c r="G7" s="8"/>
      <c r="H7" s="7"/>
      <c r="K7" s="42"/>
    </row>
    <row r="8" spans="1:17" ht="15" thickBot="1" x14ac:dyDescent="0.2">
      <c r="A8" s="5"/>
      <c r="B8" s="11" t="s">
        <v>7</v>
      </c>
      <c r="C8" s="12"/>
      <c r="D8" s="13" t="s">
        <v>67</v>
      </c>
      <c r="E8" s="12"/>
      <c r="F8" s="8"/>
      <c r="G8" s="8"/>
      <c r="H8" s="7"/>
      <c r="I8" s="67"/>
      <c r="J8" s="67" t="s">
        <v>34</v>
      </c>
      <c r="K8" s="67" t="s">
        <v>35</v>
      </c>
      <c r="L8" s="67"/>
      <c r="N8" s="67"/>
      <c r="O8" s="67"/>
      <c r="P8" s="67"/>
      <c r="Q8" s="67"/>
    </row>
    <row r="9" spans="1:17" ht="18" thickBot="1" x14ac:dyDescent="0.25">
      <c r="A9" s="5"/>
      <c r="B9" s="14" t="s">
        <v>8</v>
      </c>
      <c r="C9" s="15"/>
      <c r="D9" s="8" t="s">
        <v>42</v>
      </c>
      <c r="E9" s="15"/>
      <c r="F9" s="45" t="s">
        <v>20</v>
      </c>
      <c r="G9" s="8"/>
      <c r="H9" s="7"/>
      <c r="I9" s="68" t="s">
        <v>36</v>
      </c>
      <c r="J9" s="70">
        <v>171828</v>
      </c>
      <c r="K9" s="67">
        <f>L1</f>
        <v>579</v>
      </c>
      <c r="L9" s="72">
        <f>(J9/365)*K9</f>
        <v>272570.99178082193</v>
      </c>
      <c r="N9" s="70"/>
      <c r="O9" s="67"/>
      <c r="P9"/>
      <c r="Q9"/>
    </row>
    <row r="10" spans="1:17" ht="15" thickBot="1" x14ac:dyDescent="0.2">
      <c r="A10" s="5"/>
      <c r="B10" s="16" t="s">
        <v>29</v>
      </c>
      <c r="C10" s="16"/>
      <c r="D10" s="53">
        <f>F80</f>
        <v>141600.05439799998</v>
      </c>
      <c r="E10" s="44" t="s">
        <v>19</v>
      </c>
      <c r="F10" s="46">
        <f>G80</f>
        <v>141600</v>
      </c>
      <c r="G10" s="8"/>
      <c r="H10" s="7"/>
      <c r="I10" s="68" t="s">
        <v>68</v>
      </c>
      <c r="J10" s="74">
        <v>306566</v>
      </c>
      <c r="K10" s="67">
        <v>579</v>
      </c>
      <c r="L10" s="76">
        <f>(J10/365)*K10</f>
        <v>486306.06575342466</v>
      </c>
      <c r="M10" s="67"/>
      <c r="N10" s="67"/>
      <c r="O10" s="67"/>
      <c r="P10" s="67"/>
      <c r="Q10" s="67"/>
    </row>
    <row r="11" spans="1:17" ht="16" thickBot="1" x14ac:dyDescent="0.25">
      <c r="B11" s="16" t="s">
        <v>41</v>
      </c>
      <c r="D11" s="53">
        <f>F81</f>
        <v>134456.063765</v>
      </c>
      <c r="E11" s="10" t="s">
        <v>19</v>
      </c>
      <c r="F11" s="46">
        <f>G81</f>
        <v>134456</v>
      </c>
      <c r="J11" s="67"/>
      <c r="K11" s="67"/>
      <c r="L11" s="67"/>
      <c r="M11" s="67"/>
      <c r="N11" s="67"/>
      <c r="O11" s="67"/>
      <c r="P11" s="67"/>
      <c r="Q11"/>
    </row>
    <row r="12" spans="1:17" ht="20" customHeight="1" thickBot="1" x14ac:dyDescent="0.25">
      <c r="A12" s="5"/>
      <c r="B12" s="103" t="s">
        <v>30</v>
      </c>
      <c r="C12" s="104"/>
      <c r="D12" s="66">
        <f>F83</f>
        <v>276056.11816299998</v>
      </c>
      <c r="E12" s="44" t="s">
        <v>19</v>
      </c>
      <c r="F12" s="63">
        <f>G83</f>
        <v>276056</v>
      </c>
      <c r="G12" s="8"/>
      <c r="H12" s="7"/>
      <c r="I12" s="68" t="s">
        <v>37</v>
      </c>
      <c r="J12" s="74">
        <f>H44</f>
        <v>276056</v>
      </c>
      <c r="K12" s="67"/>
      <c r="L12" s="67"/>
      <c r="M12" s="67"/>
      <c r="N12" s="67"/>
      <c r="O12" s="67"/>
      <c r="P12" s="67"/>
      <c r="Q12"/>
    </row>
    <row r="13" spans="1:17" ht="15" thickBot="1" x14ac:dyDescent="0.2">
      <c r="A13" s="5"/>
      <c r="B13" s="8"/>
      <c r="C13" s="8"/>
      <c r="D13" s="8"/>
      <c r="E13" s="8"/>
      <c r="G13" s="8"/>
      <c r="H13" s="7"/>
      <c r="I13" s="68" t="s">
        <v>39</v>
      </c>
      <c r="J13" s="75">
        <f>E44/1000</f>
        <v>492517.60600000003</v>
      </c>
      <c r="K13" s="67"/>
      <c r="L13" s="67"/>
      <c r="M13" s="67"/>
      <c r="N13" s="67"/>
      <c r="O13" s="67"/>
      <c r="P13" s="67"/>
      <c r="Q13" s="67"/>
    </row>
    <row r="14" spans="1:17" ht="16" thickBot="1" x14ac:dyDescent="0.25">
      <c r="A14" s="5"/>
      <c r="B14" s="91" t="s">
        <v>10</v>
      </c>
      <c r="C14" s="92"/>
      <c r="D14" s="92"/>
      <c r="E14" s="92"/>
      <c r="F14" s="92"/>
      <c r="G14" s="93"/>
      <c r="H14" s="7"/>
      <c r="J14" s="69"/>
      <c r="K14" s="67"/>
      <c r="L14" s="67"/>
      <c r="M14" s="67"/>
      <c r="N14" s="67"/>
      <c r="O14" s="67"/>
      <c r="P14"/>
      <c r="Q14"/>
    </row>
    <row r="15" spans="1:17" ht="15" x14ac:dyDescent="0.2">
      <c r="A15" s="5"/>
      <c r="B15" s="8"/>
      <c r="C15" s="8"/>
      <c r="D15" s="8"/>
      <c r="E15" s="8"/>
      <c r="F15" s="8"/>
      <c r="G15" s="8"/>
      <c r="H15" s="7"/>
      <c r="I15" s="68" t="s">
        <v>38</v>
      </c>
      <c r="J15" s="69">
        <f>(J12-L9)/L9</f>
        <v>1.2785690056043859E-2</v>
      </c>
      <c r="K15" s="67"/>
      <c r="L15" s="67"/>
      <c r="M15" s="67"/>
      <c r="N15" s="67"/>
      <c r="O15" s="67"/>
      <c r="P15"/>
      <c r="Q15"/>
    </row>
    <row r="16" spans="1:17" x14ac:dyDescent="0.15">
      <c r="A16" s="5"/>
      <c r="B16" s="17" t="s">
        <v>23</v>
      </c>
      <c r="C16" s="17"/>
      <c r="D16" s="17"/>
      <c r="E16" s="17"/>
      <c r="F16" s="17"/>
      <c r="G16" s="17"/>
      <c r="H16" s="7"/>
      <c r="I16" s="68" t="s">
        <v>40</v>
      </c>
      <c r="J16" s="69">
        <f>(J13-L10)/L10</f>
        <v>1.2772903083065501E-2</v>
      </c>
    </row>
    <row r="17" spans="1:13" ht="15" thickBot="1" x14ac:dyDescent="0.2">
      <c r="A17" s="5"/>
      <c r="B17" s="18"/>
      <c r="C17" s="18"/>
      <c r="D17" s="18"/>
      <c r="E17" s="18"/>
      <c r="F17" s="18"/>
      <c r="G17" s="18"/>
      <c r="H17" s="7"/>
      <c r="I17" s="51"/>
      <c r="J17" s="51"/>
    </row>
    <row r="18" spans="1:13" ht="85" x14ac:dyDescent="0.15">
      <c r="A18" s="5"/>
      <c r="B18" s="19" t="s">
        <v>0</v>
      </c>
      <c r="C18" s="20" t="s">
        <v>1</v>
      </c>
      <c r="D18" s="20" t="s">
        <v>2</v>
      </c>
      <c r="E18" s="20" t="s">
        <v>3</v>
      </c>
      <c r="F18" s="20" t="s">
        <v>21</v>
      </c>
      <c r="G18" s="21" t="s">
        <v>22</v>
      </c>
      <c r="H18" s="7"/>
      <c r="I18" s="47" t="s">
        <v>24</v>
      </c>
      <c r="J18" s="47" t="s">
        <v>25</v>
      </c>
      <c r="K18" s="50" t="s">
        <v>27</v>
      </c>
      <c r="L18" s="50" t="s">
        <v>26</v>
      </c>
      <c r="M18" s="57" t="s">
        <v>28</v>
      </c>
    </row>
    <row r="19" spans="1:13" ht="9" customHeight="1" x14ac:dyDescent="0.2">
      <c r="A19" s="5"/>
      <c r="B19" s="22"/>
      <c r="C19" s="65"/>
      <c r="D19" s="23"/>
      <c r="E19" s="24"/>
      <c r="F19" s="25"/>
      <c r="G19" s="26"/>
      <c r="H19" s="7"/>
      <c r="I19" s="49"/>
      <c r="K19" s="52"/>
      <c r="L19" s="52"/>
      <c r="M19" s="56"/>
    </row>
    <row r="20" spans="1:13" ht="15" customHeight="1" x14ac:dyDescent="0.2">
      <c r="A20" s="5"/>
      <c r="B20" s="22" t="s">
        <v>43</v>
      </c>
      <c r="C20" s="65">
        <f>(11491.655+12123.379)*1000</f>
        <v>23615034</v>
      </c>
      <c r="D20" s="65">
        <f>33179+33079</f>
        <v>66258</v>
      </c>
      <c r="E20" s="24">
        <f t="shared" ref="E20:E39" si="0">C20-D20</f>
        <v>23548776</v>
      </c>
      <c r="F20" s="64">
        <v>0.5605</v>
      </c>
      <c r="G20" s="26">
        <f t="shared" ref="G20:G37" si="1">(E20/1000)*F20</f>
        <v>13199.088948000001</v>
      </c>
      <c r="H20" s="7"/>
      <c r="I20" s="65">
        <f>(11491.655+12123.379)*1000</f>
        <v>23615034</v>
      </c>
      <c r="J20" s="49">
        <f>33179+33079</f>
        <v>66258</v>
      </c>
      <c r="K20" s="52">
        <f t="shared" ref="K20:K29" si="2">C20-I20</f>
        <v>0</v>
      </c>
      <c r="L20" s="52">
        <f t="shared" ref="L20:L39" si="3">D20-J20</f>
        <v>0</v>
      </c>
      <c r="M20" s="56">
        <f t="shared" ref="M20:M28" si="4">K20/I20</f>
        <v>0</v>
      </c>
    </row>
    <row r="21" spans="1:13" ht="15" customHeight="1" x14ac:dyDescent="0.2">
      <c r="A21" s="5"/>
      <c r="B21" s="22" t="s">
        <v>44</v>
      </c>
      <c r="C21" s="65">
        <f>(10122.31+9053.84)*1000</f>
        <v>19176150</v>
      </c>
      <c r="D21" s="65">
        <f>(32.184+31.421)*1000</f>
        <v>63605</v>
      </c>
      <c r="E21" s="24">
        <f t="shared" si="0"/>
        <v>19112545</v>
      </c>
      <c r="F21" s="64">
        <v>0.5605</v>
      </c>
      <c r="G21" s="26">
        <f t="shared" si="1"/>
        <v>10712.581472499998</v>
      </c>
      <c r="H21" s="7"/>
      <c r="I21" s="65">
        <f>(10122.31+9053.84)*1000</f>
        <v>19176150</v>
      </c>
      <c r="J21" s="49">
        <f>(32.184+31.421)*1000</f>
        <v>63605</v>
      </c>
      <c r="K21" s="52">
        <f t="shared" si="2"/>
        <v>0</v>
      </c>
      <c r="L21" s="52">
        <f t="shared" si="3"/>
        <v>0</v>
      </c>
      <c r="M21" s="56">
        <f t="shared" si="4"/>
        <v>0</v>
      </c>
    </row>
    <row r="22" spans="1:13" ht="15" customHeight="1" x14ac:dyDescent="0.2">
      <c r="A22" s="5"/>
      <c r="B22" s="22" t="s">
        <v>45</v>
      </c>
      <c r="C22" s="65">
        <f>(8177.384+9946.874)*1000</f>
        <v>18124258</v>
      </c>
      <c r="D22" s="65">
        <f>(40.38+41.996)*1000</f>
        <v>82376</v>
      </c>
      <c r="E22" s="24">
        <f t="shared" si="0"/>
        <v>18041882</v>
      </c>
      <c r="F22" s="64">
        <v>0.5605</v>
      </c>
      <c r="G22" s="26">
        <f t="shared" si="1"/>
        <v>10112.474861000001</v>
      </c>
      <c r="H22" s="7"/>
      <c r="I22" s="65">
        <f>(8177.384+9946.874)*1000</f>
        <v>18124258</v>
      </c>
      <c r="J22" s="49">
        <f>(40.38+41.996)*1000</f>
        <v>82376</v>
      </c>
      <c r="K22" s="52">
        <f t="shared" si="2"/>
        <v>0</v>
      </c>
      <c r="L22" s="52">
        <f t="shared" si="3"/>
        <v>0</v>
      </c>
      <c r="M22" s="56">
        <f t="shared" si="4"/>
        <v>0</v>
      </c>
    </row>
    <row r="23" spans="1:13" ht="15" customHeight="1" x14ac:dyDescent="0.2">
      <c r="A23" s="5"/>
      <c r="B23" s="22" t="s">
        <v>46</v>
      </c>
      <c r="C23" s="65">
        <f>(3723.127+4365.815)*1000</f>
        <v>8088941.9999999991</v>
      </c>
      <c r="D23" s="65">
        <f>(53.11+52.182)*1000</f>
        <v>105292</v>
      </c>
      <c r="E23" s="24">
        <f t="shared" si="0"/>
        <v>7983649.9999999991</v>
      </c>
      <c r="F23" s="64">
        <v>0.5605</v>
      </c>
      <c r="G23" s="26">
        <f t="shared" si="1"/>
        <v>4474.8358249999992</v>
      </c>
      <c r="H23" s="7"/>
      <c r="I23" s="65">
        <f>(3723.127+4365.815)*1000</f>
        <v>8088941.9999999991</v>
      </c>
      <c r="J23" s="49">
        <f>(53.11+52.182)*1000</f>
        <v>105292</v>
      </c>
      <c r="K23" s="52">
        <f t="shared" si="2"/>
        <v>0</v>
      </c>
      <c r="L23" s="52">
        <f t="shared" si="3"/>
        <v>0</v>
      </c>
      <c r="M23" s="56">
        <f t="shared" si="4"/>
        <v>0</v>
      </c>
    </row>
    <row r="24" spans="1:13" ht="15" customHeight="1" x14ac:dyDescent="0.2">
      <c r="A24" s="5"/>
      <c r="B24" s="22" t="s">
        <v>47</v>
      </c>
      <c r="C24" s="65">
        <f>(12670.339+13460.075)*1000</f>
        <v>26130414</v>
      </c>
      <c r="D24" s="65">
        <f>(24.498+25.267)*1000</f>
        <v>49765</v>
      </c>
      <c r="E24" s="24">
        <f t="shared" si="0"/>
        <v>26080649</v>
      </c>
      <c r="F24" s="64">
        <v>0.5605</v>
      </c>
      <c r="G24" s="26">
        <f t="shared" si="1"/>
        <v>14618.2037645</v>
      </c>
      <c r="H24" s="7"/>
      <c r="I24" s="65">
        <f>(12670.339+13460.075)*1000</f>
        <v>26130414</v>
      </c>
      <c r="J24" s="49">
        <f>(24.498+25.267)*1000</f>
        <v>49765</v>
      </c>
      <c r="K24" s="52">
        <f t="shared" si="2"/>
        <v>0</v>
      </c>
      <c r="L24" s="52">
        <f t="shared" si="3"/>
        <v>0</v>
      </c>
      <c r="M24" s="56">
        <f t="shared" si="4"/>
        <v>0</v>
      </c>
    </row>
    <row r="25" spans="1:13" ht="15" customHeight="1" x14ac:dyDescent="0.2">
      <c r="A25" s="5"/>
      <c r="B25" s="22" t="s">
        <v>48</v>
      </c>
      <c r="C25" s="65">
        <f>(12006.574+12942.27)*1000</f>
        <v>24948844</v>
      </c>
      <c r="D25" s="65">
        <f>(25.136+24.622)*1000</f>
        <v>49757.999999999993</v>
      </c>
      <c r="E25" s="24">
        <f t="shared" si="0"/>
        <v>24899086</v>
      </c>
      <c r="F25" s="64">
        <v>0.5605</v>
      </c>
      <c r="G25" s="26">
        <f t="shared" si="1"/>
        <v>13955.937703</v>
      </c>
      <c r="H25" s="7"/>
      <c r="I25" s="65">
        <f>(12006.574+12942.27)*1000</f>
        <v>24948844</v>
      </c>
      <c r="J25" s="49">
        <f>(25.136+24.622)*1000</f>
        <v>49757.999999999993</v>
      </c>
      <c r="K25" s="52">
        <f t="shared" si="2"/>
        <v>0</v>
      </c>
      <c r="L25" s="52">
        <f t="shared" si="3"/>
        <v>0</v>
      </c>
      <c r="M25" s="56">
        <f t="shared" si="4"/>
        <v>0</v>
      </c>
    </row>
    <row r="26" spans="1:13" ht="15" customHeight="1" x14ac:dyDescent="0.2">
      <c r="A26" s="5"/>
      <c r="B26" s="22" t="s">
        <v>49</v>
      </c>
      <c r="C26" s="65">
        <f>(16340.641+17028.747)*1000</f>
        <v>33369388</v>
      </c>
      <c r="D26" s="65">
        <f>(10.143+10.315)*1000</f>
        <v>20458</v>
      </c>
      <c r="E26" s="24">
        <f t="shared" si="0"/>
        <v>33348930</v>
      </c>
      <c r="F26" s="64">
        <v>0.5605</v>
      </c>
      <c r="G26" s="26">
        <f t="shared" si="1"/>
        <v>18692.075264999999</v>
      </c>
      <c r="H26" s="7"/>
      <c r="I26" s="65">
        <f>(16340.641+17028.747)*1000</f>
        <v>33369388</v>
      </c>
      <c r="J26" s="49">
        <f>(10.143+10.315)*1000</f>
        <v>20458</v>
      </c>
      <c r="K26" s="52">
        <f t="shared" si="2"/>
        <v>0</v>
      </c>
      <c r="L26" s="52">
        <f t="shared" si="3"/>
        <v>0</v>
      </c>
      <c r="M26" s="56">
        <f t="shared" si="4"/>
        <v>0</v>
      </c>
    </row>
    <row r="27" spans="1:13" ht="15" customHeight="1" x14ac:dyDescent="0.2">
      <c r="A27" s="5"/>
      <c r="B27" s="54" t="s">
        <v>50</v>
      </c>
      <c r="C27" s="65">
        <f>(14968.316+15534.051)*1000</f>
        <v>30502367</v>
      </c>
      <c r="D27" s="65">
        <f>(14.517+13.256)*1000</f>
        <v>27773</v>
      </c>
      <c r="E27" s="24">
        <f t="shared" si="0"/>
        <v>30474594</v>
      </c>
      <c r="F27" s="64">
        <v>0.5605</v>
      </c>
      <c r="G27" s="26">
        <f t="shared" si="1"/>
        <v>17081.009936999999</v>
      </c>
      <c r="H27" s="7"/>
      <c r="I27" s="65">
        <f>(14968.316+15534.051)*1000</f>
        <v>30502367</v>
      </c>
      <c r="J27" s="49">
        <f>(14.517+13.256)*1000</f>
        <v>27773</v>
      </c>
      <c r="K27" s="52">
        <f t="shared" si="2"/>
        <v>0</v>
      </c>
      <c r="L27" s="52">
        <f t="shared" si="3"/>
        <v>0</v>
      </c>
      <c r="M27" s="56">
        <f t="shared" si="4"/>
        <v>0</v>
      </c>
    </row>
    <row r="28" spans="1:13" ht="15" customHeight="1" x14ac:dyDescent="0.2">
      <c r="A28" s="5"/>
      <c r="B28" s="22" t="s">
        <v>51</v>
      </c>
      <c r="C28" s="65">
        <f>(14936.037+16016.531)*1000</f>
        <v>30952568</v>
      </c>
      <c r="D28" s="65">
        <f>(24.276+21.996)*1000</f>
        <v>46272</v>
      </c>
      <c r="E28" s="24">
        <f t="shared" si="0"/>
        <v>30906296</v>
      </c>
      <c r="F28" s="64">
        <v>0.5605</v>
      </c>
      <c r="G28" s="26">
        <f t="shared" si="1"/>
        <v>17322.978907999997</v>
      </c>
      <c r="H28" s="7"/>
      <c r="I28" s="65">
        <f>(14936.037+16016.531)*1000</f>
        <v>30952568</v>
      </c>
      <c r="J28" s="49">
        <f>(24.276+21.996)*1000</f>
        <v>46272</v>
      </c>
      <c r="K28" s="52">
        <f t="shared" si="2"/>
        <v>0</v>
      </c>
      <c r="L28" s="52">
        <f t="shared" si="3"/>
        <v>0</v>
      </c>
      <c r="M28" s="56">
        <f t="shared" si="4"/>
        <v>0</v>
      </c>
    </row>
    <row r="29" spans="1:13" ht="15" customHeight="1" x14ac:dyDescent="0.2">
      <c r="A29" s="5"/>
      <c r="B29" s="22" t="s">
        <v>52</v>
      </c>
      <c r="C29" s="65">
        <f>(17753.324+20502.722)*1000</f>
        <v>38256046</v>
      </c>
      <c r="D29" s="65">
        <f>(11.35+9.428)*1000</f>
        <v>20778</v>
      </c>
      <c r="E29" s="24">
        <f t="shared" si="0"/>
        <v>38235268</v>
      </c>
      <c r="F29" s="64">
        <v>0.5605</v>
      </c>
      <c r="G29" s="26">
        <f t="shared" si="1"/>
        <v>21430.867713999996</v>
      </c>
      <c r="H29" s="7"/>
      <c r="I29" s="65">
        <f>(17753.324+20502.722)*1000</f>
        <v>38256046</v>
      </c>
      <c r="J29" s="49">
        <f>(11.35+9.428)*1000</f>
        <v>20778</v>
      </c>
      <c r="K29" s="52">
        <f t="shared" si="2"/>
        <v>0</v>
      </c>
      <c r="L29" s="52">
        <f t="shared" si="3"/>
        <v>0</v>
      </c>
    </row>
    <row r="30" spans="1:13" ht="6" customHeight="1" x14ac:dyDescent="0.2">
      <c r="A30" s="5"/>
      <c r="B30" s="22"/>
      <c r="C30" s="65"/>
      <c r="D30" s="23"/>
      <c r="E30" s="24"/>
      <c r="F30" s="64"/>
      <c r="G30" s="26"/>
      <c r="H30" s="7"/>
      <c r="I30" s="65">
        <v>0</v>
      </c>
      <c r="J30" s="49">
        <v>0</v>
      </c>
      <c r="K30" s="52"/>
      <c r="L30" s="52"/>
    </row>
    <row r="31" spans="1:13" ht="15" customHeight="1" x14ac:dyDescent="0.2">
      <c r="A31" s="5"/>
      <c r="B31" s="22" t="s">
        <v>53</v>
      </c>
      <c r="C31" s="65">
        <f>11890716+14067174</f>
        <v>25957890</v>
      </c>
      <c r="D31" s="23">
        <f>22878+21140</f>
        <v>44018</v>
      </c>
      <c r="E31" s="24">
        <f t="shared" si="0"/>
        <v>25913872</v>
      </c>
      <c r="F31" s="64">
        <v>0.5605</v>
      </c>
      <c r="G31" s="26">
        <f t="shared" si="1"/>
        <v>14524.725256</v>
      </c>
      <c r="H31" s="7"/>
      <c r="I31" s="65">
        <f>(11890.716+14067.174)*1000</f>
        <v>25957890</v>
      </c>
      <c r="J31" s="49">
        <f>(22.878+21.14)*1000</f>
        <v>44018</v>
      </c>
      <c r="K31" s="52">
        <f t="shared" ref="K31:K39" si="5">C31-I31</f>
        <v>0</v>
      </c>
      <c r="L31" s="52">
        <f t="shared" si="3"/>
        <v>0</v>
      </c>
    </row>
    <row r="32" spans="1:13" ht="15" customHeight="1" x14ac:dyDescent="0.2">
      <c r="A32" s="5"/>
      <c r="B32" s="22" t="s">
        <v>54</v>
      </c>
      <c r="C32" s="65">
        <f>13024033+13737091</f>
        <v>26761124</v>
      </c>
      <c r="D32" s="23">
        <f>16776+16674</f>
        <v>33450</v>
      </c>
      <c r="E32" s="24">
        <f t="shared" si="0"/>
        <v>26727674</v>
      </c>
      <c r="F32" s="64">
        <v>0.5605</v>
      </c>
      <c r="G32" s="26">
        <f t="shared" si="1"/>
        <v>14980.861277</v>
      </c>
      <c r="H32" s="7"/>
      <c r="I32" s="65">
        <f>(13024.033+13737.091)*1000</f>
        <v>26761124</v>
      </c>
      <c r="J32" s="49">
        <f>(16.776+16.674)*1000</f>
        <v>33450</v>
      </c>
      <c r="K32" s="52">
        <f t="shared" si="5"/>
        <v>0</v>
      </c>
      <c r="L32" s="52">
        <f t="shared" si="3"/>
        <v>0</v>
      </c>
    </row>
    <row r="33" spans="1:12" ht="15" customHeight="1" x14ac:dyDescent="0.2">
      <c r="A33" s="5"/>
      <c r="B33" s="22" t="s">
        <v>55</v>
      </c>
      <c r="C33" s="65">
        <f>12774505+11834327</f>
        <v>24608832</v>
      </c>
      <c r="D33" s="23">
        <f>17797+14642</f>
        <v>32439</v>
      </c>
      <c r="E33" s="24">
        <f t="shared" si="0"/>
        <v>24576393</v>
      </c>
      <c r="F33" s="64">
        <v>0.5605</v>
      </c>
      <c r="G33" s="26">
        <f t="shared" si="1"/>
        <v>13775.0682765</v>
      </c>
      <c r="H33" s="7"/>
      <c r="I33" s="65">
        <f>(12774.505+11834.327)*1000</f>
        <v>24608832</v>
      </c>
      <c r="J33" s="49">
        <f>(17.797+14.642)*1000</f>
        <v>32439</v>
      </c>
      <c r="K33" s="52">
        <f t="shared" si="5"/>
        <v>0</v>
      </c>
      <c r="L33" s="52">
        <f t="shared" si="3"/>
        <v>0</v>
      </c>
    </row>
    <row r="34" spans="1:12" ht="15" customHeight="1" x14ac:dyDescent="0.2">
      <c r="A34" s="5"/>
      <c r="B34" s="22" t="s">
        <v>56</v>
      </c>
      <c r="C34" s="65">
        <f>11452187+11553984</f>
        <v>23006171</v>
      </c>
      <c r="D34" s="23">
        <f>34474+29573</f>
        <v>64047</v>
      </c>
      <c r="E34" s="24">
        <f t="shared" si="0"/>
        <v>22942124</v>
      </c>
      <c r="F34" s="64">
        <v>0.5605</v>
      </c>
      <c r="G34" s="26">
        <f t="shared" si="1"/>
        <v>12859.060502</v>
      </c>
      <c r="H34" s="7"/>
      <c r="I34" s="65">
        <f>(11452.187+11553.984)*1000</f>
        <v>23006171.000000004</v>
      </c>
      <c r="J34" s="49">
        <f>(34.474+29.573)*1000</f>
        <v>64047</v>
      </c>
      <c r="K34" s="52">
        <f t="shared" si="5"/>
        <v>0</v>
      </c>
      <c r="L34" s="52">
        <f t="shared" si="3"/>
        <v>0</v>
      </c>
    </row>
    <row r="35" spans="1:12" ht="15" customHeight="1" x14ac:dyDescent="0.2">
      <c r="A35" s="5"/>
      <c r="B35" s="22" t="s">
        <v>57</v>
      </c>
      <c r="C35" s="65">
        <f>8620168+9091378</f>
        <v>17711546</v>
      </c>
      <c r="D35" s="23">
        <f>46654+47336</f>
        <v>93990</v>
      </c>
      <c r="E35" s="24">
        <f t="shared" si="0"/>
        <v>17617556</v>
      </c>
      <c r="F35" s="64">
        <v>0.5605</v>
      </c>
      <c r="G35" s="26">
        <f t="shared" si="1"/>
        <v>9874.6401380000007</v>
      </c>
      <c r="H35" s="7"/>
      <c r="I35" s="65">
        <f>(8620.168+9091.378)*1000</f>
        <v>17711546.000000004</v>
      </c>
      <c r="J35" s="49">
        <f>(47.336+46.654)*1000</f>
        <v>93990.000000000015</v>
      </c>
      <c r="K35" s="52">
        <f t="shared" si="5"/>
        <v>0</v>
      </c>
      <c r="L35" s="52">
        <f t="shared" si="3"/>
        <v>0</v>
      </c>
    </row>
    <row r="36" spans="1:12" ht="15" customHeight="1" x14ac:dyDescent="0.2">
      <c r="A36" s="5"/>
      <c r="B36" s="22" t="s">
        <v>58</v>
      </c>
      <c r="C36" s="65">
        <f>12970023+14225892</f>
        <v>27195915</v>
      </c>
      <c r="D36" s="23">
        <f>14948+13043</f>
        <v>27991</v>
      </c>
      <c r="E36" s="24">
        <f t="shared" si="0"/>
        <v>27167924</v>
      </c>
      <c r="F36" s="64">
        <v>0.5605</v>
      </c>
      <c r="G36" s="26">
        <f t="shared" si="1"/>
        <v>15227.621401999999</v>
      </c>
      <c r="H36" s="7"/>
      <c r="I36" s="65">
        <f>(12970.023+14225.892)*1000</f>
        <v>27195915</v>
      </c>
      <c r="J36" s="49">
        <f>(14.948+13.043)*1000</f>
        <v>27991</v>
      </c>
      <c r="K36" s="52">
        <f t="shared" si="5"/>
        <v>0</v>
      </c>
      <c r="L36" s="52">
        <f t="shared" si="3"/>
        <v>0</v>
      </c>
    </row>
    <row r="37" spans="1:12" ht="16" x14ac:dyDescent="0.2">
      <c r="A37" s="5"/>
      <c r="B37" s="22" t="s">
        <v>59</v>
      </c>
      <c r="C37" s="65">
        <f>21355808+22202322</f>
        <v>43558130</v>
      </c>
      <c r="D37" s="23">
        <f>253+285</f>
        <v>538</v>
      </c>
      <c r="E37" s="24">
        <f t="shared" si="0"/>
        <v>43557592</v>
      </c>
      <c r="F37" s="64">
        <v>0.5605</v>
      </c>
      <c r="G37" s="26">
        <f t="shared" si="1"/>
        <v>24414.030315999997</v>
      </c>
      <c r="H37" s="7"/>
      <c r="I37" s="65">
        <f>(21355.808+22202.322)*1000</f>
        <v>43558130.000000007</v>
      </c>
      <c r="J37" s="49">
        <f>(0.253+0.285)*1000</f>
        <v>538</v>
      </c>
      <c r="K37" s="52">
        <f t="shared" si="5"/>
        <v>0</v>
      </c>
      <c r="L37" s="52">
        <f t="shared" si="3"/>
        <v>0</v>
      </c>
    </row>
    <row r="38" spans="1:12" ht="16" x14ac:dyDescent="0.2">
      <c r="A38" s="5"/>
      <c r="B38" s="22" t="s">
        <v>60</v>
      </c>
      <c r="C38" s="65">
        <f>14765091+15530437</f>
        <v>30295528</v>
      </c>
      <c r="D38" s="23">
        <f>22360+25669</f>
        <v>48029</v>
      </c>
      <c r="E38" s="24">
        <f t="shared" si="0"/>
        <v>30247499</v>
      </c>
      <c r="F38" s="64">
        <v>0.5605</v>
      </c>
      <c r="G38" s="26">
        <f>(E38/1000)*F38</f>
        <v>16953.7231895</v>
      </c>
      <c r="H38" s="7"/>
      <c r="I38" s="65">
        <f>(14765.091+15530.437)*1000</f>
        <v>30295528</v>
      </c>
      <c r="J38" s="49">
        <f>(22.36+25.669)*1000</f>
        <v>48029</v>
      </c>
      <c r="K38" s="52">
        <f t="shared" si="5"/>
        <v>0</v>
      </c>
      <c r="L38" s="52">
        <f t="shared" si="3"/>
        <v>0</v>
      </c>
    </row>
    <row r="39" spans="1:12" ht="15" customHeight="1" thickBot="1" x14ac:dyDescent="0.25">
      <c r="A39" s="5"/>
      <c r="B39" s="22" t="s">
        <v>61</v>
      </c>
      <c r="C39" s="65">
        <f>10614626+10571497</f>
        <v>21186123</v>
      </c>
      <c r="D39" s="23">
        <f>25718+25109</f>
        <v>50827</v>
      </c>
      <c r="E39" s="24">
        <f t="shared" si="0"/>
        <v>21135296</v>
      </c>
      <c r="F39" s="64">
        <v>0.5605</v>
      </c>
      <c r="G39" s="26">
        <f>(E39/1000)*F39</f>
        <v>11846.333407999999</v>
      </c>
      <c r="H39" s="7"/>
      <c r="I39" s="65">
        <f>(10614.626+10571.497)*1000</f>
        <v>21186123</v>
      </c>
      <c r="J39" s="49">
        <f>(25.718+25.109)*1000</f>
        <v>50827</v>
      </c>
      <c r="K39" s="52">
        <f t="shared" si="5"/>
        <v>0</v>
      </c>
      <c r="L39" s="52">
        <f t="shared" si="3"/>
        <v>0</v>
      </c>
    </row>
    <row r="40" spans="1:12" ht="31" customHeight="1" thickBot="1" x14ac:dyDescent="0.25">
      <c r="A40" s="5"/>
      <c r="B40" s="27"/>
      <c r="C40" s="8"/>
      <c r="D40" s="8"/>
      <c r="E40" s="8"/>
      <c r="F40" s="64"/>
      <c r="G40" s="8"/>
      <c r="H40" s="21" t="s">
        <v>20</v>
      </c>
      <c r="I40" s="49"/>
    </row>
    <row r="41" spans="1:12" ht="35.25" customHeight="1" thickBot="1" x14ac:dyDescent="0.25">
      <c r="A41" s="5"/>
      <c r="B41" s="28" t="s">
        <v>62</v>
      </c>
      <c r="C41" s="29">
        <f>SUM(C20:C29)</f>
        <v>253164011</v>
      </c>
      <c r="D41" s="29">
        <f>SUM(D20:D29)</f>
        <v>532335</v>
      </c>
      <c r="E41" s="29">
        <f>SUM(E20:E29)</f>
        <v>252631676</v>
      </c>
      <c r="F41" s="64">
        <v>0.5605</v>
      </c>
      <c r="G41" s="26">
        <f>(E41/1000)*F41</f>
        <v>141600.05439800001</v>
      </c>
      <c r="H41" s="30">
        <f>ROUNDDOWN(G41,0)</f>
        <v>141600</v>
      </c>
    </row>
    <row r="42" spans="1:12" ht="35.25" customHeight="1" thickBot="1" x14ac:dyDescent="0.25">
      <c r="A42" s="5"/>
      <c r="B42" s="28" t="s">
        <v>63</v>
      </c>
      <c r="C42" s="29">
        <f>SUM(C31:C39)</f>
        <v>240281259</v>
      </c>
      <c r="D42" s="29">
        <f>SUM(D31:D39)</f>
        <v>395329</v>
      </c>
      <c r="E42" s="29">
        <f>SUM(E31:E39)</f>
        <v>239885930</v>
      </c>
      <c r="F42" s="64">
        <v>0.5605</v>
      </c>
      <c r="G42" s="26">
        <f>(E42/1000)*F42</f>
        <v>134456.063765</v>
      </c>
      <c r="H42" s="30">
        <f>ROUNDDOWN(G42,0)</f>
        <v>134456</v>
      </c>
    </row>
    <row r="43" spans="1:12" ht="17" thickBot="1" x14ac:dyDescent="0.25">
      <c r="F43" s="64"/>
      <c r="I43" s="4"/>
      <c r="J43" s="4"/>
    </row>
    <row r="44" spans="1:12" ht="42.5" customHeight="1" thickBot="1" x14ac:dyDescent="0.25">
      <c r="A44" s="5"/>
      <c r="B44" s="31" t="s">
        <v>64</v>
      </c>
      <c r="C44" s="32">
        <f>SUM(C41:C42)</f>
        <v>493445270</v>
      </c>
      <c r="D44" s="32">
        <f>SUM(D41:D42)</f>
        <v>927664</v>
      </c>
      <c r="E44" s="32">
        <f>SUM(E41:E42)</f>
        <v>492517606</v>
      </c>
      <c r="F44" s="64">
        <v>0.5605</v>
      </c>
      <c r="G44" s="26">
        <f>(E44/1000)*F44</f>
        <v>276056.11816300004</v>
      </c>
      <c r="H44" s="30">
        <f>SUM(H41:H42)</f>
        <v>276056</v>
      </c>
      <c r="I44" s="4"/>
      <c r="J44" s="4"/>
    </row>
    <row r="45" spans="1:12" ht="15" customHeight="1" thickBot="1" x14ac:dyDescent="0.2">
      <c r="A45" s="5"/>
      <c r="B45" s="8"/>
      <c r="C45" s="8"/>
      <c r="D45" s="8"/>
      <c r="E45" s="8"/>
      <c r="F45" s="8"/>
      <c r="G45" s="8"/>
      <c r="H45" s="7"/>
      <c r="I45" s="4"/>
      <c r="J45" s="4"/>
    </row>
    <row r="46" spans="1:12" ht="15" customHeight="1" thickBot="1" x14ac:dyDescent="0.25">
      <c r="A46" s="5"/>
      <c r="B46" s="81" t="s">
        <v>9</v>
      </c>
      <c r="C46" s="82"/>
      <c r="D46" s="82"/>
      <c r="E46" s="82"/>
      <c r="F46" s="82"/>
      <c r="G46" s="83"/>
      <c r="H46" s="7"/>
      <c r="I46" s="4"/>
      <c r="J46" s="4"/>
    </row>
    <row r="47" spans="1:12" ht="15" customHeight="1" thickBot="1" x14ac:dyDescent="0.2">
      <c r="A47" s="5"/>
      <c r="B47" s="8"/>
      <c r="C47" s="8"/>
      <c r="D47" s="8"/>
      <c r="E47" s="8"/>
      <c r="F47" s="8"/>
      <c r="G47" s="8"/>
      <c r="H47" s="7"/>
      <c r="I47" s="4"/>
      <c r="J47" s="4"/>
    </row>
    <row r="48" spans="1:12" ht="15" customHeight="1" thickBot="1" x14ac:dyDescent="0.2">
      <c r="A48" s="5"/>
      <c r="B48" s="84" t="s">
        <v>32</v>
      </c>
      <c r="C48" s="85"/>
      <c r="D48" s="85"/>
      <c r="E48" s="85"/>
      <c r="F48" s="85"/>
      <c r="G48" s="86"/>
      <c r="H48" s="7"/>
      <c r="I48" s="4"/>
      <c r="J48" s="4"/>
    </row>
    <row r="49" spans="1:10" ht="15" customHeight="1" x14ac:dyDescent="0.15">
      <c r="A49" s="5"/>
      <c r="B49" s="8"/>
      <c r="C49" s="8"/>
      <c r="D49" s="8"/>
      <c r="E49" s="8"/>
      <c r="F49" s="8"/>
      <c r="G49" s="8"/>
      <c r="H49" s="7"/>
      <c r="I49" s="4"/>
      <c r="J49" s="4"/>
    </row>
    <row r="50" spans="1:10" ht="15" customHeight="1" x14ac:dyDescent="0.15">
      <c r="A50" s="5"/>
      <c r="B50" s="87" t="s">
        <v>11</v>
      </c>
      <c r="C50" s="87"/>
      <c r="D50" s="87"/>
      <c r="E50" s="87"/>
      <c r="F50" s="87"/>
      <c r="G50" s="87"/>
      <c r="H50" s="7"/>
      <c r="I50" s="4"/>
      <c r="J50" s="4"/>
    </row>
    <row r="51" spans="1:10" ht="15" customHeight="1" thickBot="1" x14ac:dyDescent="0.2">
      <c r="A51" s="5"/>
      <c r="B51" s="8"/>
      <c r="C51" s="8"/>
      <c r="D51" s="8"/>
      <c r="E51" s="8"/>
      <c r="F51" s="8"/>
      <c r="G51" s="8"/>
      <c r="H51" s="7"/>
      <c r="I51" s="4"/>
      <c r="J51" s="4"/>
    </row>
    <row r="52" spans="1:10" ht="15" customHeight="1" thickBot="1" x14ac:dyDescent="0.25">
      <c r="A52" s="5"/>
      <c r="B52" s="88" t="s">
        <v>31</v>
      </c>
      <c r="C52" s="89"/>
      <c r="D52" s="89"/>
      <c r="E52" s="89"/>
      <c r="F52" s="89"/>
      <c r="G52" s="90"/>
      <c r="H52" s="7"/>
      <c r="I52" s="4"/>
      <c r="J52" s="4"/>
    </row>
    <row r="53" spans="1:10" ht="15" customHeight="1" thickBot="1" x14ac:dyDescent="0.2">
      <c r="A53" s="5"/>
      <c r="B53" s="8"/>
      <c r="C53" s="8"/>
      <c r="D53" s="8"/>
      <c r="E53" s="8"/>
      <c r="F53" s="8"/>
      <c r="G53" s="8"/>
      <c r="H53" s="7"/>
      <c r="I53" s="4"/>
      <c r="J53" s="4"/>
    </row>
    <row r="54" spans="1:10" ht="15" customHeight="1" thickBot="1" x14ac:dyDescent="0.2">
      <c r="A54" s="5"/>
      <c r="B54" s="91" t="s">
        <v>12</v>
      </c>
      <c r="C54" s="92"/>
      <c r="D54" s="92"/>
      <c r="E54" s="92"/>
      <c r="F54" s="92"/>
      <c r="G54" s="93"/>
      <c r="H54" s="7"/>
      <c r="I54" s="4"/>
      <c r="J54" s="4"/>
    </row>
    <row r="55" spans="1:10" ht="15" customHeight="1" x14ac:dyDescent="0.15">
      <c r="A55" s="5"/>
      <c r="B55" s="8"/>
      <c r="C55" s="8"/>
      <c r="D55" s="8"/>
      <c r="E55" s="8"/>
      <c r="F55" s="8"/>
      <c r="G55" s="8"/>
      <c r="H55" s="7"/>
      <c r="I55" s="4"/>
      <c r="J55" s="4"/>
    </row>
    <row r="56" spans="1:10" ht="15" customHeight="1" x14ac:dyDescent="0.15">
      <c r="A56" s="5"/>
      <c r="B56" s="79" t="s">
        <v>0</v>
      </c>
      <c r="C56" s="33" t="s">
        <v>14</v>
      </c>
      <c r="D56" s="33" t="s">
        <v>13</v>
      </c>
      <c r="E56" s="33" t="s">
        <v>15</v>
      </c>
      <c r="F56" s="33" t="s">
        <v>18</v>
      </c>
      <c r="G56" s="8"/>
      <c r="H56" s="7"/>
      <c r="I56" s="4"/>
      <c r="J56" s="4"/>
    </row>
    <row r="57" spans="1:10" ht="15" customHeight="1" x14ac:dyDescent="0.2">
      <c r="A57" s="5"/>
      <c r="B57" s="80"/>
      <c r="C57" s="34"/>
      <c r="D57" s="34"/>
      <c r="E57" s="34"/>
      <c r="F57" s="35" t="s">
        <v>17</v>
      </c>
      <c r="G57" s="36"/>
      <c r="H57" s="7"/>
      <c r="I57" s="4"/>
      <c r="J57" s="4"/>
    </row>
    <row r="58" spans="1:10" ht="15" customHeight="1" x14ac:dyDescent="0.2">
      <c r="A58" s="5"/>
      <c r="B58" s="80"/>
      <c r="C58" s="37" t="s">
        <v>16</v>
      </c>
      <c r="D58" s="38" t="s">
        <v>16</v>
      </c>
      <c r="E58" s="38" t="s">
        <v>16</v>
      </c>
      <c r="F58" s="38" t="s">
        <v>16</v>
      </c>
      <c r="G58" s="36"/>
      <c r="H58" s="7"/>
      <c r="I58" s="4"/>
      <c r="J58" s="4"/>
    </row>
    <row r="59" spans="1:10" ht="16" x14ac:dyDescent="0.2">
      <c r="A59" s="5"/>
      <c r="B59" s="22" t="s">
        <v>43</v>
      </c>
      <c r="C59" s="39">
        <f>G20</f>
        <v>13199.088948000001</v>
      </c>
      <c r="D59" s="24">
        <v>0</v>
      </c>
      <c r="E59" s="24">
        <v>0</v>
      </c>
      <c r="F59" s="40">
        <f t="shared" ref="F59:F83" si="6">C59-D59-E59</f>
        <v>13199.088948000001</v>
      </c>
      <c r="G59" s="36"/>
      <c r="H59" s="7"/>
      <c r="I59" s="4"/>
      <c r="J59" s="4"/>
    </row>
    <row r="60" spans="1:10" ht="16" x14ac:dyDescent="0.2">
      <c r="A60" s="5"/>
      <c r="B60" s="22" t="s">
        <v>44</v>
      </c>
      <c r="C60" s="39">
        <f t="shared" ref="C60:C67" si="7">G21</f>
        <v>10712.581472499998</v>
      </c>
      <c r="D60" s="24">
        <v>0</v>
      </c>
      <c r="E60" s="24">
        <v>0</v>
      </c>
      <c r="F60" s="40">
        <f t="shared" si="6"/>
        <v>10712.581472499998</v>
      </c>
      <c r="G60" s="36"/>
      <c r="H60" s="7"/>
      <c r="I60" s="4"/>
      <c r="J60" s="4"/>
    </row>
    <row r="61" spans="1:10" ht="16" x14ac:dyDescent="0.2">
      <c r="A61" s="5"/>
      <c r="B61" s="22" t="s">
        <v>45</v>
      </c>
      <c r="C61" s="39">
        <f t="shared" si="7"/>
        <v>10112.474861000001</v>
      </c>
      <c r="D61" s="24">
        <v>0</v>
      </c>
      <c r="E61" s="24">
        <v>0</v>
      </c>
      <c r="F61" s="40">
        <f t="shared" si="6"/>
        <v>10112.474861000001</v>
      </c>
      <c r="G61" s="36"/>
      <c r="H61" s="7"/>
      <c r="I61" s="4"/>
      <c r="J61" s="4"/>
    </row>
    <row r="62" spans="1:10" ht="16" x14ac:dyDescent="0.2">
      <c r="A62" s="5"/>
      <c r="B62" s="22" t="s">
        <v>46</v>
      </c>
      <c r="C62" s="39">
        <f t="shared" si="7"/>
        <v>4474.8358249999992</v>
      </c>
      <c r="D62" s="24">
        <v>0</v>
      </c>
      <c r="E62" s="24">
        <v>0</v>
      </c>
      <c r="F62" s="40">
        <f t="shared" si="6"/>
        <v>4474.8358249999992</v>
      </c>
      <c r="G62" s="36"/>
      <c r="H62" s="7"/>
      <c r="I62" s="4"/>
      <c r="J62" s="4"/>
    </row>
    <row r="63" spans="1:10" ht="16" x14ac:dyDescent="0.2">
      <c r="A63" s="5"/>
      <c r="B63" s="22" t="s">
        <v>47</v>
      </c>
      <c r="C63" s="39">
        <f t="shared" si="7"/>
        <v>14618.2037645</v>
      </c>
      <c r="D63" s="24">
        <v>0</v>
      </c>
      <c r="E63" s="24">
        <v>0</v>
      </c>
      <c r="F63" s="40">
        <f>C63-D63-E63</f>
        <v>14618.2037645</v>
      </c>
      <c r="G63" s="36"/>
      <c r="H63" s="7"/>
      <c r="I63" s="4"/>
      <c r="J63" s="4"/>
    </row>
    <row r="64" spans="1:10" ht="16" x14ac:dyDescent="0.2">
      <c r="A64" s="5"/>
      <c r="B64" s="22" t="s">
        <v>48</v>
      </c>
      <c r="C64" s="39">
        <f t="shared" si="7"/>
        <v>13955.937703</v>
      </c>
      <c r="D64" s="24">
        <v>0</v>
      </c>
      <c r="E64" s="24">
        <v>0</v>
      </c>
      <c r="F64" s="40">
        <f>C64-D64-E64</f>
        <v>13955.937703</v>
      </c>
      <c r="G64" s="36"/>
      <c r="H64" s="7"/>
      <c r="I64" s="4"/>
      <c r="J64" s="4"/>
    </row>
    <row r="65" spans="1:10" ht="16" x14ac:dyDescent="0.2">
      <c r="A65" s="5"/>
      <c r="B65" s="22" t="s">
        <v>49</v>
      </c>
      <c r="C65" s="39">
        <f t="shared" si="7"/>
        <v>18692.075264999999</v>
      </c>
      <c r="D65" s="24">
        <v>0</v>
      </c>
      <c r="E65" s="24">
        <v>0</v>
      </c>
      <c r="F65" s="40">
        <f t="shared" si="6"/>
        <v>18692.075264999999</v>
      </c>
      <c r="G65" s="36"/>
      <c r="H65" s="7"/>
      <c r="I65" s="4"/>
      <c r="J65" s="4"/>
    </row>
    <row r="66" spans="1:10" ht="16" x14ac:dyDescent="0.2">
      <c r="A66" s="5"/>
      <c r="B66" s="54" t="s">
        <v>50</v>
      </c>
      <c r="C66" s="39">
        <f t="shared" si="7"/>
        <v>17081.009936999999</v>
      </c>
      <c r="D66" s="24">
        <v>0</v>
      </c>
      <c r="E66" s="24">
        <v>0</v>
      </c>
      <c r="F66" s="40">
        <f t="shared" si="6"/>
        <v>17081.009936999999</v>
      </c>
      <c r="G66" s="36"/>
      <c r="H66" s="7"/>
      <c r="I66" s="4"/>
      <c r="J66" s="4"/>
    </row>
    <row r="67" spans="1:10" ht="16" x14ac:dyDescent="0.2">
      <c r="A67" s="5"/>
      <c r="B67" s="22" t="s">
        <v>51</v>
      </c>
      <c r="C67" s="39">
        <f t="shared" si="7"/>
        <v>17322.978907999997</v>
      </c>
      <c r="D67" s="24">
        <v>0</v>
      </c>
      <c r="E67" s="24">
        <v>0</v>
      </c>
      <c r="F67" s="40">
        <f t="shared" si="6"/>
        <v>17322.978907999997</v>
      </c>
      <c r="G67" s="36"/>
      <c r="H67" s="7"/>
      <c r="I67" s="4"/>
      <c r="J67" s="4"/>
    </row>
    <row r="68" spans="1:10" ht="16" x14ac:dyDescent="0.2">
      <c r="A68" s="5"/>
      <c r="B68" s="22" t="s">
        <v>52</v>
      </c>
      <c r="C68" s="39">
        <f>G29</f>
        <v>21430.867713999996</v>
      </c>
      <c r="D68" s="24">
        <v>0</v>
      </c>
      <c r="E68" s="24">
        <v>0</v>
      </c>
      <c r="F68" s="40">
        <f t="shared" si="6"/>
        <v>21430.867713999996</v>
      </c>
      <c r="G68" s="36"/>
      <c r="H68" s="7"/>
      <c r="I68" s="4"/>
      <c r="J68" s="4"/>
    </row>
    <row r="69" spans="1:10" ht="7" customHeight="1" x14ac:dyDescent="0.2">
      <c r="A69" s="5"/>
      <c r="B69" s="22"/>
      <c r="C69" s="39"/>
      <c r="D69" s="24"/>
      <c r="E69" s="24"/>
      <c r="F69" s="40"/>
      <c r="G69" s="36"/>
      <c r="H69" s="7"/>
      <c r="I69" s="4"/>
      <c r="J69" s="4"/>
    </row>
    <row r="70" spans="1:10" ht="16" x14ac:dyDescent="0.2">
      <c r="A70" s="5"/>
      <c r="B70" s="22" t="s">
        <v>53</v>
      </c>
      <c r="C70" s="39">
        <f t="shared" ref="C70:C78" si="8">G31</f>
        <v>14524.725256</v>
      </c>
      <c r="D70" s="24">
        <v>0</v>
      </c>
      <c r="E70" s="24">
        <v>0</v>
      </c>
      <c r="F70" s="40">
        <f t="shared" si="6"/>
        <v>14524.725256</v>
      </c>
      <c r="G70" s="36"/>
      <c r="H70" s="7"/>
      <c r="I70" s="4"/>
      <c r="J70" s="4"/>
    </row>
    <row r="71" spans="1:10" ht="13" customHeight="1" x14ac:dyDescent="0.2">
      <c r="A71" s="5"/>
      <c r="B71" s="22" t="s">
        <v>54</v>
      </c>
      <c r="C71" s="39">
        <f t="shared" si="8"/>
        <v>14980.861277</v>
      </c>
      <c r="D71" s="24">
        <v>0</v>
      </c>
      <c r="E71" s="24">
        <v>0</v>
      </c>
      <c r="F71" s="40">
        <f t="shared" si="6"/>
        <v>14980.861277</v>
      </c>
      <c r="G71" s="36"/>
      <c r="H71" s="7"/>
      <c r="I71" s="4"/>
      <c r="J71" s="4"/>
    </row>
    <row r="72" spans="1:10" ht="16" x14ac:dyDescent="0.2">
      <c r="A72" s="5"/>
      <c r="B72" s="22" t="s">
        <v>55</v>
      </c>
      <c r="C72" s="39">
        <f t="shared" si="8"/>
        <v>13775.0682765</v>
      </c>
      <c r="D72" s="24">
        <v>0</v>
      </c>
      <c r="E72" s="24">
        <v>0</v>
      </c>
      <c r="F72" s="40">
        <f t="shared" si="6"/>
        <v>13775.0682765</v>
      </c>
      <c r="G72" s="36"/>
      <c r="H72" s="7"/>
      <c r="I72" s="4"/>
      <c r="J72" s="4"/>
    </row>
    <row r="73" spans="1:10" ht="16" x14ac:dyDescent="0.2">
      <c r="A73" s="5"/>
      <c r="B73" s="22" t="s">
        <v>56</v>
      </c>
      <c r="C73" s="39">
        <f t="shared" si="8"/>
        <v>12859.060502</v>
      </c>
      <c r="D73" s="24">
        <v>0</v>
      </c>
      <c r="E73" s="24">
        <v>0</v>
      </c>
      <c r="F73" s="40">
        <f t="shared" si="6"/>
        <v>12859.060502</v>
      </c>
      <c r="G73" s="36"/>
      <c r="H73" s="7"/>
      <c r="I73" s="4"/>
      <c r="J73" s="4"/>
    </row>
    <row r="74" spans="1:10" ht="16" x14ac:dyDescent="0.2">
      <c r="A74" s="5"/>
      <c r="B74" s="22" t="s">
        <v>57</v>
      </c>
      <c r="C74" s="39">
        <f t="shared" si="8"/>
        <v>9874.6401380000007</v>
      </c>
      <c r="D74" s="24">
        <v>0</v>
      </c>
      <c r="E74" s="24">
        <v>0</v>
      </c>
      <c r="F74" s="40">
        <f t="shared" si="6"/>
        <v>9874.6401380000007</v>
      </c>
      <c r="G74" s="36"/>
      <c r="H74" s="7"/>
      <c r="I74" s="4"/>
      <c r="J74" s="4"/>
    </row>
    <row r="75" spans="1:10" ht="16" x14ac:dyDescent="0.2">
      <c r="A75" s="5"/>
      <c r="B75" s="22" t="s">
        <v>58</v>
      </c>
      <c r="C75" s="39">
        <f t="shared" si="8"/>
        <v>15227.621401999999</v>
      </c>
      <c r="D75" s="24">
        <v>0</v>
      </c>
      <c r="E75" s="24">
        <v>0</v>
      </c>
      <c r="F75" s="40">
        <f t="shared" si="6"/>
        <v>15227.621401999999</v>
      </c>
      <c r="G75" s="36"/>
      <c r="H75" s="7"/>
      <c r="I75" s="4"/>
      <c r="J75" s="4"/>
    </row>
    <row r="76" spans="1:10" ht="16" x14ac:dyDescent="0.2">
      <c r="A76" s="5"/>
      <c r="B76" s="22" t="s">
        <v>59</v>
      </c>
      <c r="C76" s="39">
        <f t="shared" si="8"/>
        <v>24414.030315999997</v>
      </c>
      <c r="D76" s="24">
        <v>0</v>
      </c>
      <c r="E76" s="24">
        <v>0</v>
      </c>
      <c r="F76" s="40">
        <f t="shared" si="6"/>
        <v>24414.030315999997</v>
      </c>
      <c r="G76" s="36"/>
      <c r="H76" s="7"/>
      <c r="I76" s="4"/>
      <c r="J76" s="4"/>
    </row>
    <row r="77" spans="1:10" ht="16" x14ac:dyDescent="0.2">
      <c r="A77" s="5"/>
      <c r="B77" s="22" t="s">
        <v>60</v>
      </c>
      <c r="C77" s="39">
        <f t="shared" si="8"/>
        <v>16953.7231895</v>
      </c>
      <c r="D77" s="24">
        <v>0</v>
      </c>
      <c r="E77" s="24">
        <v>0</v>
      </c>
      <c r="F77" s="40">
        <f t="shared" si="6"/>
        <v>16953.7231895</v>
      </c>
      <c r="G77" s="36"/>
      <c r="H77" s="7"/>
      <c r="I77" s="4"/>
      <c r="J77" s="4"/>
    </row>
    <row r="78" spans="1:10" ht="17" thickBot="1" x14ac:dyDescent="0.25">
      <c r="A78" s="5"/>
      <c r="B78" s="22" t="s">
        <v>61</v>
      </c>
      <c r="C78" s="39">
        <f t="shared" si="8"/>
        <v>11846.333407999999</v>
      </c>
      <c r="D78" s="24">
        <v>0</v>
      </c>
      <c r="E78" s="24">
        <v>0</v>
      </c>
      <c r="F78" s="40">
        <f t="shared" si="6"/>
        <v>11846.333407999999</v>
      </c>
      <c r="G78" s="36"/>
      <c r="H78" s="7"/>
      <c r="I78" s="4"/>
      <c r="J78" s="4"/>
    </row>
    <row r="79" spans="1:10" ht="18" thickBot="1" x14ac:dyDescent="0.25">
      <c r="A79" s="5"/>
      <c r="C79" s="55"/>
      <c r="D79" s="62"/>
      <c r="E79" s="62"/>
      <c r="F79" s="40">
        <f t="shared" si="6"/>
        <v>0</v>
      </c>
      <c r="G79" s="21" t="s">
        <v>20</v>
      </c>
      <c r="H79" s="7"/>
      <c r="I79" s="4"/>
      <c r="J79" s="4"/>
    </row>
    <row r="80" spans="1:10" ht="35" thickBot="1" x14ac:dyDescent="0.25">
      <c r="A80" s="5"/>
      <c r="B80" s="28" t="s">
        <v>62</v>
      </c>
      <c r="C80" s="59">
        <f>SUM(C59:C68)</f>
        <v>141600.05439799998</v>
      </c>
      <c r="D80" s="59">
        <f>SUM(D59:D68)</f>
        <v>0</v>
      </c>
      <c r="E80" s="59">
        <f>SUM(E59:E68)</f>
        <v>0</v>
      </c>
      <c r="F80" s="40">
        <f t="shared" si="6"/>
        <v>141600.05439799998</v>
      </c>
      <c r="G80" s="43">
        <f>ROUNDDOWN(F80,0)</f>
        <v>141600</v>
      </c>
      <c r="H80" s="7"/>
      <c r="I80" s="4"/>
      <c r="J80" s="4"/>
    </row>
    <row r="81" spans="1:10" ht="35" thickBot="1" x14ac:dyDescent="0.25">
      <c r="A81" s="5"/>
      <c r="B81" s="28" t="s">
        <v>63</v>
      </c>
      <c r="C81" s="59">
        <f>SUM(C70:C78)</f>
        <v>134456.063765</v>
      </c>
      <c r="D81" s="59">
        <f>SUM(D70:D78)</f>
        <v>0</v>
      </c>
      <c r="E81" s="59">
        <f>SUM(E70:E78)</f>
        <v>0</v>
      </c>
      <c r="F81" s="40">
        <f t="shared" si="6"/>
        <v>134456.063765</v>
      </c>
      <c r="G81" s="43">
        <f>ROUNDDOWN(F81,0)</f>
        <v>134456</v>
      </c>
      <c r="H81" s="7"/>
      <c r="I81" s="4"/>
      <c r="J81" s="4"/>
    </row>
    <row r="82" spans="1:10" ht="17" thickBot="1" x14ac:dyDescent="0.25">
      <c r="C82" s="60"/>
      <c r="F82" s="40"/>
      <c r="H82" s="7"/>
      <c r="I82" s="4"/>
      <c r="J82" s="4"/>
    </row>
    <row r="83" spans="1:10" ht="35" thickBot="1" x14ac:dyDescent="0.25">
      <c r="B83" s="31" t="s">
        <v>64</v>
      </c>
      <c r="C83" s="61">
        <f>SUM(C80:C81)</f>
        <v>276056.11816299998</v>
      </c>
      <c r="D83" s="61">
        <f>SUM(D80:D81)</f>
        <v>0</v>
      </c>
      <c r="E83" s="61">
        <f>SUM(E80:E81)</f>
        <v>0</v>
      </c>
      <c r="F83" s="40">
        <f t="shared" si="6"/>
        <v>276056.11816299998</v>
      </c>
      <c r="G83" s="43">
        <f>G80+G81</f>
        <v>276056</v>
      </c>
      <c r="H83" s="58"/>
    </row>
  </sheetData>
  <mergeCells count="11">
    <mergeCell ref="B3:G3"/>
    <mergeCell ref="B4:G4"/>
    <mergeCell ref="B5:G5"/>
    <mergeCell ref="B14:G14"/>
    <mergeCell ref="B12:C12"/>
    <mergeCell ref="B56:B58"/>
    <mergeCell ref="B46:G46"/>
    <mergeCell ref="B48:G48"/>
    <mergeCell ref="B50:G50"/>
    <mergeCell ref="B52:G52"/>
    <mergeCell ref="B54:G5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opLeftCell="A15" zoomScale="157" workbookViewId="0">
      <selection activeCell="C27" sqref="C27:H28"/>
    </sheetView>
  </sheetViews>
  <sheetFormatPr baseColWidth="10" defaultRowHeight="15" x14ac:dyDescent="0.2"/>
  <cols>
    <col min="1" max="1" width="10.83203125" style="78"/>
    <col min="2" max="2" width="15" style="78" bestFit="1" customWidth="1"/>
    <col min="3" max="3" width="12.5" style="78" customWidth="1"/>
    <col min="4" max="4" width="15" style="78" customWidth="1"/>
    <col min="5" max="5" width="20.5" style="78" customWidth="1"/>
    <col min="6" max="6" width="15.6640625" style="78" customWidth="1"/>
    <col min="7" max="7" width="16" style="78" customWidth="1"/>
    <col min="8" max="8" width="19.83203125" style="78" customWidth="1"/>
    <col min="9" max="16384" width="10.83203125" style="78"/>
  </cols>
  <sheetData>
    <row r="1" spans="1:8" x14ac:dyDescent="0.2">
      <c r="A1" s="78" t="s">
        <v>77</v>
      </c>
    </row>
    <row r="2" spans="1:8" ht="16" thickBot="1" x14ac:dyDescent="0.25">
      <c r="B2" s="77" t="s">
        <v>78</v>
      </c>
      <c r="C2" s="77" t="s">
        <v>79</v>
      </c>
      <c r="D2" s="77" t="s">
        <v>80</v>
      </c>
      <c r="E2" s="77" t="s">
        <v>81</v>
      </c>
      <c r="F2" s="77" t="s">
        <v>82</v>
      </c>
      <c r="G2" s="77" t="s">
        <v>83</v>
      </c>
      <c r="H2" s="77" t="s">
        <v>84</v>
      </c>
    </row>
    <row r="3" spans="1:8" ht="15" customHeight="1" x14ac:dyDescent="0.2">
      <c r="A3" s="105">
        <v>1</v>
      </c>
      <c r="B3" s="106" t="s">
        <v>69</v>
      </c>
      <c r="C3" s="111" t="s">
        <v>88</v>
      </c>
      <c r="D3" s="106" t="s">
        <v>91</v>
      </c>
      <c r="E3" s="106" t="s">
        <v>85</v>
      </c>
      <c r="F3" s="106" t="s">
        <v>92</v>
      </c>
      <c r="G3" s="106" t="s">
        <v>86</v>
      </c>
      <c r="H3" s="106" t="s">
        <v>87</v>
      </c>
    </row>
    <row r="4" spans="1:8" ht="30" customHeight="1" thickBot="1" x14ac:dyDescent="0.25">
      <c r="A4" s="105"/>
      <c r="B4" s="107"/>
      <c r="C4" s="112"/>
      <c r="D4" s="107"/>
      <c r="E4" s="107"/>
      <c r="F4" s="109"/>
      <c r="G4" s="107"/>
      <c r="H4" s="107"/>
    </row>
    <row r="5" spans="1:8" ht="15" customHeight="1" x14ac:dyDescent="0.2">
      <c r="A5" s="105">
        <v>2</v>
      </c>
      <c r="B5" s="106" t="s">
        <v>70</v>
      </c>
      <c r="C5" s="106" t="s">
        <v>89</v>
      </c>
      <c r="D5" s="106" t="s">
        <v>91</v>
      </c>
      <c r="E5" s="106" t="s">
        <v>85</v>
      </c>
      <c r="F5" s="106" t="s">
        <v>92</v>
      </c>
      <c r="G5" s="106" t="s">
        <v>86</v>
      </c>
      <c r="H5" s="106" t="s">
        <v>87</v>
      </c>
    </row>
    <row r="6" spans="1:8" ht="27" customHeight="1" thickBot="1" x14ac:dyDescent="0.25">
      <c r="A6" s="105"/>
      <c r="B6" s="107" t="s">
        <v>72</v>
      </c>
      <c r="C6" s="107"/>
      <c r="D6" s="107"/>
      <c r="E6" s="107"/>
      <c r="F6" s="109"/>
      <c r="G6" s="107"/>
      <c r="H6" s="107"/>
    </row>
    <row r="7" spans="1:8" ht="15" customHeight="1" x14ac:dyDescent="0.2">
      <c r="A7" s="105">
        <v>3</v>
      </c>
      <c r="B7" s="106" t="s">
        <v>71</v>
      </c>
      <c r="C7" s="106" t="s">
        <v>88</v>
      </c>
      <c r="D7" s="106" t="s">
        <v>91</v>
      </c>
      <c r="E7" s="106" t="s">
        <v>85</v>
      </c>
      <c r="F7" s="106" t="s">
        <v>93</v>
      </c>
      <c r="G7" s="106" t="s">
        <v>86</v>
      </c>
      <c r="H7" s="106" t="s">
        <v>87</v>
      </c>
    </row>
    <row r="8" spans="1:8" ht="33" customHeight="1" thickBot="1" x14ac:dyDescent="0.25">
      <c r="A8" s="105"/>
      <c r="B8" s="107"/>
      <c r="C8" s="107"/>
      <c r="D8" s="107"/>
      <c r="E8" s="107"/>
      <c r="F8" s="109"/>
      <c r="G8" s="107"/>
      <c r="H8" s="107"/>
    </row>
    <row r="9" spans="1:8" ht="15" customHeight="1" x14ac:dyDescent="0.2">
      <c r="A9" s="105">
        <v>4</v>
      </c>
      <c r="B9" s="106" t="s">
        <v>72</v>
      </c>
      <c r="C9" s="106" t="s">
        <v>88</v>
      </c>
      <c r="D9" s="106" t="s">
        <v>91</v>
      </c>
      <c r="E9" s="106" t="s">
        <v>85</v>
      </c>
      <c r="F9" s="106" t="s">
        <v>93</v>
      </c>
      <c r="G9" s="106" t="s">
        <v>86</v>
      </c>
      <c r="H9" s="106" t="s">
        <v>87</v>
      </c>
    </row>
    <row r="10" spans="1:8" ht="28" customHeight="1" thickBot="1" x14ac:dyDescent="0.25">
      <c r="A10" s="105"/>
      <c r="B10" s="107" t="s">
        <v>76</v>
      </c>
      <c r="C10" s="107"/>
      <c r="D10" s="107"/>
      <c r="E10" s="107"/>
      <c r="F10" s="109"/>
      <c r="G10" s="107"/>
      <c r="H10" s="107"/>
    </row>
    <row r="11" spans="1:8" ht="15" customHeight="1" x14ac:dyDescent="0.2">
      <c r="A11" s="105">
        <v>5</v>
      </c>
      <c r="B11" s="106" t="s">
        <v>73</v>
      </c>
      <c r="C11" s="106" t="s">
        <v>88</v>
      </c>
      <c r="D11" s="106" t="s">
        <v>91</v>
      </c>
      <c r="E11" s="106" t="s">
        <v>85</v>
      </c>
      <c r="F11" s="106" t="s">
        <v>93</v>
      </c>
      <c r="G11" s="106" t="s">
        <v>86</v>
      </c>
      <c r="H11" s="106" t="s">
        <v>87</v>
      </c>
    </row>
    <row r="12" spans="1:8" ht="33" customHeight="1" thickBot="1" x14ac:dyDescent="0.25">
      <c r="A12" s="105"/>
      <c r="B12" s="107" t="s">
        <v>76</v>
      </c>
      <c r="C12" s="107"/>
      <c r="D12" s="107"/>
      <c r="E12" s="107"/>
      <c r="F12" s="109"/>
      <c r="G12" s="107"/>
      <c r="H12" s="107"/>
    </row>
    <row r="13" spans="1:8" ht="15" customHeight="1" x14ac:dyDescent="0.2">
      <c r="A13" s="105">
        <v>6</v>
      </c>
      <c r="B13" s="106" t="s">
        <v>74</v>
      </c>
      <c r="C13" s="106" t="s">
        <v>88</v>
      </c>
      <c r="D13" s="106" t="s">
        <v>91</v>
      </c>
      <c r="E13" s="106" t="s">
        <v>85</v>
      </c>
      <c r="F13" s="106" t="s">
        <v>93</v>
      </c>
      <c r="G13" s="106" t="s">
        <v>86</v>
      </c>
      <c r="H13" s="106" t="s">
        <v>87</v>
      </c>
    </row>
    <row r="14" spans="1:8" ht="31" customHeight="1" thickBot="1" x14ac:dyDescent="0.25">
      <c r="A14" s="105"/>
      <c r="B14" s="107" t="s">
        <v>76</v>
      </c>
      <c r="C14" s="107"/>
      <c r="D14" s="107"/>
      <c r="E14" s="107"/>
      <c r="F14" s="109"/>
      <c r="G14" s="107"/>
      <c r="H14" s="107"/>
    </row>
    <row r="15" spans="1:8" ht="15" customHeight="1" x14ac:dyDescent="0.2">
      <c r="A15" s="105">
        <v>7</v>
      </c>
      <c r="B15" s="106" t="s">
        <v>75</v>
      </c>
      <c r="C15" s="106" t="s">
        <v>90</v>
      </c>
      <c r="D15" s="106" t="s">
        <v>91</v>
      </c>
      <c r="E15" s="106" t="s">
        <v>85</v>
      </c>
      <c r="F15" s="106" t="s">
        <v>93</v>
      </c>
      <c r="G15" s="106" t="s">
        <v>86</v>
      </c>
      <c r="H15" s="106" t="s">
        <v>87</v>
      </c>
    </row>
    <row r="16" spans="1:8" ht="36" customHeight="1" thickBot="1" x14ac:dyDescent="0.25">
      <c r="A16" s="105"/>
      <c r="B16" s="107" t="s">
        <v>76</v>
      </c>
      <c r="C16" s="107"/>
      <c r="D16" s="107"/>
      <c r="E16" s="107"/>
      <c r="F16" s="109"/>
      <c r="G16" s="107"/>
      <c r="H16" s="107"/>
    </row>
    <row r="17" spans="1:9" ht="15" customHeight="1" x14ac:dyDescent="0.2">
      <c r="A17" s="105">
        <v>8</v>
      </c>
      <c r="B17" s="106" t="s">
        <v>114</v>
      </c>
      <c r="C17" s="106" t="s">
        <v>88</v>
      </c>
      <c r="D17" s="106" t="s">
        <v>91</v>
      </c>
      <c r="E17" s="106" t="s">
        <v>85</v>
      </c>
      <c r="F17" s="106" t="s">
        <v>115</v>
      </c>
      <c r="G17" s="106" t="s">
        <v>86</v>
      </c>
      <c r="H17" s="106" t="s">
        <v>87</v>
      </c>
    </row>
    <row r="18" spans="1:9" ht="29" customHeight="1" thickBot="1" x14ac:dyDescent="0.25">
      <c r="A18" s="105"/>
      <c r="B18" s="107" t="s">
        <v>76</v>
      </c>
      <c r="C18" s="107"/>
      <c r="D18" s="107"/>
      <c r="E18" s="107"/>
      <c r="F18" s="109"/>
      <c r="G18" s="107"/>
      <c r="H18" s="107"/>
    </row>
    <row r="19" spans="1:9" x14ac:dyDescent="0.2">
      <c r="A19" s="105">
        <v>9</v>
      </c>
      <c r="B19" s="106" t="s">
        <v>97</v>
      </c>
      <c r="C19" s="106" t="s">
        <v>94</v>
      </c>
      <c r="D19" s="106" t="s">
        <v>98</v>
      </c>
      <c r="E19" s="106" t="s">
        <v>85</v>
      </c>
      <c r="F19" s="108" t="s">
        <v>99</v>
      </c>
      <c r="G19" s="106" t="s">
        <v>86</v>
      </c>
      <c r="H19" s="106" t="s">
        <v>87</v>
      </c>
    </row>
    <row r="20" spans="1:9" ht="16" thickBot="1" x14ac:dyDescent="0.25">
      <c r="A20" s="105"/>
      <c r="B20" s="107"/>
      <c r="C20" s="107"/>
      <c r="D20" s="107"/>
      <c r="E20" s="107"/>
      <c r="F20" s="109"/>
      <c r="G20" s="107"/>
      <c r="H20" s="107"/>
    </row>
    <row r="21" spans="1:9" ht="15" customHeight="1" x14ac:dyDescent="0.2">
      <c r="A21" s="105">
        <v>10</v>
      </c>
      <c r="B21" s="106" t="s">
        <v>100</v>
      </c>
      <c r="C21" s="106" t="s">
        <v>94</v>
      </c>
      <c r="D21" s="106" t="s">
        <v>98</v>
      </c>
      <c r="E21" s="106" t="s">
        <v>85</v>
      </c>
      <c r="F21" s="106" t="s">
        <v>101</v>
      </c>
      <c r="G21" s="106" t="s">
        <v>86</v>
      </c>
      <c r="H21" s="106" t="s">
        <v>87</v>
      </c>
    </row>
    <row r="22" spans="1:9" ht="16" thickBot="1" x14ac:dyDescent="0.25">
      <c r="A22" s="105"/>
      <c r="B22" s="107"/>
      <c r="C22" s="107"/>
      <c r="D22" s="107"/>
      <c r="E22" s="107"/>
      <c r="F22" s="109"/>
      <c r="G22" s="107"/>
      <c r="H22" s="107"/>
    </row>
    <row r="23" spans="1:9" ht="15" customHeight="1" x14ac:dyDescent="0.2">
      <c r="A23" s="105">
        <v>11</v>
      </c>
      <c r="B23" s="106" t="s">
        <v>102</v>
      </c>
      <c r="C23" s="106" t="s">
        <v>94</v>
      </c>
      <c r="D23" s="106" t="s">
        <v>98</v>
      </c>
      <c r="E23" s="106" t="s">
        <v>85</v>
      </c>
      <c r="F23" s="108">
        <v>44408</v>
      </c>
      <c r="G23" s="106" t="s">
        <v>86</v>
      </c>
      <c r="H23" s="106" t="s">
        <v>87</v>
      </c>
    </row>
    <row r="24" spans="1:9" ht="16" thickBot="1" x14ac:dyDescent="0.25">
      <c r="A24" s="105"/>
      <c r="B24" s="107"/>
      <c r="C24" s="107"/>
      <c r="D24" s="107"/>
      <c r="E24" s="107"/>
      <c r="F24" s="109"/>
      <c r="G24" s="107"/>
      <c r="H24" s="107"/>
    </row>
    <row r="25" spans="1:9" ht="15" customHeight="1" x14ac:dyDescent="0.2">
      <c r="A25" s="105">
        <v>12</v>
      </c>
      <c r="B25" s="106" t="s">
        <v>112</v>
      </c>
      <c r="C25" s="106" t="s">
        <v>94</v>
      </c>
      <c r="D25" s="106" t="s">
        <v>98</v>
      </c>
      <c r="E25" s="106" t="s">
        <v>85</v>
      </c>
      <c r="F25" s="106" t="s">
        <v>103</v>
      </c>
      <c r="G25" s="106" t="s">
        <v>86</v>
      </c>
      <c r="H25" s="106" t="s">
        <v>87</v>
      </c>
    </row>
    <row r="26" spans="1:9" ht="16" thickBot="1" x14ac:dyDescent="0.25">
      <c r="A26" s="105"/>
      <c r="B26" s="107"/>
      <c r="C26" s="107"/>
      <c r="D26" s="107"/>
      <c r="E26" s="107"/>
      <c r="F26" s="109"/>
      <c r="G26" s="107"/>
      <c r="H26" s="107"/>
      <c r="I26" s="78" t="s">
        <v>113</v>
      </c>
    </row>
    <row r="27" spans="1:9" ht="15" customHeight="1" x14ac:dyDescent="0.2">
      <c r="A27" s="105">
        <v>13</v>
      </c>
      <c r="B27" s="106" t="s">
        <v>104</v>
      </c>
      <c r="C27" s="106" t="s">
        <v>95</v>
      </c>
      <c r="D27" s="106" t="s">
        <v>96</v>
      </c>
      <c r="E27" s="106" t="s">
        <v>85</v>
      </c>
      <c r="F27" s="108">
        <v>44715</v>
      </c>
      <c r="G27" s="106" t="s">
        <v>86</v>
      </c>
      <c r="H27" s="106" t="s">
        <v>87</v>
      </c>
    </row>
    <row r="28" spans="1:9" ht="16" thickBot="1" x14ac:dyDescent="0.25">
      <c r="A28" s="105"/>
      <c r="B28" s="107"/>
      <c r="C28" s="107"/>
      <c r="D28" s="107"/>
      <c r="E28" s="107"/>
      <c r="F28" s="109"/>
      <c r="G28" s="107"/>
      <c r="H28" s="107"/>
    </row>
    <row r="29" spans="1:9" x14ac:dyDescent="0.2">
      <c r="A29" s="105">
        <v>14</v>
      </c>
      <c r="B29" s="106" t="s">
        <v>105</v>
      </c>
      <c r="C29" s="106" t="s">
        <v>95</v>
      </c>
      <c r="D29" s="106" t="s">
        <v>96</v>
      </c>
      <c r="E29" s="106" t="s">
        <v>85</v>
      </c>
      <c r="F29" s="108">
        <v>44565</v>
      </c>
      <c r="G29" s="106" t="s">
        <v>86</v>
      </c>
      <c r="H29" s="106" t="s">
        <v>87</v>
      </c>
    </row>
    <row r="30" spans="1:9" ht="16" thickBot="1" x14ac:dyDescent="0.25">
      <c r="A30" s="105"/>
      <c r="B30" s="107"/>
      <c r="C30" s="107"/>
      <c r="D30" s="107"/>
      <c r="E30" s="107"/>
      <c r="F30" s="110"/>
      <c r="G30" s="107"/>
      <c r="H30" s="107"/>
    </row>
    <row r="31" spans="1:9" x14ac:dyDescent="0.2">
      <c r="A31" s="105">
        <v>15</v>
      </c>
      <c r="B31" s="106" t="s">
        <v>106</v>
      </c>
      <c r="C31" s="106" t="s">
        <v>95</v>
      </c>
      <c r="D31" s="106" t="s">
        <v>96</v>
      </c>
      <c r="E31" s="106" t="s">
        <v>85</v>
      </c>
      <c r="F31" s="108">
        <v>44235</v>
      </c>
      <c r="G31" s="106" t="s">
        <v>86</v>
      </c>
      <c r="H31" s="106" t="s">
        <v>87</v>
      </c>
    </row>
    <row r="32" spans="1:9" ht="16" thickBot="1" x14ac:dyDescent="0.25">
      <c r="A32" s="105"/>
      <c r="B32" s="107"/>
      <c r="C32" s="107"/>
      <c r="D32" s="107"/>
      <c r="E32" s="107"/>
      <c r="F32" s="109"/>
      <c r="G32" s="107"/>
      <c r="H32" s="107"/>
    </row>
    <row r="33" spans="1:8" x14ac:dyDescent="0.2">
      <c r="A33" s="105">
        <v>16</v>
      </c>
      <c r="B33" s="106" t="s">
        <v>107</v>
      </c>
      <c r="C33" s="106" t="s">
        <v>95</v>
      </c>
      <c r="D33" s="106" t="s">
        <v>96</v>
      </c>
      <c r="E33" s="106" t="s">
        <v>85</v>
      </c>
      <c r="F33" s="108">
        <v>44662</v>
      </c>
      <c r="G33" s="106" t="s">
        <v>86</v>
      </c>
      <c r="H33" s="106" t="s">
        <v>87</v>
      </c>
    </row>
    <row r="34" spans="1:8" ht="16" thickBot="1" x14ac:dyDescent="0.25">
      <c r="A34" s="105"/>
      <c r="B34" s="107"/>
      <c r="C34" s="107"/>
      <c r="D34" s="107"/>
      <c r="E34" s="107"/>
      <c r="F34" s="109"/>
      <c r="G34" s="107"/>
      <c r="H34" s="107"/>
    </row>
    <row r="35" spans="1:8" x14ac:dyDescent="0.2">
      <c r="A35" s="105">
        <v>17</v>
      </c>
      <c r="B35" s="106" t="s">
        <v>108</v>
      </c>
      <c r="C35" s="106" t="s">
        <v>95</v>
      </c>
      <c r="D35" s="106" t="s">
        <v>96</v>
      </c>
      <c r="E35" s="106" t="s">
        <v>85</v>
      </c>
      <c r="F35" s="108">
        <v>44690</v>
      </c>
      <c r="G35" s="106" t="s">
        <v>86</v>
      </c>
      <c r="H35" s="106" t="s">
        <v>87</v>
      </c>
    </row>
    <row r="36" spans="1:8" ht="16" thickBot="1" x14ac:dyDescent="0.25">
      <c r="A36" s="105"/>
      <c r="B36" s="107"/>
      <c r="C36" s="107"/>
      <c r="D36" s="107"/>
      <c r="E36" s="107"/>
      <c r="F36" s="109"/>
      <c r="G36" s="107"/>
      <c r="H36" s="107"/>
    </row>
    <row r="37" spans="1:8" x14ac:dyDescent="0.2">
      <c r="A37" s="105">
        <v>18</v>
      </c>
      <c r="B37" s="106" t="s">
        <v>109</v>
      </c>
      <c r="C37" s="106" t="s">
        <v>95</v>
      </c>
      <c r="D37" s="106" t="s">
        <v>96</v>
      </c>
      <c r="E37" s="106" t="s">
        <v>85</v>
      </c>
      <c r="F37" s="108">
        <v>44764</v>
      </c>
      <c r="G37" s="106" t="s">
        <v>86</v>
      </c>
      <c r="H37" s="106" t="s">
        <v>87</v>
      </c>
    </row>
    <row r="38" spans="1:8" ht="16" thickBot="1" x14ac:dyDescent="0.25">
      <c r="A38" s="105"/>
      <c r="B38" s="107"/>
      <c r="C38" s="107"/>
      <c r="D38" s="107"/>
      <c r="E38" s="107"/>
      <c r="F38" s="109"/>
      <c r="G38" s="107"/>
      <c r="H38" s="107"/>
    </row>
    <row r="39" spans="1:8" x14ac:dyDescent="0.2">
      <c r="A39" s="105">
        <v>19</v>
      </c>
      <c r="B39" s="106" t="s">
        <v>110</v>
      </c>
      <c r="C39" s="106" t="s">
        <v>95</v>
      </c>
      <c r="D39" s="106" t="s">
        <v>96</v>
      </c>
      <c r="E39" s="106" t="s">
        <v>85</v>
      </c>
      <c r="F39" s="108">
        <v>44236</v>
      </c>
      <c r="G39" s="106" t="s">
        <v>86</v>
      </c>
      <c r="H39" s="106" t="s">
        <v>87</v>
      </c>
    </row>
    <row r="40" spans="1:8" ht="16" thickBot="1" x14ac:dyDescent="0.25">
      <c r="A40" s="105"/>
      <c r="B40" s="107"/>
      <c r="C40" s="107"/>
      <c r="D40" s="107"/>
      <c r="E40" s="107"/>
      <c r="F40" s="109"/>
      <c r="G40" s="107"/>
      <c r="H40" s="107"/>
    </row>
    <row r="41" spans="1:8" x14ac:dyDescent="0.2">
      <c r="A41" s="105">
        <v>20</v>
      </c>
      <c r="B41" s="106" t="s">
        <v>111</v>
      </c>
      <c r="C41" s="106" t="s">
        <v>95</v>
      </c>
      <c r="D41" s="106" t="s">
        <v>96</v>
      </c>
      <c r="E41" s="106" t="s">
        <v>85</v>
      </c>
      <c r="F41" s="108">
        <v>44573</v>
      </c>
      <c r="G41" s="106" t="s">
        <v>86</v>
      </c>
      <c r="H41" s="106" t="s">
        <v>87</v>
      </c>
    </row>
    <row r="42" spans="1:8" ht="16" thickBot="1" x14ac:dyDescent="0.25">
      <c r="A42" s="105"/>
      <c r="B42" s="107"/>
      <c r="C42" s="107"/>
      <c r="D42" s="107"/>
      <c r="E42" s="107"/>
      <c r="F42" s="109"/>
      <c r="G42" s="107"/>
      <c r="H42" s="107"/>
    </row>
  </sheetData>
  <mergeCells count="160">
    <mergeCell ref="B3:B4"/>
    <mergeCell ref="C3:C4"/>
    <mergeCell ref="D3:D4"/>
    <mergeCell ref="E3:E4"/>
    <mergeCell ref="F3:F4"/>
    <mergeCell ref="G3:G4"/>
    <mergeCell ref="H3:H4"/>
    <mergeCell ref="B5:B6"/>
    <mergeCell ref="B7:B8"/>
    <mergeCell ref="B9:B10"/>
    <mergeCell ref="C5:C6"/>
    <mergeCell ref="D5:D6"/>
    <mergeCell ref="E5:E6"/>
    <mergeCell ref="F5:F6"/>
    <mergeCell ref="G5:G6"/>
    <mergeCell ref="H5:H6"/>
    <mergeCell ref="H9:H10"/>
    <mergeCell ref="C7:C8"/>
    <mergeCell ref="D7:D8"/>
    <mergeCell ref="E7:E8"/>
    <mergeCell ref="F7:F8"/>
    <mergeCell ref="G7:G8"/>
    <mergeCell ref="H7:H8"/>
    <mergeCell ref="C11:C12"/>
    <mergeCell ref="D11:D12"/>
    <mergeCell ref="E11:E12"/>
    <mergeCell ref="F11:F12"/>
    <mergeCell ref="G11:G12"/>
    <mergeCell ref="C9:C10"/>
    <mergeCell ref="D9:D10"/>
    <mergeCell ref="E9:E10"/>
    <mergeCell ref="F9:F10"/>
    <mergeCell ref="G9:G10"/>
    <mergeCell ref="G15:G16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H15:H16"/>
    <mergeCell ref="B17:B18"/>
    <mergeCell ref="C17:C18"/>
    <mergeCell ref="D17:D18"/>
    <mergeCell ref="E17:E18"/>
    <mergeCell ref="F17:F18"/>
    <mergeCell ref="G17:G18"/>
    <mergeCell ref="H17:H18"/>
    <mergeCell ref="B15:B16"/>
    <mergeCell ref="C15:C16"/>
    <mergeCell ref="A3:A4"/>
    <mergeCell ref="A5:A6"/>
    <mergeCell ref="A7:A8"/>
    <mergeCell ref="A9:A10"/>
    <mergeCell ref="A11:A12"/>
    <mergeCell ref="A13:A14"/>
    <mergeCell ref="G21:G22"/>
    <mergeCell ref="A15:A16"/>
    <mergeCell ref="A17:A18"/>
    <mergeCell ref="B19:B20"/>
    <mergeCell ref="C19:C20"/>
    <mergeCell ref="D19:D20"/>
    <mergeCell ref="E19:E20"/>
    <mergeCell ref="D15:D16"/>
    <mergeCell ref="E15:E16"/>
    <mergeCell ref="F15:F16"/>
    <mergeCell ref="G23:G24"/>
    <mergeCell ref="H23:H24"/>
    <mergeCell ref="F19:F20"/>
    <mergeCell ref="G19:G20"/>
    <mergeCell ref="H19:H20"/>
    <mergeCell ref="B21:B22"/>
    <mergeCell ref="C21:C22"/>
    <mergeCell ref="D21:D22"/>
    <mergeCell ref="E21:E22"/>
    <mergeCell ref="F21:F22"/>
    <mergeCell ref="D25:D26"/>
    <mergeCell ref="E25:E26"/>
    <mergeCell ref="F25:F26"/>
    <mergeCell ref="G25:G26"/>
    <mergeCell ref="H21:H22"/>
    <mergeCell ref="B23:B24"/>
    <mergeCell ref="C23:C24"/>
    <mergeCell ref="D23:D24"/>
    <mergeCell ref="E23:E24"/>
    <mergeCell ref="F23:F24"/>
    <mergeCell ref="H25:H26"/>
    <mergeCell ref="B27:B28"/>
    <mergeCell ref="C27:C28"/>
    <mergeCell ref="D27:D28"/>
    <mergeCell ref="E27:E28"/>
    <mergeCell ref="F27:F28"/>
    <mergeCell ref="G27:G28"/>
    <mergeCell ref="H27:H28"/>
    <mergeCell ref="B25:B26"/>
    <mergeCell ref="C25:C26"/>
    <mergeCell ref="H31:H32"/>
    <mergeCell ref="B29:B30"/>
    <mergeCell ref="C29:C30"/>
    <mergeCell ref="D29:D30"/>
    <mergeCell ref="E29:E30"/>
    <mergeCell ref="F29:F30"/>
    <mergeCell ref="G29:G30"/>
    <mergeCell ref="E33:E34"/>
    <mergeCell ref="F33:F34"/>
    <mergeCell ref="G33:G34"/>
    <mergeCell ref="H29:H30"/>
    <mergeCell ref="B31:B32"/>
    <mergeCell ref="C31:C32"/>
    <mergeCell ref="D31:D32"/>
    <mergeCell ref="E31:E32"/>
    <mergeCell ref="F31:F32"/>
    <mergeCell ref="G31:G32"/>
    <mergeCell ref="H33:H34"/>
    <mergeCell ref="B35:B36"/>
    <mergeCell ref="C35:C36"/>
    <mergeCell ref="D35:D36"/>
    <mergeCell ref="E35:E36"/>
    <mergeCell ref="F35:F36"/>
    <mergeCell ref="G35:G36"/>
    <mergeCell ref="H35:H36"/>
    <mergeCell ref="B33:B34"/>
    <mergeCell ref="C33:C34"/>
    <mergeCell ref="H39:H40"/>
    <mergeCell ref="B37:B38"/>
    <mergeCell ref="C37:C38"/>
    <mergeCell ref="D37:D38"/>
    <mergeCell ref="E37:E38"/>
    <mergeCell ref="F37:F38"/>
    <mergeCell ref="G37:G38"/>
    <mergeCell ref="E41:E42"/>
    <mergeCell ref="F41:F42"/>
    <mergeCell ref="G41:G42"/>
    <mergeCell ref="H37:H38"/>
    <mergeCell ref="B39:B40"/>
    <mergeCell ref="C39:C40"/>
    <mergeCell ref="D39:D40"/>
    <mergeCell ref="E39:E40"/>
    <mergeCell ref="F39:F40"/>
    <mergeCell ref="G39:G40"/>
    <mergeCell ref="A29:A30"/>
    <mergeCell ref="A31:A32"/>
    <mergeCell ref="A33:A34"/>
    <mergeCell ref="B41:B42"/>
    <mergeCell ref="C41:C42"/>
    <mergeCell ref="D41:D42"/>
    <mergeCell ref="D33:D34"/>
    <mergeCell ref="A35:A36"/>
    <mergeCell ref="A37:A38"/>
    <mergeCell ref="A39:A40"/>
    <mergeCell ref="A41:A42"/>
    <mergeCell ref="H41:H42"/>
    <mergeCell ref="A19:A20"/>
    <mergeCell ref="A21:A22"/>
    <mergeCell ref="A23:A24"/>
    <mergeCell ref="A25:A26"/>
    <mergeCell ref="A27:A28"/>
  </mergeCells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Sah RES</vt:lpstr>
      <vt:lpstr>SDG</vt:lpstr>
    </vt:vector>
  </TitlesOfParts>
  <Manager/>
  <Company>Ruzgar Danismanlik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Cagla Balci Eris</dc:creator>
  <cp:keywords/>
  <dc:description/>
  <cp:lastModifiedBy>Microsoft Office User</cp:lastModifiedBy>
  <cp:lastPrinted>2012-10-12T14:47:03Z</cp:lastPrinted>
  <dcterms:created xsi:type="dcterms:W3CDTF">2010-11-11T14:08:33Z</dcterms:created>
  <dcterms:modified xsi:type="dcterms:W3CDTF">2022-12-06T08:29:11Z</dcterms:modified>
  <cp:category/>
</cp:coreProperties>
</file>