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caglabalcieris/Desktop/Genel_09072025/Dogan Enerji/Sah RES/Verifikasyon/6.verifikasyon/2025-6.Verifikasyon 2/"/>
    </mc:Choice>
  </mc:AlternateContent>
  <xr:revisionPtr revIDLastSave="0" documentId="13_ncr:1_{93FBF94B-AE21-BA44-BE7E-0833A9358BD8}" xr6:coauthVersionLast="47" xr6:coauthVersionMax="47" xr10:uidLastSave="{00000000-0000-0000-0000-000000000000}"/>
  <bookViews>
    <workbookView xWindow="14000" yWindow="660" windowWidth="21600" windowHeight="12640" xr2:uid="{00000000-000D-0000-FFFF-FFFF00000000}"/>
  </bookViews>
  <sheets>
    <sheet name="Sah RES" sheetId="1" r:id="rId1"/>
    <sheet name="OSF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J11" i="1"/>
  <c r="J10" i="1"/>
  <c r="F12" i="1"/>
  <c r="F11" i="1"/>
  <c r="F10" i="1"/>
  <c r="D12" i="1"/>
  <c r="D11" i="1"/>
  <c r="D10" i="1"/>
  <c r="C21" i="2" l="1"/>
  <c r="B21" i="2"/>
  <c r="C20" i="2"/>
  <c r="B20" i="2"/>
  <c r="C19" i="2"/>
  <c r="B19" i="2"/>
  <c r="C18" i="2"/>
  <c r="B18" i="2"/>
  <c r="C17" i="2"/>
  <c r="B17" i="2"/>
  <c r="B16" i="2"/>
  <c r="C16" i="2"/>
  <c r="C15" i="2"/>
  <c r="B15" i="2"/>
  <c r="C14" i="2"/>
  <c r="B14" i="2"/>
  <c r="C13" i="2"/>
  <c r="B13" i="2"/>
  <c r="C12" i="2"/>
  <c r="B12" i="2"/>
  <c r="C11" i="2"/>
  <c r="B11" i="2"/>
  <c r="C10" i="2" l="1"/>
  <c r="J27" i="1" s="1"/>
  <c r="B10" i="2"/>
  <c r="I27" i="1" s="1"/>
  <c r="C9" i="2"/>
  <c r="B9" i="2"/>
  <c r="I26" i="1"/>
  <c r="C8" i="2"/>
  <c r="J25" i="1" s="1"/>
  <c r="B8" i="2"/>
  <c r="I20" i="1"/>
  <c r="J20" i="1"/>
  <c r="I21" i="1"/>
  <c r="J21" i="1"/>
  <c r="I22" i="1"/>
  <c r="J22" i="1"/>
  <c r="I23" i="1"/>
  <c r="J23" i="1"/>
  <c r="I24" i="1"/>
  <c r="J24" i="1"/>
  <c r="I25" i="1"/>
  <c r="J26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C7" i="2"/>
  <c r="B7" i="2"/>
  <c r="C6" i="2"/>
  <c r="B6" i="2"/>
  <c r="C5" i="2"/>
  <c r="B5" i="2"/>
  <c r="C4" i="2"/>
  <c r="B4" i="2"/>
  <c r="C3" i="2"/>
  <c r="B3" i="2"/>
  <c r="C2" i="2"/>
  <c r="B2" i="2"/>
  <c r="L33" i="1" l="1"/>
  <c r="L34" i="1"/>
  <c r="L35" i="1"/>
  <c r="L36" i="1"/>
  <c r="L37" i="1"/>
  <c r="J38" i="1"/>
  <c r="L38" i="1" s="1"/>
  <c r="K35" i="1"/>
  <c r="I38" i="1"/>
  <c r="K38" i="1" s="1"/>
  <c r="J19" i="1"/>
  <c r="L19" i="1" s="1"/>
  <c r="I1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K37" i="1"/>
  <c r="L31" i="1"/>
  <c r="K36" i="1"/>
  <c r="K34" i="1" l="1"/>
  <c r="L32" i="1"/>
  <c r="K33" i="1"/>
  <c r="K31" i="1"/>
  <c r="K32" i="1"/>
  <c r="L20" i="1"/>
  <c r="L21" i="1"/>
  <c r="L22" i="1"/>
  <c r="L23" i="1"/>
  <c r="L24" i="1"/>
  <c r="L25" i="1"/>
  <c r="L26" i="1"/>
  <c r="L27" i="1"/>
  <c r="L28" i="1"/>
  <c r="L29" i="1"/>
  <c r="L30" i="1"/>
  <c r="K20" i="1"/>
  <c r="K21" i="1"/>
  <c r="K22" i="1"/>
  <c r="K23" i="1"/>
  <c r="K24" i="1"/>
  <c r="K25" i="1"/>
  <c r="K26" i="1"/>
  <c r="K27" i="1"/>
  <c r="K28" i="1"/>
  <c r="K29" i="1"/>
  <c r="K30" i="1"/>
  <c r="D79" i="1" l="1"/>
  <c r="E79" i="1"/>
  <c r="D78" i="1"/>
  <c r="D81" i="1" s="1"/>
  <c r="E78" i="1"/>
  <c r="E81" i="1" s="1"/>
  <c r="D41" i="1"/>
  <c r="C41" i="1"/>
  <c r="D40" i="1"/>
  <c r="E30" i="1"/>
  <c r="G30" i="1" s="1"/>
  <c r="C69" i="1" s="1"/>
  <c r="E31" i="1"/>
  <c r="G31" i="1" s="1"/>
  <c r="C70" i="1" s="1"/>
  <c r="E32" i="1"/>
  <c r="G32" i="1" s="1"/>
  <c r="C71" i="1" s="1"/>
  <c r="E33" i="1"/>
  <c r="G33" i="1" s="1"/>
  <c r="C72" i="1" s="1"/>
  <c r="E34" i="1"/>
  <c r="G34" i="1" s="1"/>
  <c r="C73" i="1" s="1"/>
  <c r="E35" i="1"/>
  <c r="G35" i="1" s="1"/>
  <c r="C74" i="1" s="1"/>
  <c r="E36" i="1"/>
  <c r="G36" i="1" s="1"/>
  <c r="C75" i="1" s="1"/>
  <c r="E37" i="1"/>
  <c r="G37" i="1" s="1"/>
  <c r="C76" i="1" s="1"/>
  <c r="F76" i="1" s="1"/>
  <c r="E38" i="1"/>
  <c r="G38" i="1" s="1"/>
  <c r="C77" i="1" s="1"/>
  <c r="F77" i="1" s="1"/>
  <c r="C40" i="1"/>
  <c r="L3" i="1"/>
  <c r="K8" i="1" s="1"/>
  <c r="L8" i="1" s="1"/>
  <c r="E29" i="1"/>
  <c r="E23" i="1"/>
  <c r="G23" i="1" s="1"/>
  <c r="C62" i="1" s="1"/>
  <c r="F62" i="1" s="1"/>
  <c r="K7" i="1" l="1"/>
  <c r="D43" i="1"/>
  <c r="C43" i="1"/>
  <c r="G29" i="1"/>
  <c r="E19" i="1"/>
  <c r="E20" i="1"/>
  <c r="E25" i="1"/>
  <c r="E24" i="1"/>
  <c r="E21" i="1"/>
  <c r="E27" i="1"/>
  <c r="K19" i="1"/>
  <c r="F75" i="1"/>
  <c r="E28" i="1"/>
  <c r="E22" i="1"/>
  <c r="E26" i="1"/>
  <c r="F74" i="1" l="1"/>
  <c r="C68" i="1"/>
  <c r="F68" i="1" s="1"/>
  <c r="G27" i="1"/>
  <c r="G20" i="1"/>
  <c r="G26" i="1"/>
  <c r="G22" i="1"/>
  <c r="G21" i="1"/>
  <c r="G19" i="1"/>
  <c r="E40" i="1"/>
  <c r="G28" i="1"/>
  <c r="C67" i="1" s="1"/>
  <c r="C79" i="1" s="1"/>
  <c r="E41" i="1"/>
  <c r="G41" i="1" s="1"/>
  <c r="H41" i="1" s="1"/>
  <c r="G24" i="1"/>
  <c r="G25" i="1"/>
  <c r="F72" i="1" l="1"/>
  <c r="C66" i="1"/>
  <c r="F66" i="1" s="1"/>
  <c r="C58" i="1"/>
  <c r="C60" i="1"/>
  <c r="F60" i="1" s="1"/>
  <c r="F67" i="1"/>
  <c r="C61" i="1"/>
  <c r="F61" i="1" s="1"/>
  <c r="F70" i="1"/>
  <c r="C64" i="1"/>
  <c r="F64" i="1" s="1"/>
  <c r="F71" i="1"/>
  <c r="C65" i="1"/>
  <c r="F65" i="1" s="1"/>
  <c r="C59" i="1"/>
  <c r="F59" i="1" s="1"/>
  <c r="F69" i="1"/>
  <c r="C63" i="1"/>
  <c r="F63" i="1" s="1"/>
  <c r="E43" i="1"/>
  <c r="G43" i="1" s="1"/>
  <c r="G40" i="1"/>
  <c r="H40" i="1" s="1"/>
  <c r="H43" i="1" s="1"/>
  <c r="J13" i="1" s="1"/>
  <c r="F73" i="1"/>
  <c r="F79" i="1" l="1"/>
  <c r="G79" i="1" s="1"/>
  <c r="C78" i="1"/>
  <c r="C81" i="1" s="1"/>
  <c r="F58" i="1"/>
  <c r="J14" i="1"/>
  <c r="F78" i="1" l="1"/>
  <c r="F81" i="1" l="1"/>
  <c r="G78" i="1"/>
  <c r="G81" i="1" s="1"/>
</calcChain>
</file>

<file path=xl/sharedStrings.xml><?xml version="1.0" encoding="utf-8"?>
<sst xmlns="http://schemas.openxmlformats.org/spreadsheetml/2006/main" count="125" uniqueCount="75">
  <si>
    <t>Month</t>
  </si>
  <si>
    <t>(A)
Electricity
supplied to
the grid
[kWh]</t>
  </si>
  <si>
    <t>(B)
Electricity
consumption
from the grid
[kWh]</t>
  </si>
  <si>
    <t>(C) = (A) - (B)
EG (ID 8)
Net electricity
supplied to the grid
[kWh]</t>
  </si>
  <si>
    <t>GOLD STANDARD - VOLUNTARY EMISSION REDUCTIONS</t>
  </si>
  <si>
    <t>Emission Reduction Calucalations</t>
  </si>
  <si>
    <t>Project Name:</t>
  </si>
  <si>
    <t>Gold Satandard Project ID:</t>
  </si>
  <si>
    <t>Monitoring Period:</t>
  </si>
  <si>
    <t>Project Emissions (PE)</t>
  </si>
  <si>
    <t>Baseline Emissions (BE)</t>
  </si>
  <si>
    <t>Leakege (L)</t>
  </si>
  <si>
    <t>Emission Reductions (ER)</t>
  </si>
  <si>
    <t xml:space="preserve">Project emission: </t>
  </si>
  <si>
    <t xml:space="preserve">Baseline
emission:
</t>
  </si>
  <si>
    <t xml:space="preserve">Leakge: </t>
  </si>
  <si>
    <t>[t CO2-eq]</t>
  </si>
  <si>
    <t>(ER=BE-PE-L)</t>
  </si>
  <si>
    <t xml:space="preserve">Emission Reductions: </t>
  </si>
  <si>
    <t>t CO2-eq</t>
  </si>
  <si>
    <t>Rounded Value</t>
  </si>
  <si>
    <r>
      <t>EF  [tCO</t>
    </r>
    <r>
      <rPr>
        <b/>
        <vertAlign val="subscript"/>
        <sz val="12"/>
        <rFont val="Times New Roman"/>
        <family val="1"/>
        <charset val="162"/>
      </rPr>
      <t>2</t>
    </r>
    <r>
      <rPr>
        <b/>
        <sz val="12"/>
        <rFont val="Times New Roman"/>
        <family val="1"/>
        <charset val="162"/>
      </rPr>
      <t>/MWh]</t>
    </r>
  </si>
  <si>
    <r>
      <t>Baseline
emission:
BR = EG * EF)
[t CO</t>
    </r>
    <r>
      <rPr>
        <b/>
        <vertAlign val="subscript"/>
        <sz val="12"/>
        <rFont val="Times New Roman"/>
        <family val="1"/>
        <charset val="162"/>
      </rPr>
      <t>2</t>
    </r>
    <r>
      <rPr>
        <b/>
        <sz val="12"/>
        <rFont val="Times New Roman"/>
        <family val="1"/>
        <charset val="162"/>
      </rPr>
      <t>-eq]</t>
    </r>
  </si>
  <si>
    <t>Table of values according to EPIAS (values in kWh)</t>
  </si>
  <si>
    <t>For A-OSOS (teias protocol) Electricity Supplied Amount (kWh)</t>
  </si>
  <si>
    <t>For B-OSOS Electricity Consumption Amount (kWh)</t>
  </si>
  <si>
    <t>(B) için  OSOS (Tutanak) ile EPIAS farkı</t>
  </si>
  <si>
    <t>(A) için OSOS (tutanak) ile  EPIAS farkı</t>
  </si>
  <si>
    <t>İletim Hattı Kaybı (Transmission Lost)*</t>
  </si>
  <si>
    <t>No leakage is to be accounted by the Project. This is in line with the registered PDD and applicable methodology ACM0002 Version 18.1.</t>
  </si>
  <si>
    <t xml:space="preserve">Project emissions are negligable. In accordance to the registered PDD and applicable methodology ACM0002 Version 18.1., no project emissions are to be accounted by the Project. </t>
  </si>
  <si>
    <t xml:space="preserve">Electricity Generation </t>
  </si>
  <si>
    <t>one year</t>
  </si>
  <si>
    <t>Monitoring period days</t>
  </si>
  <si>
    <t>Expectation value for Emission Reduction in PDD</t>
  </si>
  <si>
    <t>Actual value for Emission Reduction</t>
  </si>
  <si>
    <t>The diffrence comparison for Emission Reduction</t>
  </si>
  <si>
    <t>Actual value for Electricity Generation</t>
  </si>
  <si>
    <t>The diffrence comparison for Electricity Generation</t>
  </si>
  <si>
    <t>Sah Wind Power Plant</t>
  </si>
  <si>
    <t>GS905</t>
  </si>
  <si>
    <t>Expectation value for Electricity Generation in PDD</t>
  </si>
  <si>
    <t>from 01/04/2024 to 14/11/2025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</si>
  <si>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</si>
  <si>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</si>
  <si>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</si>
  <si>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</si>
  <si>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</si>
  <si>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</si>
  <si>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</si>
  <si>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</si>
  <si>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</si>
  <si>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</si>
  <si>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</si>
  <si>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</si>
  <si>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</si>
  <si>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</si>
  <si>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</si>
  <si>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</si>
  <si>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</si>
  <si>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</si>
  <si>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</si>
  <si>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Sum (01/04/2024 - 31/12/2024)</t>
  </si>
  <si>
    <t>Sum (01/01/2025- 14/11/2025)</t>
  </si>
  <si>
    <t>Total Sum  (01/04/2024- 14/11/2025)</t>
  </si>
  <si>
    <t xml:space="preserve">Sixth Monitoring Period </t>
  </si>
  <si>
    <t>Vintage 2024 Emission Reductions</t>
  </si>
  <si>
    <t>Vintage 2025 Emission Reductions</t>
  </si>
  <si>
    <t>1/11/2025-14/11/2025</t>
  </si>
  <si>
    <t>https://dosyatransfer.galatawind.com.tr/pub/download?link=rNpWzOENXO7yUkWHS0VkACuvoZHqY2zL&amp;tenant=galatawind</t>
  </si>
  <si>
    <t>1-14 Novermber 2025</t>
  </si>
  <si>
    <t>OSF</t>
  </si>
  <si>
    <t>Veriş</t>
  </si>
  <si>
    <t>Çekiş</t>
  </si>
  <si>
    <t>Total Emission Reductions for the Sixth Monitoring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</si>
</sst>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"/>
    <numFmt numFmtId="165" formatCode="#,##0.0000"/>
  </numFmts>
  <fonts count="3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vertAlign val="subscript"/>
      <sz val="12"/>
      <name val="Times New Roman"/>
      <family val="1"/>
      <charset val="162"/>
    </font>
    <font>
      <sz val="12"/>
      <name val="Times New Roman"/>
      <family val="1"/>
    </font>
    <font>
      <sz val="12"/>
      <color indexed="8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2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6" borderId="6" applyNumberFormat="0" applyAlignment="0" applyProtection="0"/>
    <xf numFmtId="0" fontId="12" fillId="7" borderId="5" applyNumberFormat="0" applyAlignment="0" applyProtection="0"/>
    <xf numFmtId="0" fontId="1" fillId="0" borderId="0"/>
    <xf numFmtId="0" fontId="2" fillId="0" borderId="0"/>
    <xf numFmtId="0" fontId="3" fillId="17" borderId="7" applyNumberFormat="0" applyFon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43" fontId="35" fillId="0" borderId="0" applyFont="0" applyFill="0" applyBorder="0" applyAlignment="0" applyProtection="0"/>
  </cellStyleXfs>
  <cellXfs count="99">
    <xf numFmtId="0" fontId="0" fillId="0" borderId="0" xfId="0"/>
    <xf numFmtId="0" fontId="27" fillId="18" borderId="9" xfId="0" applyFont="1" applyFill="1" applyBorder="1"/>
    <xf numFmtId="0" fontId="27" fillId="18" borderId="10" xfId="0" applyFont="1" applyFill="1" applyBorder="1"/>
    <xf numFmtId="0" fontId="27" fillId="18" borderId="11" xfId="0" applyFont="1" applyFill="1" applyBorder="1"/>
    <xf numFmtId="0" fontId="27" fillId="0" borderId="0" xfId="0" applyFont="1"/>
    <xf numFmtId="0" fontId="27" fillId="18" borderId="12" xfId="0" applyFont="1" applyFill="1" applyBorder="1"/>
    <xf numFmtId="0" fontId="15" fillId="18" borderId="0" xfId="29" applyFont="1" applyFill="1"/>
    <xf numFmtId="0" fontId="27" fillId="18" borderId="13" xfId="0" applyFont="1" applyFill="1" applyBorder="1"/>
    <xf numFmtId="0" fontId="16" fillId="18" borderId="0" xfId="0" applyFont="1" applyFill="1"/>
    <xf numFmtId="0" fontId="16" fillId="18" borderId="9" xfId="0" applyFont="1" applyFill="1" applyBorder="1"/>
    <xf numFmtId="0" fontId="16" fillId="18" borderId="11" xfId="0" applyFont="1" applyFill="1" applyBorder="1"/>
    <xf numFmtId="0" fontId="16" fillId="18" borderId="14" xfId="0" applyFont="1" applyFill="1" applyBorder="1"/>
    <xf numFmtId="0" fontId="16" fillId="18" borderId="15" xfId="0" applyFont="1" applyFill="1" applyBorder="1"/>
    <xf numFmtId="0" fontId="16" fillId="18" borderId="16" xfId="0" applyFont="1" applyFill="1" applyBorder="1"/>
    <xf numFmtId="0" fontId="16" fillId="18" borderId="12" xfId="0" applyFont="1" applyFill="1" applyBorder="1"/>
    <xf numFmtId="0" fontId="16" fillId="18" borderId="13" xfId="0" applyFont="1" applyFill="1" applyBorder="1"/>
    <xf numFmtId="0" fontId="16" fillId="18" borderId="17" xfId="0" applyFont="1" applyFill="1" applyBorder="1"/>
    <xf numFmtId="0" fontId="21" fillId="18" borderId="0" xfId="28" applyFont="1" applyFill="1" applyAlignment="1">
      <alignment horizontal="left"/>
    </xf>
    <xf numFmtId="0" fontId="22" fillId="18" borderId="0" xfId="28" applyFont="1" applyFill="1"/>
    <xf numFmtId="0" fontId="17" fillId="19" borderId="18" xfId="29" applyFont="1" applyFill="1" applyBorder="1" applyAlignment="1">
      <alignment horizontal="center" vertical="center"/>
    </xf>
    <xf numFmtId="0" fontId="17" fillId="19" borderId="19" xfId="29" applyFont="1" applyFill="1" applyBorder="1" applyAlignment="1">
      <alignment horizontal="center" vertical="center" wrapText="1"/>
    </xf>
    <xf numFmtId="0" fontId="17" fillId="19" borderId="20" xfId="29" applyFont="1" applyFill="1" applyBorder="1" applyAlignment="1">
      <alignment horizontal="center" vertical="center" wrapText="1"/>
    </xf>
    <xf numFmtId="49" fontId="24" fillId="18" borderId="17" xfId="28" applyNumberFormat="1" applyFont="1" applyFill="1" applyBorder="1" applyAlignment="1">
      <alignment horizontal="center"/>
    </xf>
    <xf numFmtId="3" fontId="25" fillId="18" borderId="21" xfId="29" applyNumberFormat="1" applyFont="1" applyFill="1" applyBorder="1" applyAlignment="1">
      <alignment horizontal="right"/>
    </xf>
    <xf numFmtId="49" fontId="17" fillId="18" borderId="22" xfId="28" applyNumberFormat="1" applyFont="1" applyFill="1" applyBorder="1" applyAlignment="1">
      <alignment horizontal="center" wrapText="1"/>
    </xf>
    <xf numFmtId="3" fontId="18" fillId="18" borderId="23" xfId="0" applyNumberFormat="1" applyFont="1" applyFill="1" applyBorder="1"/>
    <xf numFmtId="3" fontId="18" fillId="18" borderId="24" xfId="0" applyNumberFormat="1" applyFont="1" applyFill="1" applyBorder="1"/>
    <xf numFmtId="0" fontId="17" fillId="19" borderId="25" xfId="29" applyFont="1" applyFill="1" applyBorder="1" applyAlignment="1">
      <alignment horizontal="center" vertical="center" wrapText="1"/>
    </xf>
    <xf numFmtId="0" fontId="19" fillId="19" borderId="26" xfId="0" applyFont="1" applyFill="1" applyBorder="1" applyAlignment="1">
      <alignment horizontal="center"/>
    </xf>
    <xf numFmtId="164" fontId="17" fillId="19" borderId="26" xfId="29" applyNumberFormat="1" applyFont="1" applyFill="1" applyBorder="1" applyAlignment="1">
      <alignment horizontal="center"/>
    </xf>
    <xf numFmtId="4" fontId="17" fillId="18" borderId="0" xfId="29" applyNumberFormat="1" applyFont="1" applyFill="1" applyAlignment="1">
      <alignment horizontal="right"/>
    </xf>
    <xf numFmtId="3" fontId="17" fillId="19" borderId="26" xfId="28" applyNumberFormat="1" applyFont="1" applyFill="1" applyBorder="1" applyAlignment="1">
      <alignment horizontal="center"/>
    </xf>
    <xf numFmtId="3" fontId="17" fillId="19" borderId="26" xfId="29" applyNumberFormat="1" applyFont="1" applyFill="1" applyBorder="1" applyAlignment="1">
      <alignment horizontal="center"/>
    </xf>
    <xf numFmtId="0" fontId="16" fillId="18" borderId="28" xfId="0" applyFont="1" applyFill="1" applyBorder="1"/>
    <xf numFmtId="0" fontId="16" fillId="0" borderId="0" xfId="0" applyFont="1"/>
    <xf numFmtId="3" fontId="29" fillId="18" borderId="29" xfId="0" applyNumberFormat="1" applyFont="1" applyFill="1" applyBorder="1" applyAlignment="1">
      <alignment horizontal="center"/>
    </xf>
    <xf numFmtId="0" fontId="16" fillId="18" borderId="30" xfId="0" applyFont="1" applyFill="1" applyBorder="1"/>
    <xf numFmtId="0" fontId="17" fillId="18" borderId="31" xfId="29" applyFont="1" applyFill="1" applyBorder="1" applyAlignment="1">
      <alignment horizontal="center" vertical="center" wrapText="1"/>
    </xf>
    <xf numFmtId="3" fontId="29" fillId="18" borderId="32" xfId="0" applyNumberFormat="1" applyFont="1" applyFill="1" applyBorder="1" applyAlignment="1">
      <alignment horizontal="center"/>
    </xf>
    <xf numFmtId="0" fontId="17" fillId="21" borderId="19" xfId="29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17" fillId="22" borderId="19" xfId="29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3" fontId="30" fillId="0" borderId="0" xfId="0" applyNumberFormat="1" applyFont="1"/>
    <xf numFmtId="0" fontId="30" fillId="0" borderId="0" xfId="0" applyFont="1"/>
    <xf numFmtId="165" fontId="24" fillId="18" borderId="21" xfId="29" applyNumberFormat="1" applyFont="1" applyFill="1" applyBorder="1" applyAlignment="1">
      <alignment horizontal="right"/>
    </xf>
    <xf numFmtId="3" fontId="24" fillId="23" borderId="21" xfId="28" applyNumberFormat="1" applyFont="1" applyFill="1" applyBorder="1" applyAlignment="1">
      <alignment horizontal="right"/>
    </xf>
    <xf numFmtId="0" fontId="32" fillId="0" borderId="0" xfId="0" applyFont="1"/>
    <xf numFmtId="0" fontId="33" fillId="0" borderId="0" xfId="0" applyFont="1"/>
    <xf numFmtId="10" fontId="32" fillId="0" borderId="0" xfId="0" applyNumberFormat="1" applyFont="1"/>
    <xf numFmtId="3" fontId="32" fillId="0" borderId="0" xfId="0" applyNumberFormat="1" applyFont="1"/>
    <xf numFmtId="14" fontId="27" fillId="0" borderId="0" xfId="0" applyNumberFormat="1" applyFont="1"/>
    <xf numFmtId="3" fontId="34" fillId="0" borderId="0" xfId="0" applyNumberFormat="1" applyFont="1"/>
    <xf numFmtId="3" fontId="27" fillId="0" borderId="0" xfId="0" applyNumberFormat="1" applyFont="1"/>
    <xf numFmtId="164" fontId="32" fillId="0" borderId="0" xfId="0" applyNumberFormat="1" applyFont="1"/>
    <xf numFmtId="164" fontId="34" fillId="0" borderId="0" xfId="0" applyNumberFormat="1" applyFont="1"/>
    <xf numFmtId="0" fontId="27" fillId="18" borderId="0" xfId="0" applyFont="1" applyFill="1"/>
    <xf numFmtId="49" fontId="28" fillId="18" borderId="22" xfId="28" applyNumberFormat="1" applyFont="1" applyFill="1" applyBorder="1" applyAlignment="1">
      <alignment horizontal="center" wrapText="1"/>
    </xf>
    <xf numFmtId="0" fontId="27" fillId="18" borderId="32" xfId="0" applyFont="1" applyFill="1" applyBorder="1"/>
    <xf numFmtId="0" fontId="27" fillId="0" borderId="21" xfId="0" applyFont="1" applyBorder="1"/>
    <xf numFmtId="3" fontId="18" fillId="18" borderId="34" xfId="0" applyNumberFormat="1" applyFont="1" applyFill="1" applyBorder="1"/>
    <xf numFmtId="165" fontId="24" fillId="18" borderId="25" xfId="29" applyNumberFormat="1" applyFont="1" applyFill="1" applyBorder="1" applyAlignment="1">
      <alignment horizontal="right"/>
    </xf>
    <xf numFmtId="3" fontId="18" fillId="18" borderId="21" xfId="0" applyNumberFormat="1" applyFont="1" applyFill="1" applyBorder="1"/>
    <xf numFmtId="3" fontId="17" fillId="18" borderId="27" xfId="29" applyNumberFormat="1" applyFont="1" applyFill="1" applyBorder="1" applyAlignment="1">
      <alignment horizontal="right"/>
    </xf>
    <xf numFmtId="3" fontId="17" fillId="18" borderId="21" xfId="29" applyNumberFormat="1" applyFont="1" applyFill="1" applyBorder="1" applyAlignment="1">
      <alignment horizontal="right"/>
    </xf>
    <xf numFmtId="3" fontId="15" fillId="18" borderId="35" xfId="28" applyNumberFormat="1" applyFont="1" applyFill="1" applyBorder="1" applyAlignment="1">
      <alignment horizontal="right"/>
    </xf>
    <xf numFmtId="43" fontId="27" fillId="0" borderId="0" xfId="33" applyFont="1"/>
    <xf numFmtId="3" fontId="24" fillId="0" borderId="21" xfId="28" applyNumberFormat="1" applyFont="1" applyBorder="1" applyAlignment="1">
      <alignment horizontal="right"/>
    </xf>
    <xf numFmtId="49" fontId="24" fillId="18" borderId="17" xfId="28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3" fontId="31" fillId="18" borderId="9" xfId="0" applyNumberFormat="1" applyFont="1" applyFill="1" applyBorder="1" applyAlignment="1">
      <alignment horizontal="center"/>
    </xf>
    <xf numFmtId="3" fontId="31" fillId="18" borderId="33" xfId="0" applyNumberFormat="1" applyFont="1" applyFill="1" applyBorder="1" applyAlignment="1">
      <alignment horizontal="center"/>
    </xf>
    <xf numFmtId="0" fontId="17" fillId="19" borderId="36" xfId="29" applyFont="1" applyFill="1" applyBorder="1" applyAlignment="1">
      <alignment horizontal="center" vertical="center"/>
    </xf>
    <xf numFmtId="0" fontId="17" fillId="19" borderId="37" xfId="29" applyFont="1" applyFill="1" applyBorder="1" applyAlignment="1">
      <alignment horizontal="center" vertical="center"/>
    </xf>
    <xf numFmtId="49" fontId="26" fillId="20" borderId="33" xfId="28" applyNumberFormat="1" applyFont="1" applyFill="1" applyBorder="1" applyAlignment="1">
      <alignment horizontal="center"/>
    </xf>
    <xf numFmtId="49" fontId="26" fillId="20" borderId="28" xfId="28" applyNumberFormat="1" applyFont="1" applyFill="1" applyBorder="1" applyAlignment="1">
      <alignment horizontal="center"/>
    </xf>
    <xf numFmtId="49" fontId="26" fillId="20" borderId="30" xfId="28" applyNumberFormat="1" applyFont="1" applyFill="1" applyBorder="1" applyAlignment="1">
      <alignment horizontal="center"/>
    </xf>
    <xf numFmtId="0" fontId="16" fillId="18" borderId="33" xfId="0" applyFont="1" applyFill="1" applyBorder="1" applyAlignment="1">
      <alignment horizontal="left" wrapText="1"/>
    </xf>
    <xf numFmtId="0" fontId="16" fillId="18" borderId="28" xfId="0" applyFont="1" applyFill="1" applyBorder="1" applyAlignment="1">
      <alignment horizontal="left" wrapText="1"/>
    </xf>
    <xf numFmtId="0" fontId="16" fillId="18" borderId="30" xfId="0" applyFont="1" applyFill="1" applyBorder="1" applyAlignment="1">
      <alignment horizontal="left" wrapText="1"/>
    </xf>
    <xf numFmtId="0" fontId="20" fillId="20" borderId="0" xfId="0" applyFont="1" applyFill="1" applyAlignment="1">
      <alignment horizontal="center"/>
    </xf>
    <xf numFmtId="0" fontId="25" fillId="18" borderId="33" xfId="0" applyFont="1" applyFill="1" applyBorder="1" applyAlignment="1">
      <alignment horizontal="left" wrapText="1"/>
    </xf>
    <xf numFmtId="0" fontId="25" fillId="18" borderId="28" xfId="0" applyFont="1" applyFill="1" applyBorder="1" applyAlignment="1">
      <alignment horizontal="left" wrapText="1"/>
    </xf>
    <xf numFmtId="0" fontId="25" fillId="18" borderId="30" xfId="0" applyFont="1" applyFill="1" applyBorder="1" applyAlignment="1">
      <alignment horizontal="left" wrapText="1"/>
    </xf>
    <xf numFmtId="0" fontId="20" fillId="20" borderId="33" xfId="0" applyFont="1" applyFill="1" applyBorder="1" applyAlignment="1">
      <alignment horizontal="center"/>
    </xf>
    <xf numFmtId="0" fontId="20" fillId="20" borderId="28" xfId="0" applyFont="1" applyFill="1" applyBorder="1" applyAlignment="1">
      <alignment horizontal="center"/>
    </xf>
    <xf numFmtId="0" fontId="20" fillId="20" borderId="30" xfId="0" applyFont="1" applyFill="1" applyBorder="1" applyAlignment="1">
      <alignment horizontal="center"/>
    </xf>
    <xf numFmtId="0" fontId="16" fillId="18" borderId="9" xfId="0" applyFont="1" applyFill="1" applyBorder="1" applyAlignment="1">
      <alignment horizontal="center"/>
    </xf>
    <xf numFmtId="0" fontId="16" fillId="18" borderId="10" xfId="0" applyFont="1" applyFill="1" applyBorder="1" applyAlignment="1">
      <alignment horizontal="center"/>
    </xf>
    <xf numFmtId="0" fontId="16" fillId="18" borderId="11" xfId="0" applyFont="1" applyFill="1" applyBorder="1" applyAlignment="1">
      <alignment horizontal="center"/>
    </xf>
    <xf numFmtId="0" fontId="16" fillId="18" borderId="12" xfId="0" applyFont="1" applyFill="1" applyBorder="1" applyAlignment="1">
      <alignment horizontal="center"/>
    </xf>
    <xf numFmtId="0" fontId="16" fillId="18" borderId="0" xfId="0" applyFont="1" applyFill="1" applyAlignment="1">
      <alignment horizontal="center"/>
    </xf>
    <xf numFmtId="0" fontId="16" fillId="18" borderId="13" xfId="0" applyFont="1" applyFill="1" applyBorder="1" applyAlignment="1">
      <alignment horizontal="center"/>
    </xf>
    <xf numFmtId="0" fontId="16" fillId="18" borderId="38" xfId="0" applyFont="1" applyFill="1" applyBorder="1" applyAlignment="1">
      <alignment horizontal="center"/>
    </xf>
    <xf numFmtId="0" fontId="16" fillId="18" borderId="39" xfId="0" applyFont="1" applyFill="1" applyBorder="1" applyAlignment="1">
      <alignment horizontal="center"/>
    </xf>
    <xf numFmtId="0" fontId="16" fillId="18" borderId="40" xfId="0" applyFont="1" applyFill="1" applyBorder="1" applyAlignment="1">
      <alignment horizontal="center"/>
    </xf>
    <xf numFmtId="0" fontId="16" fillId="18" borderId="38" xfId="0" applyFont="1" applyFill="1" applyBorder="1" applyAlignment="1">
      <alignment horizontal="left" wrapText="1"/>
    </xf>
    <xf numFmtId="0" fontId="16" fillId="18" borderId="39" xfId="0" applyFont="1" applyFill="1" applyBorder="1" applyAlignment="1">
      <alignment horizontal="left" wrapText="1"/>
    </xf>
  </cellXfs>
  <cellStyles count="34">
    <cellStyle name="%20 - Vurgu1" xfId="1" xr:uid="{00000000-0005-0000-0000-000000000000}"/>
    <cellStyle name="%20 - Vurgu2" xfId="2" xr:uid="{00000000-0005-0000-0000-000001000000}"/>
    <cellStyle name="%20 - Vurgu3" xfId="3" xr:uid="{00000000-0005-0000-0000-000002000000}"/>
    <cellStyle name="%20 - Vurgu4" xfId="4" xr:uid="{00000000-0005-0000-0000-000003000000}"/>
    <cellStyle name="%20 - Vurgu5" xfId="5" xr:uid="{00000000-0005-0000-0000-000004000000}"/>
    <cellStyle name="%20 - Vurgu6" xfId="6" xr:uid="{00000000-0005-0000-0000-000005000000}"/>
    <cellStyle name="%40 - Vurgu1" xfId="7" xr:uid="{00000000-0005-0000-0000-000006000000}"/>
    <cellStyle name="%40 - Vurgu2" xfId="8" xr:uid="{00000000-0005-0000-0000-000007000000}"/>
    <cellStyle name="%40 - Vurgu3" xfId="9" xr:uid="{00000000-0005-0000-0000-000008000000}"/>
    <cellStyle name="%40 - Vurgu4" xfId="10" xr:uid="{00000000-0005-0000-0000-000009000000}"/>
    <cellStyle name="%40 - Vurgu5" xfId="11" xr:uid="{00000000-0005-0000-0000-00000A000000}"/>
    <cellStyle name="%40 - Vurgu6" xfId="12" xr:uid="{00000000-0005-0000-0000-00000B000000}"/>
    <cellStyle name="%60 - Vurgu1" xfId="13" xr:uid="{00000000-0005-0000-0000-00000C000000}"/>
    <cellStyle name="%60 - Vurgu2" xfId="14" xr:uid="{00000000-0005-0000-0000-00000D000000}"/>
    <cellStyle name="%60 - Vurgu3" xfId="15" xr:uid="{00000000-0005-0000-0000-00000E000000}"/>
    <cellStyle name="%60 - Vurgu4" xfId="16" xr:uid="{00000000-0005-0000-0000-00000F000000}"/>
    <cellStyle name="%60 - Vurgu5" xfId="17" xr:uid="{00000000-0005-0000-0000-000010000000}"/>
    <cellStyle name="%60 - Vurgu6" xfId="18" xr:uid="{00000000-0005-0000-0000-000011000000}"/>
    <cellStyle name="Açıklama Metni" xfId="19" xr:uid="{00000000-0005-0000-0000-000012000000}"/>
    <cellStyle name="Ana Başlık" xfId="20" xr:uid="{00000000-0005-0000-0000-000013000000}"/>
    <cellStyle name="Bağlı Hücre" xfId="21" xr:uid="{00000000-0005-0000-0000-000014000000}"/>
    <cellStyle name="Başlık 1" xfId="22" xr:uid="{00000000-0005-0000-0000-000015000000}"/>
    <cellStyle name="Başlık 2" xfId="23" xr:uid="{00000000-0005-0000-0000-000016000000}"/>
    <cellStyle name="Başlık 3" xfId="24" xr:uid="{00000000-0005-0000-0000-000017000000}"/>
    <cellStyle name="Başlık 4" xfId="25" xr:uid="{00000000-0005-0000-0000-000018000000}"/>
    <cellStyle name="Çıkış" xfId="26" xr:uid="{00000000-0005-0000-0000-000019000000}"/>
    <cellStyle name="Comma" xfId="33" builtinId="3"/>
    <cellStyle name="Giriş" xfId="27" xr:uid="{00000000-0005-0000-0000-00001B000000}"/>
    <cellStyle name="Normal" xfId="0" builtinId="0"/>
    <cellStyle name="Normal 2" xfId="28" xr:uid="{00000000-0005-0000-0000-00001D000000}"/>
    <cellStyle name="Normal_Sheet1" xfId="29" xr:uid="{00000000-0005-0000-0000-00001E000000}"/>
    <cellStyle name="Not" xfId="30" xr:uid="{00000000-0005-0000-0000-00001F000000}"/>
    <cellStyle name="Toplam" xfId="31" xr:uid="{00000000-0005-0000-0000-000020000000}"/>
    <cellStyle name="Uyarı Metni" xfId="32" xr:uid="{00000000-0005-0000-0000-00002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1"/>
  <sheetViews>
    <sheetView tabSelected="1" topLeftCell="A36" zoomScaleNormal="77" workbookViewId="0">
      <selection activeCell="B77" sqref="B77"/>
    </sheetView>
  </sheetViews>
  <sheetFormatPr baseColWidth="10" defaultColWidth="13" defaultRowHeight="14" x14ac:dyDescent="0.15"/>
  <cols>
    <col min="1" max="1" width="4" style="4" customWidth="1"/>
    <col min="2" max="2" width="22.83203125" style="4" customWidth="1"/>
    <col min="3" max="3" width="26" style="4" customWidth="1"/>
    <col min="4" max="4" width="26.83203125" style="4" customWidth="1"/>
    <col min="5" max="5" width="24.6640625" style="4" customWidth="1"/>
    <col min="6" max="6" width="27" style="4" customWidth="1"/>
    <col min="7" max="7" width="28.33203125" style="4" customWidth="1"/>
    <col min="8" max="8" width="14.6640625" style="4" customWidth="1"/>
    <col min="9" max="9" width="50.6640625" style="40" bestFit="1" customWidth="1"/>
    <col min="10" max="10" width="17.83203125" style="40" customWidth="1"/>
    <col min="11" max="11" width="15" style="4" customWidth="1"/>
    <col min="12" max="12" width="15.1640625" style="4" customWidth="1"/>
    <col min="13" max="13" width="15.1640625" style="4" bestFit="1" customWidth="1"/>
    <col min="14" max="14" width="16.1640625" style="4" customWidth="1"/>
    <col min="15" max="16" width="13" style="4"/>
    <col min="17" max="17" width="19.5" style="4" bestFit="1" customWidth="1"/>
    <col min="18" max="16384" width="13" style="4"/>
  </cols>
  <sheetData>
    <row r="1" spans="1:17" x14ac:dyDescent="0.15">
      <c r="A1" s="1"/>
      <c r="B1" s="2"/>
      <c r="C1" s="2"/>
      <c r="D1" s="2"/>
      <c r="E1" s="2"/>
      <c r="F1" s="2"/>
      <c r="G1" s="2"/>
      <c r="H1" s="3"/>
      <c r="J1" s="4"/>
      <c r="K1" s="54"/>
      <c r="M1" s="52"/>
      <c r="N1" s="52"/>
    </row>
    <row r="2" spans="1:17" ht="17" thickBot="1" x14ac:dyDescent="0.25">
      <c r="A2" s="5"/>
      <c r="B2" s="6"/>
      <c r="C2" s="6"/>
      <c r="D2" s="6"/>
      <c r="E2" s="6"/>
      <c r="F2" s="6"/>
      <c r="G2" s="6"/>
      <c r="H2" s="7"/>
      <c r="J2" s="4"/>
      <c r="L2" s="34"/>
    </row>
    <row r="3" spans="1:17" x14ac:dyDescent="0.15">
      <c r="A3" s="5"/>
      <c r="B3" s="88" t="s">
        <v>4</v>
      </c>
      <c r="C3" s="89"/>
      <c r="D3" s="89"/>
      <c r="E3" s="89"/>
      <c r="F3" s="89"/>
      <c r="G3" s="90"/>
      <c r="H3" s="7"/>
      <c r="J3" s="52">
        <v>45383</v>
      </c>
      <c r="K3" s="52">
        <v>45975</v>
      </c>
      <c r="L3" s="4">
        <f>K3-J3+1</f>
        <v>593</v>
      </c>
    </row>
    <row r="4" spans="1:17" x14ac:dyDescent="0.15">
      <c r="A4" s="5"/>
      <c r="B4" s="91" t="s">
        <v>65</v>
      </c>
      <c r="C4" s="92"/>
      <c r="D4" s="92"/>
      <c r="E4" s="92"/>
      <c r="F4" s="92"/>
      <c r="G4" s="93"/>
      <c r="H4" s="7"/>
      <c r="I4" s="43" t="s">
        <v>31</v>
      </c>
      <c r="K4" s="34"/>
    </row>
    <row r="5" spans="1:17" ht="15" thickBot="1" x14ac:dyDescent="0.2">
      <c r="A5" s="5"/>
      <c r="B5" s="94" t="s">
        <v>5</v>
      </c>
      <c r="C5" s="95"/>
      <c r="D5" s="95"/>
      <c r="E5" s="95"/>
      <c r="F5" s="95"/>
      <c r="G5" s="96"/>
      <c r="H5" s="7"/>
      <c r="K5" s="34"/>
    </row>
    <row r="6" spans="1:17" ht="15" thickBot="1" x14ac:dyDescent="0.2">
      <c r="A6" s="5"/>
      <c r="B6" s="8"/>
      <c r="C6" s="8"/>
      <c r="D6" s="33"/>
      <c r="E6" s="8"/>
      <c r="F6" s="8"/>
      <c r="G6" s="8"/>
      <c r="H6" s="7"/>
      <c r="I6" s="48"/>
      <c r="J6" s="48" t="s">
        <v>32</v>
      </c>
      <c r="K6" s="48" t="s">
        <v>33</v>
      </c>
      <c r="L6" s="48"/>
    </row>
    <row r="7" spans="1:17" x14ac:dyDescent="0.15">
      <c r="A7" s="5"/>
      <c r="B7" s="9" t="s">
        <v>6</v>
      </c>
      <c r="C7" s="10"/>
      <c r="D7" s="8" t="s">
        <v>39</v>
      </c>
      <c r="E7" s="10"/>
      <c r="F7" s="8"/>
      <c r="G7" s="8"/>
      <c r="H7" s="7"/>
      <c r="I7" s="49" t="s">
        <v>34</v>
      </c>
      <c r="J7" s="51">
        <v>171828</v>
      </c>
      <c r="K7" s="48">
        <f>L3</f>
        <v>593</v>
      </c>
      <c r="L7" s="53">
        <f>(J7/365)*K7</f>
        <v>279161.65479452052</v>
      </c>
    </row>
    <row r="8" spans="1:17" ht="15" thickBot="1" x14ac:dyDescent="0.2">
      <c r="A8" s="5"/>
      <c r="B8" s="11" t="s">
        <v>7</v>
      </c>
      <c r="C8" s="12"/>
      <c r="D8" s="13" t="s">
        <v>40</v>
      </c>
      <c r="E8" s="12"/>
      <c r="F8" s="8"/>
      <c r="G8" s="8"/>
      <c r="H8" s="7"/>
      <c r="I8" s="49" t="s">
        <v>41</v>
      </c>
      <c r="J8" s="55">
        <v>306566</v>
      </c>
      <c r="K8" s="48">
        <f>L3</f>
        <v>593</v>
      </c>
      <c r="L8" s="56">
        <f>(J8/365)*K8</f>
        <v>498064.76164383563</v>
      </c>
      <c r="N8" s="48"/>
      <c r="O8" s="48"/>
      <c r="P8" s="48"/>
      <c r="Q8" s="48"/>
    </row>
    <row r="9" spans="1:17" ht="18" thickBot="1" x14ac:dyDescent="0.25">
      <c r="A9" s="5"/>
      <c r="B9" s="14" t="s">
        <v>8</v>
      </c>
      <c r="C9" s="15"/>
      <c r="D9" s="8" t="s">
        <v>42</v>
      </c>
      <c r="E9" s="15"/>
      <c r="F9" s="37" t="s">
        <v>20</v>
      </c>
      <c r="G9" s="8"/>
      <c r="H9" s="7"/>
      <c r="J9" s="48"/>
      <c r="K9" s="48"/>
      <c r="L9" s="48"/>
      <c r="N9" s="51"/>
      <c r="O9" s="48"/>
      <c r="P9"/>
      <c r="Q9"/>
    </row>
    <row r="10" spans="1:17" ht="15" thickBot="1" x14ac:dyDescent="0.2">
      <c r="A10" s="5"/>
      <c r="B10" s="16" t="s">
        <v>66</v>
      </c>
      <c r="C10" s="16"/>
      <c r="D10" s="71">
        <f>F78</f>
        <v>136484.80360400002</v>
      </c>
      <c r="E10" s="36" t="s">
        <v>19</v>
      </c>
      <c r="F10" s="38">
        <f>H40</f>
        <v>136484</v>
      </c>
      <c r="G10" s="8"/>
      <c r="H10" s="7"/>
      <c r="I10" s="49" t="s">
        <v>35</v>
      </c>
      <c r="J10" s="51">
        <f>H43</f>
        <v>290808</v>
      </c>
      <c r="K10" s="48"/>
      <c r="L10" s="48"/>
      <c r="M10" s="48"/>
      <c r="N10" s="48"/>
      <c r="O10" s="48"/>
      <c r="P10" s="48"/>
      <c r="Q10" s="48"/>
    </row>
    <row r="11" spans="1:17" ht="16" thickBot="1" x14ac:dyDescent="0.25">
      <c r="B11" s="16" t="s">
        <v>67</v>
      </c>
      <c r="D11" s="71">
        <f>G41</f>
        <v>154324.30400050001</v>
      </c>
      <c r="E11" s="10" t="s">
        <v>19</v>
      </c>
      <c r="F11" s="38">
        <f>H41</f>
        <v>154324</v>
      </c>
      <c r="I11" s="49" t="s">
        <v>37</v>
      </c>
      <c r="J11" s="55">
        <f>E43/1000</f>
        <v>518838.72899999999</v>
      </c>
      <c r="K11" s="48"/>
      <c r="L11" s="48"/>
      <c r="M11" s="48"/>
      <c r="N11" s="48"/>
      <c r="O11" s="48"/>
      <c r="P11" s="48"/>
      <c r="Q11"/>
    </row>
    <row r="12" spans="1:17" ht="20" customHeight="1" thickBot="1" x14ac:dyDescent="0.25">
      <c r="A12" s="5"/>
      <c r="B12" s="97" t="s">
        <v>74</v>
      </c>
      <c r="C12" s="98"/>
      <c r="D12" s="72">
        <f>G43</f>
        <v>290809.10760450002</v>
      </c>
      <c r="E12" s="36" t="s">
        <v>19</v>
      </c>
      <c r="F12" s="38">
        <f>H43</f>
        <v>290808</v>
      </c>
      <c r="G12" s="8"/>
      <c r="H12" s="7"/>
      <c r="J12" s="50"/>
      <c r="K12" s="48"/>
      <c r="L12" s="48"/>
      <c r="M12" s="48"/>
      <c r="N12" s="48"/>
      <c r="O12" s="48"/>
      <c r="P12" s="48"/>
      <c r="Q12"/>
    </row>
    <row r="13" spans="1:17" ht="15" thickBot="1" x14ac:dyDescent="0.2">
      <c r="A13" s="5"/>
      <c r="B13" s="8"/>
      <c r="C13" s="8"/>
      <c r="D13" s="8"/>
      <c r="E13" s="8"/>
      <c r="G13" s="8"/>
      <c r="H13" s="7"/>
      <c r="I13" s="49" t="s">
        <v>36</v>
      </c>
      <c r="J13" s="50">
        <f>(J10-L7)/L7</f>
        <v>4.1719000462480692E-2</v>
      </c>
      <c r="K13" s="48"/>
      <c r="L13" s="48"/>
      <c r="M13" s="48"/>
      <c r="N13" s="48"/>
      <c r="O13" s="48"/>
      <c r="P13" s="48"/>
      <c r="Q13" s="48"/>
    </row>
    <row r="14" spans="1:17" ht="16" thickBot="1" x14ac:dyDescent="0.25">
      <c r="A14" s="5"/>
      <c r="B14" s="85" t="s">
        <v>10</v>
      </c>
      <c r="C14" s="86"/>
      <c r="D14" s="86"/>
      <c r="E14" s="86"/>
      <c r="F14" s="86"/>
      <c r="G14" s="87"/>
      <c r="H14" s="7"/>
      <c r="I14" s="49" t="s">
        <v>38</v>
      </c>
      <c r="J14" s="50">
        <f>(J11-L8)/L8</f>
        <v>4.1709369857046319E-2</v>
      </c>
      <c r="M14" s="48"/>
      <c r="N14" s="48"/>
      <c r="O14" s="48"/>
      <c r="P14"/>
      <c r="Q14"/>
    </row>
    <row r="15" spans="1:17" ht="15" x14ac:dyDescent="0.2">
      <c r="A15" s="5"/>
      <c r="B15" s="8"/>
      <c r="C15" s="8"/>
      <c r="D15" s="8"/>
      <c r="E15" s="8"/>
      <c r="F15" s="8"/>
      <c r="G15" s="8"/>
      <c r="H15" s="7"/>
      <c r="I15" s="43"/>
      <c r="J15" s="43"/>
      <c r="M15" s="48"/>
      <c r="N15" s="48"/>
      <c r="O15" s="48"/>
      <c r="P15"/>
      <c r="Q15"/>
    </row>
    <row r="16" spans="1:17" x14ac:dyDescent="0.15">
      <c r="A16" s="5"/>
      <c r="B16" s="17" t="s">
        <v>23</v>
      </c>
      <c r="C16" s="17"/>
      <c r="D16" s="17"/>
      <c r="E16" s="17"/>
      <c r="F16" s="17"/>
      <c r="G16" s="17"/>
      <c r="H16" s="7"/>
    </row>
    <row r="17" spans="1:13" ht="15" thickBot="1" x14ac:dyDescent="0.2">
      <c r="A17" s="5"/>
      <c r="B17" s="18"/>
      <c r="C17" s="18"/>
      <c r="D17" s="18"/>
      <c r="E17" s="18"/>
      <c r="F17" s="18"/>
      <c r="G17" s="18"/>
      <c r="H17" s="7"/>
    </row>
    <row r="18" spans="1:13" ht="85" x14ac:dyDescent="0.15">
      <c r="A18" s="5"/>
      <c r="B18" s="19" t="s">
        <v>0</v>
      </c>
      <c r="C18" s="20" t="s">
        <v>1</v>
      </c>
      <c r="D18" s="20" t="s">
        <v>2</v>
      </c>
      <c r="E18" s="20" t="s">
        <v>3</v>
      </c>
      <c r="F18" s="20" t="s">
        <v>21</v>
      </c>
      <c r="G18" s="21" t="s">
        <v>22</v>
      </c>
      <c r="H18" s="7"/>
      <c r="I18" s="39" t="s">
        <v>24</v>
      </c>
      <c r="J18" s="39" t="s">
        <v>25</v>
      </c>
      <c r="K18" s="42" t="s">
        <v>27</v>
      </c>
      <c r="L18" s="42" t="s">
        <v>26</v>
      </c>
      <c r="M18" s="45" t="s">
        <v>28</v>
      </c>
    </row>
    <row r="19" spans="1:13" ht="15" customHeight="1" x14ac:dyDescent="0.2">
      <c r="A19" s="5"/>
      <c r="B19" s="22" t="s">
        <v>43</v>
      </c>
      <c r="C19" s="68">
        <f>12761171+13265087</f>
        <v>26026258</v>
      </c>
      <c r="D19" s="68">
        <f>20040+21661</f>
        <v>41701</v>
      </c>
      <c r="E19" s="23">
        <f t="shared" ref="E19:E23" si="0">C19-D19</f>
        <v>25984557</v>
      </c>
      <c r="F19" s="46">
        <v>0.5605</v>
      </c>
      <c r="G19" s="64">
        <f t="shared" ref="G19:G38" si="1">(E19/1000)*F19</f>
        <v>14564.344198500001</v>
      </c>
      <c r="H19" s="7"/>
      <c r="I19" s="47">
        <f>OSF!B2</f>
        <v>26026258</v>
      </c>
      <c r="J19" s="47">
        <f>OSF!C2</f>
        <v>41701</v>
      </c>
      <c r="K19" s="44">
        <f t="shared" ref="K19:K30" si="2">C19-I19</f>
        <v>0</v>
      </c>
      <c r="L19" s="44">
        <f>D19-J19</f>
        <v>0</v>
      </c>
    </row>
    <row r="20" spans="1:13" ht="15" customHeight="1" x14ac:dyDescent="0.2">
      <c r="A20" s="5"/>
      <c r="B20" s="22" t="s">
        <v>44</v>
      </c>
      <c r="C20" s="68">
        <f>8876311+9021285</f>
        <v>17897596</v>
      </c>
      <c r="D20" s="68">
        <f>40913+42704</f>
        <v>83617</v>
      </c>
      <c r="E20" s="23">
        <f t="shared" si="0"/>
        <v>17813979</v>
      </c>
      <c r="F20" s="46">
        <v>0.5605</v>
      </c>
      <c r="G20" s="64">
        <f t="shared" si="1"/>
        <v>9984.7352295000001</v>
      </c>
      <c r="H20" s="7"/>
      <c r="I20" s="47">
        <f>OSF!B3</f>
        <v>17897596</v>
      </c>
      <c r="J20" s="47">
        <f>OSF!C3</f>
        <v>83617</v>
      </c>
      <c r="K20" s="44">
        <f t="shared" si="2"/>
        <v>0</v>
      </c>
      <c r="L20" s="44">
        <f t="shared" ref="L20:L30" si="3">D20-J20</f>
        <v>0</v>
      </c>
    </row>
    <row r="21" spans="1:13" ht="15" customHeight="1" x14ac:dyDescent="0.2">
      <c r="A21" s="5"/>
      <c r="B21" s="22" t="s">
        <v>45</v>
      </c>
      <c r="C21" s="68">
        <f>16039531+16568953</f>
        <v>32608484</v>
      </c>
      <c r="D21" s="68">
        <f>28888+28784</f>
        <v>57672</v>
      </c>
      <c r="E21" s="23">
        <f t="shared" si="0"/>
        <v>32550812</v>
      </c>
      <c r="F21" s="46">
        <v>0.5605</v>
      </c>
      <c r="G21" s="64">
        <f t="shared" si="1"/>
        <v>18244.730126000002</v>
      </c>
      <c r="H21" s="7"/>
      <c r="I21" s="47">
        <f>OSF!B4</f>
        <v>32608484</v>
      </c>
      <c r="J21" s="47">
        <f>OSF!C4</f>
        <v>57672</v>
      </c>
      <c r="K21" s="44">
        <f t="shared" si="2"/>
        <v>0</v>
      </c>
      <c r="L21" s="44">
        <f t="shared" si="3"/>
        <v>0</v>
      </c>
    </row>
    <row r="22" spans="1:13" ht="16" x14ac:dyDescent="0.2">
      <c r="A22" s="5"/>
      <c r="B22" s="22" t="s">
        <v>46</v>
      </c>
      <c r="C22" s="68">
        <f>17510458+18415659</f>
        <v>35926117</v>
      </c>
      <c r="D22" s="68">
        <f>6476+6837</f>
        <v>13313</v>
      </c>
      <c r="E22" s="23">
        <f t="shared" si="0"/>
        <v>35912804</v>
      </c>
      <c r="F22" s="46">
        <v>0.5605</v>
      </c>
      <c r="G22" s="64">
        <f t="shared" si="1"/>
        <v>20129.126641999999</v>
      </c>
      <c r="H22" s="7"/>
      <c r="I22" s="47">
        <f>OSF!B5</f>
        <v>35926117</v>
      </c>
      <c r="J22" s="47">
        <f>OSF!C5</f>
        <v>13313</v>
      </c>
      <c r="K22" s="44">
        <f t="shared" si="2"/>
        <v>0</v>
      </c>
      <c r="L22" s="44">
        <f t="shared" si="3"/>
        <v>0</v>
      </c>
    </row>
    <row r="23" spans="1:13" ht="16" x14ac:dyDescent="0.2">
      <c r="A23" s="5"/>
      <c r="B23" s="22" t="s">
        <v>47</v>
      </c>
      <c r="C23" s="68">
        <f>15220739+15891134</f>
        <v>31111873</v>
      </c>
      <c r="D23" s="68">
        <f>10870+8968</f>
        <v>19838</v>
      </c>
      <c r="E23" s="47">
        <f t="shared" si="0"/>
        <v>31092035</v>
      </c>
      <c r="F23" s="46">
        <v>0.5605</v>
      </c>
      <c r="G23" s="64">
        <f t="shared" si="1"/>
        <v>17427.085617500001</v>
      </c>
      <c r="H23" s="7"/>
      <c r="I23" s="47">
        <f>OSF!B6</f>
        <v>31111873</v>
      </c>
      <c r="J23" s="47">
        <f>OSF!C6</f>
        <v>19838</v>
      </c>
      <c r="K23" s="44">
        <f t="shared" si="2"/>
        <v>0</v>
      </c>
      <c r="L23" s="44">
        <f t="shared" si="3"/>
        <v>0</v>
      </c>
    </row>
    <row r="24" spans="1:13" ht="15" customHeight="1" x14ac:dyDescent="0.2">
      <c r="A24" s="5"/>
      <c r="B24" s="22" t="s">
        <v>48</v>
      </c>
      <c r="C24" s="68">
        <f>7628405+8315462</f>
        <v>15943867</v>
      </c>
      <c r="D24" s="68">
        <f>26095+26199</f>
        <v>52294</v>
      </c>
      <c r="E24" s="47">
        <f>C24-D24</f>
        <v>15891573</v>
      </c>
      <c r="F24" s="46">
        <v>0.5605</v>
      </c>
      <c r="G24" s="64">
        <f t="shared" si="1"/>
        <v>8907.2266665000006</v>
      </c>
      <c r="H24" s="7"/>
      <c r="I24" s="47">
        <f>OSF!B7</f>
        <v>15943867</v>
      </c>
      <c r="J24" s="47">
        <f>OSF!C7</f>
        <v>52294</v>
      </c>
      <c r="K24" s="44">
        <f t="shared" si="2"/>
        <v>0</v>
      </c>
      <c r="L24" s="44">
        <f t="shared" si="3"/>
        <v>0</v>
      </c>
    </row>
    <row r="25" spans="1:13" ht="15" customHeight="1" x14ac:dyDescent="0.2">
      <c r="A25" s="57"/>
      <c r="B25" s="22" t="s">
        <v>49</v>
      </c>
      <c r="C25" s="68">
        <f>11331285+12144534</f>
        <v>23475819</v>
      </c>
      <c r="D25" s="68">
        <f>14647+15864</f>
        <v>30511</v>
      </c>
      <c r="E25" s="47">
        <f t="shared" ref="E25:E38" si="4">C25-D25</f>
        <v>23445308</v>
      </c>
      <c r="F25" s="46">
        <v>0.5605</v>
      </c>
      <c r="G25" s="64">
        <f t="shared" si="1"/>
        <v>13141.095134000001</v>
      </c>
      <c r="H25" s="57"/>
      <c r="I25" s="47">
        <f>OSF!B8</f>
        <v>23475819</v>
      </c>
      <c r="J25" s="47">
        <f>OSF!C8</f>
        <v>30511</v>
      </c>
      <c r="K25" s="44">
        <f t="shared" si="2"/>
        <v>0</v>
      </c>
      <c r="L25" s="44">
        <f t="shared" si="3"/>
        <v>0</v>
      </c>
    </row>
    <row r="26" spans="1:13" ht="15" customHeight="1" x14ac:dyDescent="0.2">
      <c r="A26" s="57"/>
      <c r="B26" s="22" t="s">
        <v>50</v>
      </c>
      <c r="C26" s="68">
        <f>14212834+14986439</f>
        <v>29199273</v>
      </c>
      <c r="D26" s="68">
        <f>30109+28436</f>
        <v>58545</v>
      </c>
      <c r="E26" s="47">
        <f t="shared" si="4"/>
        <v>29140728</v>
      </c>
      <c r="F26" s="46">
        <v>0.5605</v>
      </c>
      <c r="G26" s="64">
        <f t="shared" si="1"/>
        <v>16333.378043999999</v>
      </c>
      <c r="H26" s="57"/>
      <c r="I26" s="47">
        <f>OSF!B9</f>
        <v>29199273</v>
      </c>
      <c r="J26" s="47">
        <f>OSF!C9</f>
        <v>58545</v>
      </c>
      <c r="K26" s="44">
        <f t="shared" si="2"/>
        <v>0</v>
      </c>
      <c r="L26" s="44">
        <f t="shared" si="3"/>
        <v>0</v>
      </c>
    </row>
    <row r="27" spans="1:13" ht="15" customHeight="1" x14ac:dyDescent="0.2">
      <c r="A27" s="57"/>
      <c r="B27" s="22" t="s">
        <v>51</v>
      </c>
      <c r="C27" s="68">
        <f>15219294+16496315</f>
        <v>31715609</v>
      </c>
      <c r="D27" s="68">
        <f>20418+21539</f>
        <v>41957</v>
      </c>
      <c r="E27" s="47">
        <f t="shared" si="4"/>
        <v>31673652</v>
      </c>
      <c r="F27" s="46">
        <v>0.5605</v>
      </c>
      <c r="G27" s="64">
        <f t="shared" si="1"/>
        <v>17753.081945999998</v>
      </c>
      <c r="H27" s="57"/>
      <c r="I27" s="47">
        <f>OSF!B10</f>
        <v>31715609</v>
      </c>
      <c r="J27" s="47">
        <f>OSF!C10</f>
        <v>41957</v>
      </c>
      <c r="K27" s="44">
        <f t="shared" si="2"/>
        <v>0</v>
      </c>
      <c r="L27" s="44">
        <f t="shared" si="3"/>
        <v>0</v>
      </c>
    </row>
    <row r="28" spans="1:13" ht="15" customHeight="1" x14ac:dyDescent="0.2">
      <c r="A28" s="57"/>
      <c r="B28" s="22" t="s">
        <v>52</v>
      </c>
      <c r="C28" s="68">
        <f>12569147+13764593</f>
        <v>26333740</v>
      </c>
      <c r="D28" s="68">
        <f>18232+16482</f>
        <v>34714</v>
      </c>
      <c r="E28" s="47">
        <f t="shared" si="4"/>
        <v>26299026</v>
      </c>
      <c r="F28" s="46">
        <v>0.5605</v>
      </c>
      <c r="G28" s="64">
        <f t="shared" si="1"/>
        <v>14740.604073</v>
      </c>
      <c r="H28" s="57"/>
      <c r="I28" s="47">
        <f>OSF!B11</f>
        <v>26333740</v>
      </c>
      <c r="J28" s="47">
        <f>OSF!C11</f>
        <v>34714</v>
      </c>
      <c r="K28" s="44">
        <f t="shared" si="2"/>
        <v>0</v>
      </c>
      <c r="L28" s="44">
        <f t="shared" si="3"/>
        <v>0</v>
      </c>
    </row>
    <row r="29" spans="1:13" ht="16" x14ac:dyDescent="0.2">
      <c r="B29" s="22" t="s">
        <v>53</v>
      </c>
      <c r="C29" s="68">
        <f>11075975+11815909</f>
        <v>22891884</v>
      </c>
      <c r="D29" s="68">
        <f>25309+23400</f>
        <v>48709</v>
      </c>
      <c r="E29" s="47">
        <f t="shared" si="4"/>
        <v>22843175</v>
      </c>
      <c r="F29" s="46">
        <v>0.5605</v>
      </c>
      <c r="G29" s="64">
        <f t="shared" si="1"/>
        <v>12803.599587499999</v>
      </c>
      <c r="I29" s="47">
        <f>OSF!B12</f>
        <v>22891884</v>
      </c>
      <c r="J29" s="47">
        <f>OSF!C12</f>
        <v>48709</v>
      </c>
      <c r="K29" s="44">
        <f t="shared" si="2"/>
        <v>0</v>
      </c>
      <c r="L29" s="44">
        <f t="shared" si="3"/>
        <v>0</v>
      </c>
    </row>
    <row r="30" spans="1:13" ht="16" x14ac:dyDescent="0.2">
      <c r="B30" s="22" t="s">
        <v>54</v>
      </c>
      <c r="C30" s="68">
        <f>14477106+15430229</f>
        <v>29907335</v>
      </c>
      <c r="D30" s="68">
        <f>19645+17293</f>
        <v>36938</v>
      </c>
      <c r="E30" s="47">
        <f t="shared" si="4"/>
        <v>29870397</v>
      </c>
      <c r="F30" s="46">
        <v>0.5605</v>
      </c>
      <c r="G30" s="64">
        <f t="shared" si="1"/>
        <v>16742.357518500001</v>
      </c>
      <c r="I30" s="47">
        <f>OSF!B13</f>
        <v>29907335</v>
      </c>
      <c r="J30" s="47">
        <f>OSF!C13</f>
        <v>36938</v>
      </c>
      <c r="K30" s="44">
        <f t="shared" si="2"/>
        <v>0</v>
      </c>
      <c r="L30" s="44">
        <f t="shared" si="3"/>
        <v>0</v>
      </c>
    </row>
    <row r="31" spans="1:13" ht="16" x14ac:dyDescent="0.2">
      <c r="B31" s="22" t="s">
        <v>55</v>
      </c>
      <c r="C31" s="68">
        <f>9314496+10076130</f>
        <v>19390626</v>
      </c>
      <c r="D31" s="68">
        <f>33344+29791</f>
        <v>63135</v>
      </c>
      <c r="E31" s="47">
        <f t="shared" si="4"/>
        <v>19327491</v>
      </c>
      <c r="F31" s="46">
        <v>0.5605</v>
      </c>
      <c r="G31" s="64">
        <f t="shared" si="1"/>
        <v>10833.058705500001</v>
      </c>
      <c r="I31" s="47">
        <f>OSF!B14</f>
        <v>19390626</v>
      </c>
      <c r="J31" s="47">
        <f>OSF!C14</f>
        <v>63135</v>
      </c>
      <c r="K31" s="44">
        <f t="shared" ref="K31:K38" si="5">C31-I31</f>
        <v>0</v>
      </c>
      <c r="L31" s="44">
        <f t="shared" ref="L31:L38" si="6">D31-J31</f>
        <v>0</v>
      </c>
    </row>
    <row r="32" spans="1:13" ht="16" x14ac:dyDescent="0.2">
      <c r="B32" s="22" t="s">
        <v>56</v>
      </c>
      <c r="C32" s="68">
        <f>8606818+9196321</f>
        <v>17803139</v>
      </c>
      <c r="D32" s="68">
        <f>40719+39604</f>
        <v>80323</v>
      </c>
      <c r="E32" s="47">
        <f t="shared" si="4"/>
        <v>17722816</v>
      </c>
      <c r="F32" s="46">
        <v>0.5605</v>
      </c>
      <c r="G32" s="64">
        <f t="shared" si="1"/>
        <v>9933.6383679999999</v>
      </c>
      <c r="I32" s="47">
        <f>OSF!B15</f>
        <v>17803139</v>
      </c>
      <c r="J32" s="47">
        <f>OSF!C15</f>
        <v>80323</v>
      </c>
      <c r="K32" s="44">
        <f t="shared" si="5"/>
        <v>0</v>
      </c>
      <c r="L32" s="44">
        <f t="shared" si="6"/>
        <v>0</v>
      </c>
    </row>
    <row r="33" spans="1:20" ht="16" x14ac:dyDescent="0.2">
      <c r="B33" s="22" t="s">
        <v>57</v>
      </c>
      <c r="C33" s="68">
        <f>14043862+14903552</f>
        <v>28947414</v>
      </c>
      <c r="D33" s="68">
        <f>17012+10040</f>
        <v>27052</v>
      </c>
      <c r="E33" s="47">
        <f t="shared" si="4"/>
        <v>28920362</v>
      </c>
      <c r="F33" s="46">
        <v>0.5605</v>
      </c>
      <c r="G33" s="64">
        <f t="shared" si="1"/>
        <v>16209.862901</v>
      </c>
      <c r="I33" s="47">
        <f>OSF!B16</f>
        <v>28947414</v>
      </c>
      <c r="J33" s="47">
        <f>OSF!C16</f>
        <v>27052</v>
      </c>
      <c r="K33" s="44">
        <f t="shared" si="5"/>
        <v>0</v>
      </c>
      <c r="L33" s="44">
        <f t="shared" si="6"/>
        <v>0</v>
      </c>
    </row>
    <row r="34" spans="1:20" ht="16" x14ac:dyDescent="0.2">
      <c r="B34" s="22" t="s">
        <v>58</v>
      </c>
      <c r="C34" s="68">
        <f>15244001+15786782</f>
        <v>31030783</v>
      </c>
      <c r="D34" s="68">
        <f>25193+27023</f>
        <v>52216</v>
      </c>
      <c r="E34" s="47">
        <f t="shared" si="4"/>
        <v>30978567</v>
      </c>
      <c r="F34" s="46">
        <v>0.5605</v>
      </c>
      <c r="G34" s="64">
        <f t="shared" si="1"/>
        <v>17363.4868035</v>
      </c>
      <c r="I34" s="47">
        <f>OSF!B17</f>
        <v>31030783</v>
      </c>
      <c r="J34" s="47">
        <f>OSF!C17</f>
        <v>52216</v>
      </c>
      <c r="K34" s="44">
        <f t="shared" si="5"/>
        <v>0</v>
      </c>
      <c r="L34" s="44">
        <f t="shared" si="6"/>
        <v>0</v>
      </c>
    </row>
    <row r="35" spans="1:20" ht="16" x14ac:dyDescent="0.2">
      <c r="B35" s="22" t="s">
        <v>59</v>
      </c>
      <c r="C35" s="68">
        <f>23632744+24635663</f>
        <v>48268407</v>
      </c>
      <c r="D35" s="68">
        <f>9125+9283</f>
        <v>18408</v>
      </c>
      <c r="E35" s="47">
        <f t="shared" si="4"/>
        <v>48249999</v>
      </c>
      <c r="F35" s="46">
        <v>0.5605</v>
      </c>
      <c r="G35" s="64">
        <f t="shared" si="1"/>
        <v>27044.124439500003</v>
      </c>
      <c r="I35" s="47">
        <f>OSF!B18</f>
        <v>48268407</v>
      </c>
      <c r="J35" s="47">
        <f>OSF!C18</f>
        <v>18408</v>
      </c>
      <c r="K35" s="44">
        <f t="shared" si="5"/>
        <v>0</v>
      </c>
      <c r="L35" s="44">
        <f t="shared" si="6"/>
        <v>0</v>
      </c>
    </row>
    <row r="36" spans="1:20" ht="16" x14ac:dyDescent="0.2">
      <c r="B36" s="22" t="s">
        <v>60</v>
      </c>
      <c r="C36" s="68">
        <f>14185974+15942110</f>
        <v>30128084</v>
      </c>
      <c r="D36" s="68">
        <f>11525+9774</f>
        <v>21299</v>
      </c>
      <c r="E36" s="47">
        <f t="shared" si="4"/>
        <v>30106785</v>
      </c>
      <c r="F36" s="46">
        <v>0.5605</v>
      </c>
      <c r="G36" s="64">
        <f t="shared" si="1"/>
        <v>16874.8529925</v>
      </c>
      <c r="I36" s="47">
        <f>OSF!B19</f>
        <v>30128084</v>
      </c>
      <c r="J36" s="47">
        <f>OSF!C19</f>
        <v>21299</v>
      </c>
      <c r="K36" s="44">
        <f t="shared" si="5"/>
        <v>0</v>
      </c>
      <c r="L36" s="44">
        <f t="shared" si="6"/>
        <v>0</v>
      </c>
    </row>
    <row r="37" spans="1:20" ht="16" x14ac:dyDescent="0.2">
      <c r="B37" s="22" t="s">
        <v>61</v>
      </c>
      <c r="C37" s="68">
        <f>7054813+7728423</f>
        <v>14783236</v>
      </c>
      <c r="D37" s="68">
        <f>34952+35569</f>
        <v>70521</v>
      </c>
      <c r="E37" s="47">
        <f t="shared" si="4"/>
        <v>14712715</v>
      </c>
      <c r="F37" s="46">
        <v>0.5605</v>
      </c>
      <c r="G37" s="64">
        <f t="shared" si="1"/>
        <v>8246.4767575000005</v>
      </c>
      <c r="I37" s="47">
        <f>OSF!B20</f>
        <v>14783236</v>
      </c>
      <c r="J37" s="47">
        <f>OSF!C20</f>
        <v>70521</v>
      </c>
      <c r="K37" s="44">
        <f t="shared" si="5"/>
        <v>0</v>
      </c>
      <c r="L37" s="44">
        <f t="shared" si="6"/>
        <v>0</v>
      </c>
    </row>
    <row r="38" spans="1:20" ht="17" thickBot="1" x14ac:dyDescent="0.25">
      <c r="B38" s="22" t="s">
        <v>68</v>
      </c>
      <c r="C38" s="68">
        <f>3043925+3295391</f>
        <v>6339316</v>
      </c>
      <c r="D38" s="68">
        <f>18364+19004</f>
        <v>37368</v>
      </c>
      <c r="E38" s="47">
        <f t="shared" si="4"/>
        <v>6301948</v>
      </c>
      <c r="F38" s="46">
        <v>0.5605</v>
      </c>
      <c r="G38" s="64">
        <f t="shared" si="1"/>
        <v>3532.2418540000003</v>
      </c>
      <c r="I38" s="47">
        <f>OSF!B21</f>
        <v>6339316</v>
      </c>
      <c r="J38" s="47">
        <f>OSF!C21</f>
        <v>37368</v>
      </c>
      <c r="K38" s="44">
        <f t="shared" si="5"/>
        <v>0</v>
      </c>
      <c r="L38" s="44">
        <f t="shared" si="6"/>
        <v>0</v>
      </c>
    </row>
    <row r="39" spans="1:20" ht="31" customHeight="1" x14ac:dyDescent="0.2">
      <c r="A39" s="5"/>
      <c r="B39" s="22"/>
      <c r="C39" s="8"/>
      <c r="D39" s="8"/>
      <c r="E39" s="8"/>
      <c r="F39" s="46"/>
      <c r="G39" s="8"/>
      <c r="H39" s="21" t="s">
        <v>20</v>
      </c>
      <c r="I39" s="41"/>
      <c r="M39" s="4">
        <v>3043.9250000000002</v>
      </c>
      <c r="N39">
        <v>3295.390999999996</v>
      </c>
    </row>
    <row r="40" spans="1:20" ht="35.25" customHeight="1" thickBot="1" x14ac:dyDescent="0.25">
      <c r="A40" s="5"/>
      <c r="B40" s="58" t="s">
        <v>62</v>
      </c>
      <c r="C40" s="25">
        <f>SUM(C19:C27)</f>
        <v>243904896</v>
      </c>
      <c r="D40" s="25">
        <f t="shared" ref="D40:E40" si="7">SUM(D19:D27)</f>
        <v>399448</v>
      </c>
      <c r="E40" s="25">
        <f t="shared" si="7"/>
        <v>243505448</v>
      </c>
      <c r="F40" s="46">
        <v>0.5605</v>
      </c>
      <c r="G40" s="64">
        <f>(E40/1000)*F40</f>
        <v>136484.80360400002</v>
      </c>
      <c r="H40" s="26">
        <f>ROUNDDOWN(G40,0)</f>
        <v>136484</v>
      </c>
      <c r="M40" s="4">
        <v>18.364000000000004</v>
      </c>
      <c r="N40" s="4">
        <v>19.003999999999998</v>
      </c>
    </row>
    <row r="41" spans="1:20" ht="35.25" customHeight="1" thickBot="1" x14ac:dyDescent="0.25">
      <c r="A41" s="5"/>
      <c r="B41" s="24" t="s">
        <v>63</v>
      </c>
      <c r="C41" s="25">
        <f>SUM(C28:C38)</f>
        <v>275823964</v>
      </c>
      <c r="D41" s="25">
        <f t="shared" ref="D41:E41" si="8">SUM(D28:D38)</f>
        <v>490683</v>
      </c>
      <c r="E41" s="25">
        <f t="shared" si="8"/>
        <v>275333281</v>
      </c>
      <c r="F41" s="46">
        <v>0.5605</v>
      </c>
      <c r="G41" s="64">
        <f>(E41/1000)*F41</f>
        <v>154324.30400050001</v>
      </c>
      <c r="H41" s="26">
        <f>ROUNDDOWN(G41,0)</f>
        <v>154324</v>
      </c>
    </row>
    <row r="42" spans="1:20" ht="16" x14ac:dyDescent="0.2">
      <c r="F42" s="62"/>
      <c r="G42" s="54"/>
      <c r="I42" s="4" t="s">
        <v>69</v>
      </c>
      <c r="J42" s="4"/>
      <c r="S42" s="54"/>
      <c r="T42" s="54"/>
    </row>
    <row r="43" spans="1:20" ht="35" thickBot="1" x14ac:dyDescent="0.25">
      <c r="A43" s="5"/>
      <c r="B43" s="24" t="s">
        <v>64</v>
      </c>
      <c r="C43" s="63">
        <f>SUM(C40:C41)</f>
        <v>519728860</v>
      </c>
      <c r="D43" s="63">
        <f>SUM(D40:D41)</f>
        <v>890131</v>
      </c>
      <c r="E43" s="63">
        <f>SUM(E40:E41)</f>
        <v>518838729</v>
      </c>
      <c r="F43" s="46">
        <v>0.5605</v>
      </c>
      <c r="G43" s="65">
        <f>(E43/1000)*F43</f>
        <v>290809.10760450002</v>
      </c>
      <c r="H43" s="61">
        <f>SUM(H40:H41)</f>
        <v>290808</v>
      </c>
      <c r="I43" s="4"/>
      <c r="J43" s="4"/>
    </row>
    <row r="44" spans="1:20" ht="15" customHeight="1" thickBot="1" x14ac:dyDescent="0.2">
      <c r="A44" s="5"/>
      <c r="B44" s="8"/>
      <c r="C44" s="8"/>
      <c r="D44" s="8"/>
      <c r="E44" s="8"/>
      <c r="F44" s="8"/>
      <c r="G44" s="8"/>
      <c r="H44" s="7"/>
      <c r="I44" s="4"/>
      <c r="J44" s="4"/>
    </row>
    <row r="45" spans="1:20" ht="15" customHeight="1" thickBot="1" x14ac:dyDescent="0.25">
      <c r="A45" s="5"/>
      <c r="B45" s="75" t="s">
        <v>9</v>
      </c>
      <c r="C45" s="76"/>
      <c r="D45" s="76"/>
      <c r="E45" s="76"/>
      <c r="F45" s="76"/>
      <c r="G45" s="77"/>
      <c r="H45" s="7"/>
      <c r="I45" s="4"/>
      <c r="J45" s="4"/>
    </row>
    <row r="46" spans="1:20" ht="15" customHeight="1" thickBot="1" x14ac:dyDescent="0.2">
      <c r="A46" s="5"/>
      <c r="B46" s="8"/>
      <c r="C46" s="8"/>
      <c r="D46" s="8"/>
      <c r="E46" s="8"/>
      <c r="F46" s="8"/>
      <c r="G46" s="8"/>
      <c r="H46" s="7"/>
      <c r="I46" s="67"/>
      <c r="J46" s="4"/>
    </row>
    <row r="47" spans="1:20" ht="15" customHeight="1" thickBot="1" x14ac:dyDescent="0.2">
      <c r="A47" s="5"/>
      <c r="B47" s="78" t="s">
        <v>30</v>
      </c>
      <c r="C47" s="79"/>
      <c r="D47" s="79"/>
      <c r="E47" s="79"/>
      <c r="F47" s="79"/>
      <c r="G47" s="80"/>
      <c r="H47" s="7"/>
      <c r="I47" s="4"/>
      <c r="J47" s="34"/>
    </row>
    <row r="48" spans="1:20" ht="15" customHeight="1" x14ac:dyDescent="0.15">
      <c r="A48" s="5"/>
      <c r="B48" s="8"/>
      <c r="C48" s="8"/>
      <c r="D48" s="8"/>
      <c r="E48" s="8"/>
      <c r="F48" s="8"/>
      <c r="G48" s="8"/>
      <c r="H48" s="7"/>
      <c r="I48" s="4"/>
      <c r="J48" s="4"/>
    </row>
    <row r="49" spans="1:10" ht="15" customHeight="1" x14ac:dyDescent="0.15">
      <c r="A49" s="5"/>
      <c r="B49" s="81" t="s">
        <v>11</v>
      </c>
      <c r="C49" s="81"/>
      <c r="D49" s="81"/>
      <c r="E49" s="81"/>
      <c r="F49" s="81"/>
      <c r="G49" s="81"/>
      <c r="H49" s="7"/>
      <c r="I49" s="4"/>
      <c r="J49" s="4"/>
    </row>
    <row r="50" spans="1:10" ht="15" customHeight="1" thickBot="1" x14ac:dyDescent="0.2">
      <c r="A50" s="5"/>
      <c r="B50" s="8"/>
      <c r="C50" s="8"/>
      <c r="D50" s="8"/>
      <c r="E50" s="8"/>
      <c r="F50" s="8"/>
      <c r="G50" s="8"/>
      <c r="H50" s="7"/>
      <c r="I50" s="4"/>
      <c r="J50" s="4"/>
    </row>
    <row r="51" spans="1:10" ht="15" customHeight="1" thickBot="1" x14ac:dyDescent="0.25">
      <c r="A51" s="5"/>
      <c r="B51" s="82" t="s">
        <v>29</v>
      </c>
      <c r="C51" s="83"/>
      <c r="D51" s="83"/>
      <c r="E51" s="83"/>
      <c r="F51" s="83"/>
      <c r="G51" s="84"/>
      <c r="H51" s="7"/>
      <c r="I51" s="4"/>
      <c r="J51" s="4"/>
    </row>
    <row r="52" spans="1:10" ht="15" customHeight="1" thickBot="1" x14ac:dyDescent="0.2">
      <c r="A52" s="5"/>
      <c r="B52" s="8"/>
      <c r="C52" s="8"/>
      <c r="D52" s="8"/>
      <c r="E52" s="8"/>
      <c r="F52" s="8"/>
      <c r="G52" s="8"/>
      <c r="H52" s="7"/>
      <c r="I52" s="4"/>
      <c r="J52" s="4"/>
    </row>
    <row r="53" spans="1:10" ht="15" customHeight="1" thickBot="1" x14ac:dyDescent="0.2">
      <c r="A53" s="5"/>
      <c r="B53" s="85" t="s">
        <v>12</v>
      </c>
      <c r="C53" s="86"/>
      <c r="D53" s="86"/>
      <c r="E53" s="86"/>
      <c r="F53" s="86"/>
      <c r="G53" s="87"/>
      <c r="H53" s="7"/>
      <c r="I53" s="4"/>
      <c r="J53" s="4"/>
    </row>
    <row r="54" spans="1:10" ht="15" customHeight="1" x14ac:dyDescent="0.15">
      <c r="A54" s="5"/>
      <c r="B54" s="8"/>
      <c r="C54" s="8"/>
      <c r="D54" s="8"/>
      <c r="E54" s="8"/>
      <c r="F54" s="8"/>
      <c r="G54" s="8"/>
      <c r="H54" s="7"/>
      <c r="I54" s="4"/>
      <c r="J54" s="4"/>
    </row>
    <row r="55" spans="1:10" ht="15" customHeight="1" x14ac:dyDescent="0.15">
      <c r="A55" s="5"/>
      <c r="B55" s="73" t="s">
        <v>0</v>
      </c>
      <c r="C55" s="27" t="s">
        <v>14</v>
      </c>
      <c r="D55" s="27" t="s">
        <v>13</v>
      </c>
      <c r="E55" s="27" t="s">
        <v>15</v>
      </c>
      <c r="F55" s="27" t="s">
        <v>18</v>
      </c>
      <c r="G55" s="8"/>
      <c r="H55" s="7"/>
      <c r="I55" s="4"/>
      <c r="J55" s="4"/>
    </row>
    <row r="56" spans="1:10" ht="15" customHeight="1" x14ac:dyDescent="0.2">
      <c r="A56" s="5"/>
      <c r="B56" s="74"/>
      <c r="C56" s="28"/>
      <c r="D56" s="28"/>
      <c r="E56" s="28"/>
      <c r="F56" s="29" t="s">
        <v>17</v>
      </c>
      <c r="G56" s="30"/>
      <c r="H56" s="7"/>
      <c r="I56" s="4"/>
      <c r="J56" s="4"/>
    </row>
    <row r="57" spans="1:10" ht="15" customHeight="1" x14ac:dyDescent="0.2">
      <c r="A57" s="5"/>
      <c r="B57" s="74"/>
      <c r="C57" s="31" t="s">
        <v>16</v>
      </c>
      <c r="D57" s="32" t="s">
        <v>16</v>
      </c>
      <c r="E57" s="32" t="s">
        <v>16</v>
      </c>
      <c r="F57" s="32" t="s">
        <v>16</v>
      </c>
      <c r="G57" s="30"/>
      <c r="H57" s="7"/>
      <c r="I57" s="4"/>
      <c r="J57" s="4"/>
    </row>
    <row r="58" spans="1:10" ht="16" x14ac:dyDescent="0.2">
      <c r="A58" s="5"/>
      <c r="B58" s="22" t="s">
        <v>43</v>
      </c>
      <c r="C58" s="23">
        <f>G19</f>
        <v>14564.344198500001</v>
      </c>
      <c r="D58" s="23">
        <v>0</v>
      </c>
      <c r="E58" s="23">
        <v>0</v>
      </c>
      <c r="F58" s="23">
        <f t="shared" ref="F58:F65" si="9">C58-D58-E58</f>
        <v>14564.344198500001</v>
      </c>
      <c r="G58" s="30"/>
      <c r="H58" s="7"/>
      <c r="I58" s="4"/>
      <c r="J58" s="4"/>
    </row>
    <row r="59" spans="1:10" ht="16" x14ac:dyDescent="0.2">
      <c r="A59" s="5"/>
      <c r="B59" s="22" t="s">
        <v>44</v>
      </c>
      <c r="C59" s="23">
        <f t="shared" ref="C59:C77" si="10">G20</f>
        <v>9984.7352295000001</v>
      </c>
      <c r="D59" s="23">
        <v>0</v>
      </c>
      <c r="E59" s="23">
        <v>0</v>
      </c>
      <c r="F59" s="23">
        <f t="shared" si="9"/>
        <v>9984.7352295000001</v>
      </c>
      <c r="G59" s="30"/>
      <c r="H59" s="7"/>
      <c r="I59" s="4"/>
      <c r="J59" s="4"/>
    </row>
    <row r="60" spans="1:10" ht="16" x14ac:dyDescent="0.2">
      <c r="A60" s="5"/>
      <c r="B60" s="22" t="s">
        <v>45</v>
      </c>
      <c r="C60" s="23">
        <f t="shared" si="10"/>
        <v>18244.730126000002</v>
      </c>
      <c r="D60" s="23">
        <v>0</v>
      </c>
      <c r="E60" s="23">
        <v>0</v>
      </c>
      <c r="F60" s="23">
        <f t="shared" si="9"/>
        <v>18244.730126000002</v>
      </c>
      <c r="G60" s="30"/>
      <c r="H60" s="7"/>
      <c r="I60" s="4"/>
      <c r="J60" s="4"/>
    </row>
    <row r="61" spans="1:10" ht="16" x14ac:dyDescent="0.2">
      <c r="A61" s="5"/>
      <c r="B61" s="22" t="s">
        <v>46</v>
      </c>
      <c r="C61" s="23">
        <f t="shared" si="10"/>
        <v>20129.126641999999</v>
      </c>
      <c r="D61" s="23">
        <v>0</v>
      </c>
      <c r="E61" s="23">
        <v>0</v>
      </c>
      <c r="F61" s="23">
        <f t="shared" si="9"/>
        <v>20129.126641999999</v>
      </c>
      <c r="G61" s="30"/>
      <c r="H61" s="7"/>
      <c r="I61" s="4"/>
      <c r="J61" s="4"/>
    </row>
    <row r="62" spans="1:10" ht="16" x14ac:dyDescent="0.2">
      <c r="A62" s="5"/>
      <c r="B62" s="22" t="s">
        <v>47</v>
      </c>
      <c r="C62" s="23">
        <f t="shared" si="10"/>
        <v>17427.085617500001</v>
      </c>
      <c r="D62" s="23">
        <v>0</v>
      </c>
      <c r="E62" s="23">
        <v>0</v>
      </c>
      <c r="F62" s="23">
        <f>C62-D62-E62</f>
        <v>17427.085617500001</v>
      </c>
      <c r="G62" s="30"/>
      <c r="H62" s="7"/>
      <c r="I62" s="4"/>
      <c r="J62" s="4"/>
    </row>
    <row r="63" spans="1:10" ht="16" x14ac:dyDescent="0.2">
      <c r="A63" s="5"/>
      <c r="B63" s="22" t="s">
        <v>48</v>
      </c>
      <c r="C63" s="23">
        <f t="shared" si="10"/>
        <v>8907.2266665000006</v>
      </c>
      <c r="D63" s="23">
        <v>0</v>
      </c>
      <c r="E63" s="23">
        <v>0</v>
      </c>
      <c r="F63" s="23">
        <f>C63-D63-E63</f>
        <v>8907.2266665000006</v>
      </c>
      <c r="G63" s="30"/>
      <c r="H63" s="7"/>
      <c r="I63" s="4"/>
      <c r="J63" s="4"/>
    </row>
    <row r="64" spans="1:10" ht="16" x14ac:dyDescent="0.2">
      <c r="A64" s="5"/>
      <c r="B64" s="22" t="s">
        <v>49</v>
      </c>
      <c r="C64" s="23">
        <f t="shared" si="10"/>
        <v>13141.095134000001</v>
      </c>
      <c r="D64" s="23">
        <v>0</v>
      </c>
      <c r="E64" s="23">
        <v>0</v>
      </c>
      <c r="F64" s="23">
        <f t="shared" si="9"/>
        <v>13141.095134000001</v>
      </c>
      <c r="G64" s="30"/>
      <c r="H64" s="7"/>
      <c r="I64" s="4"/>
      <c r="J64" s="4"/>
    </row>
    <row r="65" spans="1:10" ht="16" x14ac:dyDescent="0.2">
      <c r="A65" s="5"/>
      <c r="B65" s="22" t="s">
        <v>50</v>
      </c>
      <c r="C65" s="23">
        <f t="shared" si="10"/>
        <v>16333.378043999999</v>
      </c>
      <c r="D65" s="23">
        <v>0</v>
      </c>
      <c r="E65" s="23">
        <v>0</v>
      </c>
      <c r="F65" s="23">
        <f t="shared" si="9"/>
        <v>16333.378043999999</v>
      </c>
      <c r="G65" s="30"/>
      <c r="H65" s="7"/>
      <c r="I65" s="4"/>
      <c r="J65" s="4"/>
    </row>
    <row r="66" spans="1:10" ht="16" x14ac:dyDescent="0.2">
      <c r="A66" s="5"/>
      <c r="B66" s="22" t="s">
        <v>51</v>
      </c>
      <c r="C66" s="23">
        <f t="shared" si="10"/>
        <v>17753.081945999998</v>
      </c>
      <c r="D66" s="23">
        <v>0</v>
      </c>
      <c r="E66" s="23">
        <v>0</v>
      </c>
      <c r="F66" s="23">
        <f t="shared" ref="F66:F77" si="11">C66-D66-E66</f>
        <v>17753.081945999998</v>
      </c>
      <c r="G66" s="30"/>
      <c r="H66" s="7"/>
      <c r="I66" s="4"/>
      <c r="J66" s="4"/>
    </row>
    <row r="67" spans="1:10" ht="16" x14ac:dyDescent="0.2">
      <c r="A67" s="5"/>
      <c r="B67" s="22" t="s">
        <v>52</v>
      </c>
      <c r="C67" s="23">
        <f t="shared" si="10"/>
        <v>14740.604073</v>
      </c>
      <c r="D67" s="23">
        <v>0</v>
      </c>
      <c r="E67" s="23">
        <v>0</v>
      </c>
      <c r="F67" s="23">
        <f t="shared" si="11"/>
        <v>14740.604073</v>
      </c>
      <c r="G67" s="30"/>
      <c r="H67" s="7"/>
      <c r="I67" s="4"/>
      <c r="J67" s="4"/>
    </row>
    <row r="68" spans="1:10" ht="16" customHeight="1" x14ac:dyDescent="0.2">
      <c r="A68" s="5"/>
      <c r="B68" s="22" t="s">
        <v>53</v>
      </c>
      <c r="C68" s="23">
        <f t="shared" si="10"/>
        <v>12803.599587499999</v>
      </c>
      <c r="D68" s="23">
        <v>0</v>
      </c>
      <c r="E68" s="23">
        <v>0</v>
      </c>
      <c r="F68" s="23">
        <f t="shared" si="11"/>
        <v>12803.599587499999</v>
      </c>
      <c r="G68" s="30"/>
      <c r="H68" s="7"/>
      <c r="I68" s="4"/>
      <c r="J68" s="4"/>
    </row>
    <row r="69" spans="1:10" ht="16" x14ac:dyDescent="0.2">
      <c r="A69" s="5"/>
      <c r="B69" s="22" t="s">
        <v>54</v>
      </c>
      <c r="C69" s="23">
        <f t="shared" si="10"/>
        <v>16742.357518500001</v>
      </c>
      <c r="D69" s="23">
        <v>0</v>
      </c>
      <c r="E69" s="23">
        <v>0</v>
      </c>
      <c r="F69" s="23">
        <f t="shared" si="11"/>
        <v>16742.357518500001</v>
      </c>
      <c r="G69" s="30"/>
      <c r="H69" s="7"/>
      <c r="I69" s="4"/>
      <c r="J69" s="4"/>
    </row>
    <row r="70" spans="1:10" ht="16" customHeight="1" x14ac:dyDescent="0.2">
      <c r="A70" s="5"/>
      <c r="B70" s="22" t="s">
        <v>55</v>
      </c>
      <c r="C70" s="23">
        <f t="shared" si="10"/>
        <v>10833.058705500001</v>
      </c>
      <c r="D70" s="23">
        <v>0</v>
      </c>
      <c r="E70" s="23">
        <v>0</v>
      </c>
      <c r="F70" s="23">
        <f t="shared" si="11"/>
        <v>10833.058705500001</v>
      </c>
      <c r="G70" s="30"/>
      <c r="H70" s="7"/>
      <c r="I70" s="4"/>
      <c r="J70" s="4"/>
    </row>
    <row r="71" spans="1:10" ht="16" x14ac:dyDescent="0.2">
      <c r="A71" s="5"/>
      <c r="B71" s="22" t="s">
        <v>56</v>
      </c>
      <c r="C71" s="23">
        <f t="shared" si="10"/>
        <v>9933.6383679999999</v>
      </c>
      <c r="D71" s="23">
        <v>0</v>
      </c>
      <c r="E71" s="23">
        <v>0</v>
      </c>
      <c r="F71" s="23">
        <f t="shared" si="11"/>
        <v>9933.6383679999999</v>
      </c>
      <c r="G71" s="30"/>
      <c r="H71" s="7"/>
      <c r="I71" s="4"/>
      <c r="J71" s="4"/>
    </row>
    <row r="72" spans="1:10" ht="16" x14ac:dyDescent="0.2">
      <c r="A72" s="5"/>
      <c r="B72" s="22" t="s">
        <v>57</v>
      </c>
      <c r="C72" s="23">
        <f>G33</f>
        <v>16209.862901</v>
      </c>
      <c r="D72" s="23">
        <v>0</v>
      </c>
      <c r="E72" s="23">
        <v>0</v>
      </c>
      <c r="F72" s="23">
        <f t="shared" si="11"/>
        <v>16209.862901</v>
      </c>
      <c r="G72" s="30"/>
      <c r="H72" s="7"/>
      <c r="I72" s="4"/>
      <c r="J72" s="4"/>
    </row>
    <row r="73" spans="1:10" ht="16" x14ac:dyDescent="0.2">
      <c r="A73" s="5"/>
      <c r="B73" s="22" t="s">
        <v>58</v>
      </c>
      <c r="C73" s="23">
        <f t="shared" si="10"/>
        <v>17363.4868035</v>
      </c>
      <c r="D73" s="23">
        <v>0</v>
      </c>
      <c r="E73" s="23">
        <v>0</v>
      </c>
      <c r="F73" s="23">
        <f t="shared" si="11"/>
        <v>17363.4868035</v>
      </c>
      <c r="G73" s="30"/>
      <c r="H73" s="7"/>
      <c r="I73" s="4"/>
      <c r="J73" s="4"/>
    </row>
    <row r="74" spans="1:10" ht="16" x14ac:dyDescent="0.2">
      <c r="A74" s="5"/>
      <c r="B74" s="22" t="s">
        <v>59</v>
      </c>
      <c r="C74" s="23">
        <f t="shared" si="10"/>
        <v>27044.124439500003</v>
      </c>
      <c r="D74" s="23">
        <v>0</v>
      </c>
      <c r="E74" s="23">
        <v>0</v>
      </c>
      <c r="F74" s="23">
        <f t="shared" si="11"/>
        <v>27044.124439500003</v>
      </c>
      <c r="G74" s="30"/>
      <c r="H74" s="7"/>
      <c r="I74" s="4"/>
      <c r="J74" s="4"/>
    </row>
    <row r="75" spans="1:10" ht="17" thickBot="1" x14ac:dyDescent="0.25">
      <c r="A75" s="5"/>
      <c r="B75" s="22" t="s">
        <v>60</v>
      </c>
      <c r="C75" s="23">
        <f t="shared" si="10"/>
        <v>16874.8529925</v>
      </c>
      <c r="D75" s="23">
        <v>0</v>
      </c>
      <c r="E75" s="23">
        <v>0</v>
      </c>
      <c r="F75" s="23">
        <f t="shared" si="11"/>
        <v>16874.8529925</v>
      </c>
      <c r="G75" s="30"/>
      <c r="H75" s="7"/>
      <c r="I75" s="4"/>
      <c r="J75" s="4"/>
    </row>
    <row r="76" spans="1:10" ht="18" thickBot="1" x14ac:dyDescent="0.25">
      <c r="A76" s="5"/>
      <c r="B76" s="22" t="s">
        <v>61</v>
      </c>
      <c r="C76" s="23">
        <f t="shared" si="10"/>
        <v>8246.4767575000005</v>
      </c>
      <c r="D76" s="23">
        <v>0</v>
      </c>
      <c r="E76" s="23">
        <v>0</v>
      </c>
      <c r="F76" s="23">
        <f t="shared" si="11"/>
        <v>8246.4767575000005</v>
      </c>
      <c r="G76" s="21" t="s">
        <v>20</v>
      </c>
      <c r="H76" s="7"/>
      <c r="I76" s="4"/>
      <c r="J76" s="4"/>
    </row>
    <row r="77" spans="1:10" ht="17" thickBot="1" x14ac:dyDescent="0.25">
      <c r="A77" s="5"/>
      <c r="B77" s="22" t="s">
        <v>68</v>
      </c>
      <c r="C77" s="23">
        <f t="shared" si="10"/>
        <v>3532.2418540000003</v>
      </c>
      <c r="D77" s="23">
        <v>0</v>
      </c>
      <c r="E77" s="23">
        <v>0</v>
      </c>
      <c r="F77" s="23">
        <f t="shared" si="11"/>
        <v>3532.2418540000003</v>
      </c>
      <c r="G77" s="35"/>
      <c r="H77" s="7"/>
      <c r="I77" s="4"/>
      <c r="J77" s="4"/>
    </row>
    <row r="78" spans="1:10" ht="35" thickBot="1" x14ac:dyDescent="0.25">
      <c r="A78" s="5"/>
      <c r="B78" s="58" t="s">
        <v>62</v>
      </c>
      <c r="C78" s="66">
        <f>SUM(C58:C66)</f>
        <v>136484.80360400002</v>
      </c>
      <c r="D78" s="66">
        <f t="shared" ref="D78:F78" si="12">SUM(D58:D66)</f>
        <v>0</v>
      </c>
      <c r="E78" s="66">
        <f t="shared" si="12"/>
        <v>0</v>
      </c>
      <c r="F78" s="66">
        <f t="shared" si="12"/>
        <v>136484.80360400002</v>
      </c>
      <c r="G78" s="35">
        <f>ROUNDDOWN(F78,0)</f>
        <v>136484</v>
      </c>
      <c r="H78" s="7"/>
      <c r="I78" s="4"/>
      <c r="J78" s="4"/>
    </row>
    <row r="79" spans="1:10" ht="35" thickBot="1" x14ac:dyDescent="0.25">
      <c r="B79" s="24" t="s">
        <v>63</v>
      </c>
      <c r="C79" s="66">
        <f>SUM(C67:C77)</f>
        <v>154324.30400049998</v>
      </c>
      <c r="D79" s="66">
        <f t="shared" ref="D79:E79" si="13">SUM(D67:D77)</f>
        <v>0</v>
      </c>
      <c r="E79" s="66">
        <f t="shared" si="13"/>
        <v>0</v>
      </c>
      <c r="F79" s="66">
        <f>SUM(F67:F77)</f>
        <v>154324.30400049998</v>
      </c>
      <c r="G79" s="35">
        <f>ROUNDDOWN(F79,0)</f>
        <v>154324</v>
      </c>
      <c r="H79" s="7"/>
      <c r="I79" s="4"/>
      <c r="J79" s="4"/>
    </row>
    <row r="80" spans="1:10" ht="15" thickBot="1" x14ac:dyDescent="0.2">
      <c r="G80" s="35"/>
      <c r="H80" s="59"/>
    </row>
    <row r="81" spans="2:8" ht="35" thickBot="1" x14ac:dyDescent="0.25">
      <c r="B81" s="24" t="s">
        <v>64</v>
      </c>
      <c r="C81" s="63">
        <f>SUM(C78:C79)</f>
        <v>290809.10760450002</v>
      </c>
      <c r="D81" s="63">
        <f t="shared" ref="D81:F81" si="14">SUM(D78:D79)</f>
        <v>0</v>
      </c>
      <c r="E81" s="63">
        <f t="shared" si="14"/>
        <v>0</v>
      </c>
      <c r="F81" s="63">
        <f t="shared" si="14"/>
        <v>290809.10760450002</v>
      </c>
      <c r="G81" s="35">
        <f>G77+G78+G79</f>
        <v>290808</v>
      </c>
      <c r="H81" s="60"/>
    </row>
  </sheetData>
  <mergeCells count="11">
    <mergeCell ref="B3:G3"/>
    <mergeCell ref="B4:G4"/>
    <mergeCell ref="B5:G5"/>
    <mergeCell ref="B14:G14"/>
    <mergeCell ref="B12:C12"/>
    <mergeCell ref="B55:B57"/>
    <mergeCell ref="B45:G45"/>
    <mergeCell ref="B47:G47"/>
    <mergeCell ref="B49:G49"/>
    <mergeCell ref="B51:G51"/>
    <mergeCell ref="B53:G5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69D3-5C62-49B8-9FB4-F9ECD6DCD601}">
  <dimension ref="A1:C21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1.5" style="70" bestFit="1" customWidth="1"/>
    <col min="2" max="2" width="11.33203125" bestFit="1" customWidth="1"/>
  </cols>
  <sheetData>
    <row r="1" spans="1:3" x14ac:dyDescent="0.2">
      <c r="A1" s="70" t="s">
        <v>71</v>
      </c>
      <c r="B1" t="s">
        <v>72</v>
      </c>
      <c r="C1" t="s">
        <v>73</v>
      </c>
    </row>
    <row r="2" spans="1:3" ht="16" x14ac:dyDescent="0.2">
      <c r="A2" s="69" t="s">
        <v>43</v>
      </c>
      <c r="B2" s="68">
        <f>12761171+13265087</f>
        <v>26026258</v>
      </c>
      <c r="C2" s="68">
        <f>20040+21661</f>
        <v>41701</v>
      </c>
    </row>
    <row r="3" spans="1:3" ht="16" x14ac:dyDescent="0.2">
      <c r="A3" s="69" t="s">
        <v>44</v>
      </c>
      <c r="B3" s="68">
        <f>8876311+9021285</f>
        <v>17897596</v>
      </c>
      <c r="C3" s="68">
        <f>40913+42704</f>
        <v>83617</v>
      </c>
    </row>
    <row r="4" spans="1:3" ht="16" x14ac:dyDescent="0.2">
      <c r="A4" s="69" t="s">
        <v>45</v>
      </c>
      <c r="B4" s="68">
        <f>16039531+16568953</f>
        <v>32608484</v>
      </c>
      <c r="C4" s="68">
        <f>28888+28784</f>
        <v>57672</v>
      </c>
    </row>
    <row r="5" spans="1:3" ht="16" x14ac:dyDescent="0.2">
      <c r="A5" s="69" t="s">
        <v>46</v>
      </c>
      <c r="B5" s="68">
        <f>17510458+18415659</f>
        <v>35926117</v>
      </c>
      <c r="C5" s="68">
        <f>6476+6837</f>
        <v>13313</v>
      </c>
    </row>
    <row r="6" spans="1:3" ht="16" x14ac:dyDescent="0.2">
      <c r="A6" s="69" t="s">
        <v>47</v>
      </c>
      <c r="B6" s="68">
        <f>15220739+15891134</f>
        <v>31111873</v>
      </c>
      <c r="C6" s="68">
        <f>10870+8968</f>
        <v>19838</v>
      </c>
    </row>
    <row r="7" spans="1:3" ht="16" x14ac:dyDescent="0.2">
      <c r="A7" s="69" t="s">
        <v>48</v>
      </c>
      <c r="B7" s="68">
        <f>7628405+8315462</f>
        <v>15943867</v>
      </c>
      <c r="C7" s="68">
        <f>26095+26199</f>
        <v>52294</v>
      </c>
    </row>
    <row r="8" spans="1:3" ht="16" x14ac:dyDescent="0.2">
      <c r="A8" s="69" t="s">
        <v>49</v>
      </c>
      <c r="B8" s="68">
        <f>11331285+12144534</f>
        <v>23475819</v>
      </c>
      <c r="C8" s="68">
        <f>14647+15864</f>
        <v>30511</v>
      </c>
    </row>
    <row r="9" spans="1:3" ht="16" x14ac:dyDescent="0.2">
      <c r="A9" s="69" t="s">
        <v>50</v>
      </c>
      <c r="B9" s="68">
        <f>14212834+14986439</f>
        <v>29199273</v>
      </c>
      <c r="C9" s="68">
        <f>30109+28436</f>
        <v>58545</v>
      </c>
    </row>
    <row r="10" spans="1:3" ht="16" x14ac:dyDescent="0.2">
      <c r="A10" s="69" t="s">
        <v>51</v>
      </c>
      <c r="B10" s="68">
        <f>15219294+16496315</f>
        <v>31715609</v>
      </c>
      <c r="C10" s="68">
        <f>20418+21539</f>
        <v>41957</v>
      </c>
    </row>
    <row r="11" spans="1:3" ht="16" x14ac:dyDescent="0.2">
      <c r="A11" s="69" t="s">
        <v>52</v>
      </c>
      <c r="B11" s="68">
        <f>12569147+13764593</f>
        <v>26333740</v>
      </c>
      <c r="C11" s="68">
        <f>18232+16482</f>
        <v>34714</v>
      </c>
    </row>
    <row r="12" spans="1:3" ht="16" x14ac:dyDescent="0.2">
      <c r="A12" s="69" t="s">
        <v>53</v>
      </c>
      <c r="B12" s="68">
        <f>11075975+11815909</f>
        <v>22891884</v>
      </c>
      <c r="C12" s="68">
        <f>25309+23400</f>
        <v>48709</v>
      </c>
    </row>
    <row r="13" spans="1:3" ht="16" x14ac:dyDescent="0.2">
      <c r="A13" s="69" t="s">
        <v>54</v>
      </c>
      <c r="B13" s="68">
        <f>14477106+15430229</f>
        <v>29907335</v>
      </c>
      <c r="C13" s="68">
        <f>19645+17293</f>
        <v>36938</v>
      </c>
    </row>
    <row r="14" spans="1:3" ht="16" x14ac:dyDescent="0.2">
      <c r="A14" s="69" t="s">
        <v>55</v>
      </c>
      <c r="B14" s="68">
        <f>9314496+10076130</f>
        <v>19390626</v>
      </c>
      <c r="C14" s="68">
        <f>33344+29791</f>
        <v>63135</v>
      </c>
    </row>
    <row r="15" spans="1:3" ht="16" x14ac:dyDescent="0.2">
      <c r="A15" s="69" t="s">
        <v>56</v>
      </c>
      <c r="B15" s="68">
        <f>8606818+9196321</f>
        <v>17803139</v>
      </c>
      <c r="C15" s="68">
        <f>40719+39604</f>
        <v>80323</v>
      </c>
    </row>
    <row r="16" spans="1:3" ht="16" x14ac:dyDescent="0.2">
      <c r="A16" s="69" t="s">
        <v>57</v>
      </c>
      <c r="B16" s="68">
        <f>14043862+14903552</f>
        <v>28947414</v>
      </c>
      <c r="C16" s="68">
        <f>17012+10040</f>
        <v>27052</v>
      </c>
    </row>
    <row r="17" spans="1:3" ht="16" x14ac:dyDescent="0.2">
      <c r="A17" s="69" t="s">
        <v>58</v>
      </c>
      <c r="B17" s="68">
        <f>15244001+15786782</f>
        <v>31030783</v>
      </c>
      <c r="C17" s="68">
        <f>25193+27023</f>
        <v>52216</v>
      </c>
    </row>
    <row r="18" spans="1:3" ht="16" x14ac:dyDescent="0.2">
      <c r="A18" s="69" t="s">
        <v>59</v>
      </c>
      <c r="B18" s="68">
        <f>23632744+24635663</f>
        <v>48268407</v>
      </c>
      <c r="C18" s="68">
        <f>9125+9283</f>
        <v>18408</v>
      </c>
    </row>
    <row r="19" spans="1:3" ht="16" x14ac:dyDescent="0.2">
      <c r="A19" s="69" t="s">
        <v>60</v>
      </c>
      <c r="B19" s="68">
        <f>14185974+15942110</f>
        <v>30128084</v>
      </c>
      <c r="C19" s="68">
        <f>11525+9774</f>
        <v>21299</v>
      </c>
    </row>
    <row r="20" spans="1:3" ht="16" x14ac:dyDescent="0.2">
      <c r="A20" s="69" t="s">
        <v>61</v>
      </c>
      <c r="B20" s="68">
        <f>7054813+7728423</f>
        <v>14783236</v>
      </c>
      <c r="C20" s="68">
        <f>35569+34952</f>
        <v>70521</v>
      </c>
    </row>
    <row r="21" spans="1:3" ht="16" x14ac:dyDescent="0.2">
      <c r="A21" s="69" t="s">
        <v>70</v>
      </c>
      <c r="B21" s="68">
        <f>3043925+3295391</f>
        <v>6339316</v>
      </c>
      <c r="C21" s="68">
        <f>18364+19004</f>
        <v>37368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Sah RES</vt:lpstr>
      <vt:lpstr>OSF</vt:lpstr>
    </vt:vector>
  </TitlesOfParts>
  <Manager/>
  <Company>Ruzgar Danismanlik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Cagla Balci Eris</dc:creator>
  <cp:keywords/>
  <dc:description/>
  <cp:lastModifiedBy>Cagla Balci Eris</cp:lastModifiedBy>
  <cp:lastPrinted>2012-10-12T14:47:03Z</cp:lastPrinted>
  <dcterms:created xsi:type="dcterms:W3CDTF">2010-11-11T14:08:33Z</dcterms:created>
  <dcterms:modified xsi:type="dcterms:W3CDTF">2025-12-09T23:03:08Z</dcterms:modified>
  <cp:category/>
</cp:coreProperties>
</file>