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codeName="ThisWorkbook" autoCompressPictures="0"/>
  <mc:AlternateContent xmlns:mc="http://schemas.openxmlformats.org/markup-compatibility/2006">
    <mc:Choice Requires="x15">
      <x15ac:absPath xmlns:x15ac="http://schemas.microsoft.com/office/spreadsheetml/2010/11/ac" url="/Users/caglabalcieris/Desktop/"/>
    </mc:Choice>
  </mc:AlternateContent>
  <xr:revisionPtr revIDLastSave="0" documentId="8_{88A12A18-DA2D-1747-AF33-CBB008602D27}" xr6:coauthVersionLast="47" xr6:coauthVersionMax="47" xr10:uidLastSave="{00000000-0000-0000-0000-000000000000}"/>
  <bookViews>
    <workbookView xWindow="0" yWindow="660" windowWidth="25600" windowHeight="14580" tabRatio="690" firstSheet="3" activeTab="12" xr2:uid="{00000000-000D-0000-FFFF-FFFF00000000}"/>
  </bookViews>
  <sheets>
    <sheet name="Combined Margin EF" sheetId="9" r:id="rId1"/>
    <sheet name="EGs" sheetId="1" r:id="rId2"/>
    <sheet name="FCs" sheetId="2" r:id="rId3"/>
    <sheet name="Heating Values" sheetId="3" r:id="rId4"/>
    <sheet name="NCVs" sheetId="4" r:id="rId5"/>
    <sheet name="Default EFs" sheetId="5" r:id="rId6"/>
    <sheet name="Facility_Efficiencies" sheetId="6" r:id="rId7"/>
    <sheet name="OM Calculation" sheetId="7" r:id="rId8"/>
    <sheet name="Methane Production" sheetId="17" r:id="rId9"/>
    <sheet name="ERs Calculation" sheetId="16" r:id="rId10"/>
    <sheet name="BM Calculation" sheetId="11" r:id="rId11"/>
    <sheet name="BE Grid" sheetId="18" r:id="rId12"/>
    <sheet name="Parameters" sheetId="19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5" i="18" l="1"/>
  <c r="J18" i="18" l="1"/>
  <c r="I18" i="18"/>
  <c r="F19" i="18"/>
  <c r="F20" i="18" s="1"/>
  <c r="F21" i="18" s="1"/>
  <c r="F22" i="18" s="1"/>
  <c r="F23" i="18" s="1"/>
  <c r="F24" i="18" s="1"/>
  <c r="F25" i="18" s="1"/>
  <c r="J25" i="18" s="1"/>
  <c r="E20" i="18"/>
  <c r="E21" i="18" s="1"/>
  <c r="E22" i="18" s="1"/>
  <c r="E23" i="18" s="1"/>
  <c r="E24" i="18" s="1"/>
  <c r="E25" i="18" s="1"/>
  <c r="E19" i="18"/>
  <c r="J19" i="18" l="1"/>
  <c r="J20" i="18"/>
  <c r="J27" i="18"/>
  <c r="F15" i="16"/>
  <c r="G4" i="18"/>
  <c r="F18" i="17"/>
  <c r="F12" i="18" l="1"/>
  <c r="G11" i="18" l="1"/>
  <c r="L18" i="17"/>
  <c r="I14" i="19" l="1"/>
  <c r="M14" i="19"/>
  <c r="K14" i="19"/>
  <c r="J728" i="11" l="1"/>
  <c r="E24" i="2"/>
  <c r="B18" i="7" s="1"/>
  <c r="C32" i="4"/>
  <c r="F11" i="4"/>
  <c r="F5" i="4"/>
  <c r="E25" i="2"/>
  <c r="B19" i="7" s="1"/>
  <c r="C33" i="4"/>
  <c r="F12" i="4"/>
  <c r="F6" i="4"/>
  <c r="E26" i="2"/>
  <c r="B20" i="7" s="1"/>
  <c r="C34" i="4"/>
  <c r="F7" i="4"/>
  <c r="F13" i="4"/>
  <c r="E27" i="2"/>
  <c r="B21" i="7" s="1"/>
  <c r="C35" i="4"/>
  <c r="F8" i="4"/>
  <c r="F14" i="4"/>
  <c r="E28" i="2"/>
  <c r="B22" i="7" s="1"/>
  <c r="C36" i="4"/>
  <c r="F9" i="4"/>
  <c r="F36" i="4" s="1"/>
  <c r="I36" i="4" s="1"/>
  <c r="B31" i="7" s="1"/>
  <c r="F17" i="4"/>
  <c r="E29" i="2"/>
  <c r="B23" i="7" s="1"/>
  <c r="B32" i="7"/>
  <c r="E30" i="2"/>
  <c r="B24" i="7" s="1"/>
  <c r="B33" i="7"/>
  <c r="F24" i="2"/>
  <c r="C18" i="7" s="1"/>
  <c r="D32" i="4"/>
  <c r="G11" i="4"/>
  <c r="G5" i="4"/>
  <c r="F25" i="2"/>
  <c r="C19" i="7" s="1"/>
  <c r="D33" i="4"/>
  <c r="G12" i="4"/>
  <c r="G6" i="4"/>
  <c r="F26" i="2"/>
  <c r="C20" i="7" s="1"/>
  <c r="D34" i="4"/>
  <c r="G7" i="4"/>
  <c r="G34" i="4" s="1"/>
  <c r="G13" i="4"/>
  <c r="F27" i="2"/>
  <c r="C21" i="7" s="1"/>
  <c r="D35" i="4"/>
  <c r="G8" i="4"/>
  <c r="G14" i="4"/>
  <c r="F28" i="2"/>
  <c r="C22" i="7" s="1"/>
  <c r="D36" i="4"/>
  <c r="G9" i="4"/>
  <c r="G17" i="4"/>
  <c r="F29" i="2"/>
  <c r="C23" i="7" s="1"/>
  <c r="C32" i="7"/>
  <c r="F30" i="2"/>
  <c r="C24" i="7"/>
  <c r="C33" i="7"/>
  <c r="G24" i="2"/>
  <c r="D18" i="7" s="1"/>
  <c r="E32" i="4"/>
  <c r="H11" i="4"/>
  <c r="H5" i="4"/>
  <c r="H32" i="4" s="1"/>
  <c r="G25" i="2"/>
  <c r="D19" i="7" s="1"/>
  <c r="E33" i="4"/>
  <c r="H12" i="4"/>
  <c r="H6" i="4"/>
  <c r="G26" i="2"/>
  <c r="D20" i="7" s="1"/>
  <c r="E34" i="4"/>
  <c r="H7" i="4"/>
  <c r="H13" i="4"/>
  <c r="G27" i="2"/>
  <c r="D21" i="7" s="1"/>
  <c r="E35" i="4"/>
  <c r="H8" i="4"/>
  <c r="H14" i="4"/>
  <c r="G28" i="2"/>
  <c r="D22" i="7"/>
  <c r="E36" i="4"/>
  <c r="H9" i="4"/>
  <c r="H17" i="4"/>
  <c r="G29" i="2"/>
  <c r="D23" i="7" s="1"/>
  <c r="D32" i="7"/>
  <c r="G30" i="2"/>
  <c r="D24" i="7" s="1"/>
  <c r="D33" i="7"/>
  <c r="E44" i="1"/>
  <c r="B11" i="7" s="1"/>
  <c r="B8" i="7"/>
  <c r="E35" i="1"/>
  <c r="E40" i="1" s="1"/>
  <c r="B7" i="7" s="1"/>
  <c r="B9" i="7" s="1"/>
  <c r="B14" i="7"/>
  <c r="F44" i="1"/>
  <c r="C11" i="7" s="1"/>
  <c r="C8" i="7"/>
  <c r="F35" i="1"/>
  <c r="F40" i="1" s="1"/>
  <c r="C14" i="7"/>
  <c r="G44" i="1"/>
  <c r="D11" i="7" s="1"/>
  <c r="D8" i="7"/>
  <c r="G40" i="1"/>
  <c r="D7" i="7" s="1"/>
  <c r="D14" i="7"/>
  <c r="J15" i="11"/>
  <c r="J16" i="11"/>
  <c r="J17" i="11"/>
  <c r="J18" i="11"/>
  <c r="J19" i="11"/>
  <c r="J20" i="11"/>
  <c r="J21" i="11"/>
  <c r="J22" i="11"/>
  <c r="J23" i="11"/>
  <c r="J24" i="11"/>
  <c r="J25" i="11"/>
  <c r="J26" i="11"/>
  <c r="J27" i="11"/>
  <c r="J28" i="11"/>
  <c r="J29" i="11"/>
  <c r="J30" i="11"/>
  <c r="J31" i="11"/>
  <c r="J32" i="11"/>
  <c r="J33" i="11"/>
  <c r="J34" i="11"/>
  <c r="J35" i="11"/>
  <c r="J36" i="11"/>
  <c r="J37" i="11"/>
  <c r="J38" i="11"/>
  <c r="J39" i="11"/>
  <c r="J40" i="11"/>
  <c r="J41" i="11"/>
  <c r="J42" i="11"/>
  <c r="J43" i="11"/>
  <c r="J44" i="11"/>
  <c r="J45" i="11"/>
  <c r="J46" i="11"/>
  <c r="J47" i="11"/>
  <c r="J48" i="11"/>
  <c r="J49" i="11"/>
  <c r="J50" i="11"/>
  <c r="J51" i="11"/>
  <c r="J52" i="11"/>
  <c r="J53" i="11"/>
  <c r="J54" i="11"/>
  <c r="J55" i="11"/>
  <c r="J56" i="11"/>
  <c r="J57" i="11"/>
  <c r="J58" i="11"/>
  <c r="J59" i="11"/>
  <c r="J60" i="11"/>
  <c r="J61" i="11"/>
  <c r="J62" i="11"/>
  <c r="J63" i="11"/>
  <c r="J64" i="11"/>
  <c r="J65" i="11"/>
  <c r="J66" i="11"/>
  <c r="J67" i="11"/>
  <c r="J68" i="11"/>
  <c r="J69" i="11"/>
  <c r="J70" i="11"/>
  <c r="J71" i="11"/>
  <c r="J72" i="11"/>
  <c r="J73" i="11"/>
  <c r="J74" i="11"/>
  <c r="J75" i="11"/>
  <c r="J76" i="11"/>
  <c r="J77" i="11"/>
  <c r="J78" i="11"/>
  <c r="J79" i="11"/>
  <c r="J80" i="11"/>
  <c r="J81" i="11"/>
  <c r="J82" i="11"/>
  <c r="J83" i="11"/>
  <c r="J84" i="11"/>
  <c r="J85" i="11"/>
  <c r="J86" i="11"/>
  <c r="J87" i="11"/>
  <c r="J88" i="11"/>
  <c r="J89" i="11"/>
  <c r="J90" i="11"/>
  <c r="J91" i="11"/>
  <c r="J92" i="11"/>
  <c r="J93" i="11"/>
  <c r="J94" i="11"/>
  <c r="J95" i="11"/>
  <c r="J96" i="11"/>
  <c r="J97" i="11"/>
  <c r="J98" i="11"/>
  <c r="J99" i="11"/>
  <c r="J100" i="11"/>
  <c r="J101" i="11"/>
  <c r="J102" i="11"/>
  <c r="J103" i="11"/>
  <c r="J104" i="11"/>
  <c r="J105" i="11"/>
  <c r="J106" i="11"/>
  <c r="J107" i="11"/>
  <c r="J108" i="11"/>
  <c r="J109" i="11"/>
  <c r="J110" i="11"/>
  <c r="J111" i="11"/>
  <c r="J112" i="11"/>
  <c r="J113" i="11"/>
  <c r="J114" i="11"/>
  <c r="J115" i="11"/>
  <c r="J116" i="11"/>
  <c r="J117" i="11"/>
  <c r="J118" i="11"/>
  <c r="J119" i="11"/>
  <c r="J120" i="11"/>
  <c r="J121" i="11"/>
  <c r="J122" i="11"/>
  <c r="J123" i="11"/>
  <c r="J124" i="11"/>
  <c r="J125" i="11"/>
  <c r="J126" i="11"/>
  <c r="J127" i="11"/>
  <c r="J128" i="11"/>
  <c r="J129" i="11"/>
  <c r="J130" i="11"/>
  <c r="J131" i="11"/>
  <c r="J132" i="11"/>
  <c r="J133" i="11"/>
  <c r="J134" i="11"/>
  <c r="J135" i="11"/>
  <c r="J136" i="11"/>
  <c r="J137" i="11"/>
  <c r="J138" i="11"/>
  <c r="J139" i="11"/>
  <c r="J140" i="11"/>
  <c r="J141" i="11"/>
  <c r="J142" i="11"/>
  <c r="J143" i="11"/>
  <c r="J144" i="11"/>
  <c r="J145" i="11"/>
  <c r="J146" i="11"/>
  <c r="J147" i="11"/>
  <c r="J148" i="11"/>
  <c r="J149" i="11"/>
  <c r="J150" i="11"/>
  <c r="J151" i="11"/>
  <c r="J152" i="11"/>
  <c r="J153" i="11"/>
  <c r="J154" i="11"/>
  <c r="J155" i="11"/>
  <c r="J156" i="11"/>
  <c r="J157" i="11"/>
  <c r="J158" i="11"/>
  <c r="J159" i="11"/>
  <c r="J160" i="11"/>
  <c r="J161" i="11"/>
  <c r="J162" i="11"/>
  <c r="J163" i="11"/>
  <c r="J164" i="11"/>
  <c r="J165" i="11"/>
  <c r="J166" i="11"/>
  <c r="J167" i="11"/>
  <c r="J168" i="11"/>
  <c r="J169" i="11"/>
  <c r="J170" i="11"/>
  <c r="J171" i="11"/>
  <c r="J172" i="11"/>
  <c r="J173" i="11"/>
  <c r="J174" i="11"/>
  <c r="J175" i="11"/>
  <c r="J176" i="11"/>
  <c r="J177" i="11"/>
  <c r="J178" i="11"/>
  <c r="J179" i="11"/>
  <c r="J180" i="11"/>
  <c r="J181" i="11"/>
  <c r="J182" i="11"/>
  <c r="J183" i="11"/>
  <c r="J184" i="11"/>
  <c r="J185" i="11"/>
  <c r="J186" i="11"/>
  <c r="J187" i="11"/>
  <c r="J188" i="11"/>
  <c r="J189" i="11"/>
  <c r="J190" i="11"/>
  <c r="J191" i="11"/>
  <c r="J192" i="11"/>
  <c r="J193" i="11"/>
  <c r="J194" i="11"/>
  <c r="J195" i="11"/>
  <c r="J196" i="11"/>
  <c r="J197" i="11"/>
  <c r="J198" i="11"/>
  <c r="J199" i="11"/>
  <c r="J200" i="11"/>
  <c r="J201" i="11"/>
  <c r="J202" i="11"/>
  <c r="J203" i="11"/>
  <c r="J204" i="11"/>
  <c r="J205" i="11"/>
  <c r="J206" i="11"/>
  <c r="J207" i="11"/>
  <c r="J208" i="11"/>
  <c r="V15" i="11"/>
  <c r="K15" i="11"/>
  <c r="K16" i="11"/>
  <c r="K17" i="11"/>
  <c r="K18" i="11"/>
  <c r="K19" i="11"/>
  <c r="K20" i="11"/>
  <c r="K21" i="11"/>
  <c r="K22" i="11"/>
  <c r="K23" i="11"/>
  <c r="K24" i="11"/>
  <c r="K25" i="11"/>
  <c r="K26" i="11"/>
  <c r="K27" i="11"/>
  <c r="K28" i="11"/>
  <c r="K29" i="11"/>
  <c r="K30" i="11"/>
  <c r="K31" i="11"/>
  <c r="K32" i="11"/>
  <c r="K33" i="11"/>
  <c r="K34" i="11"/>
  <c r="K35" i="11"/>
  <c r="K36" i="11"/>
  <c r="K37" i="11"/>
  <c r="K38" i="11"/>
  <c r="K39" i="11"/>
  <c r="K40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3" i="11"/>
  <c r="K54" i="11"/>
  <c r="K55" i="11"/>
  <c r="K56" i="11"/>
  <c r="K57" i="11"/>
  <c r="K58" i="11"/>
  <c r="K59" i="11"/>
  <c r="K60" i="11"/>
  <c r="K61" i="11"/>
  <c r="K62" i="11"/>
  <c r="K63" i="11"/>
  <c r="K64" i="11"/>
  <c r="K65" i="11"/>
  <c r="K66" i="11"/>
  <c r="K67" i="11"/>
  <c r="K68" i="11"/>
  <c r="K69" i="11"/>
  <c r="K70" i="11"/>
  <c r="K71" i="11"/>
  <c r="K72" i="11"/>
  <c r="K73" i="11"/>
  <c r="K74" i="11"/>
  <c r="K75" i="11"/>
  <c r="K76" i="11"/>
  <c r="K77" i="11"/>
  <c r="K78" i="11"/>
  <c r="K79" i="11"/>
  <c r="K80" i="11"/>
  <c r="K81" i="11"/>
  <c r="K82" i="11"/>
  <c r="K83" i="11"/>
  <c r="K84" i="11"/>
  <c r="K85" i="11"/>
  <c r="K86" i="11"/>
  <c r="K87" i="11"/>
  <c r="K88" i="11"/>
  <c r="K89" i="11"/>
  <c r="K90" i="11"/>
  <c r="K91" i="11"/>
  <c r="K92" i="11"/>
  <c r="K93" i="11"/>
  <c r="K94" i="11"/>
  <c r="K95" i="11"/>
  <c r="K96" i="11"/>
  <c r="K97" i="11"/>
  <c r="K98" i="11"/>
  <c r="K99" i="11"/>
  <c r="K100" i="11"/>
  <c r="K101" i="11"/>
  <c r="K102" i="11"/>
  <c r="K103" i="11"/>
  <c r="K104" i="11"/>
  <c r="K105" i="11"/>
  <c r="K106" i="11"/>
  <c r="K107" i="11"/>
  <c r="K108" i="11"/>
  <c r="K109" i="11"/>
  <c r="K110" i="11"/>
  <c r="K111" i="11"/>
  <c r="K112" i="11"/>
  <c r="K113" i="11"/>
  <c r="K114" i="11"/>
  <c r="K115" i="11"/>
  <c r="K116" i="11"/>
  <c r="K117" i="11"/>
  <c r="K118" i="11"/>
  <c r="K119" i="11"/>
  <c r="K120" i="11"/>
  <c r="K121" i="11"/>
  <c r="K122" i="11"/>
  <c r="K123" i="11"/>
  <c r="K124" i="11"/>
  <c r="K125" i="11"/>
  <c r="K126" i="11"/>
  <c r="K127" i="11"/>
  <c r="K128" i="11"/>
  <c r="K129" i="11"/>
  <c r="K130" i="11"/>
  <c r="K131" i="11"/>
  <c r="K132" i="11"/>
  <c r="K133" i="11"/>
  <c r="K134" i="11"/>
  <c r="K135" i="11"/>
  <c r="K136" i="11"/>
  <c r="K137" i="11"/>
  <c r="K138" i="11"/>
  <c r="K139" i="11"/>
  <c r="K140" i="11"/>
  <c r="K141" i="11"/>
  <c r="K142" i="11"/>
  <c r="K143" i="11"/>
  <c r="K144" i="11"/>
  <c r="K145" i="11"/>
  <c r="K146" i="11"/>
  <c r="K147" i="11"/>
  <c r="K148" i="11"/>
  <c r="K149" i="11"/>
  <c r="K150" i="11"/>
  <c r="K151" i="11"/>
  <c r="K152" i="11"/>
  <c r="K153" i="11"/>
  <c r="K154" i="11"/>
  <c r="K155" i="11"/>
  <c r="K156" i="11"/>
  <c r="K157" i="11"/>
  <c r="K158" i="11"/>
  <c r="K159" i="11"/>
  <c r="K160" i="11"/>
  <c r="K161" i="11"/>
  <c r="K162" i="11"/>
  <c r="K163" i="11"/>
  <c r="K164" i="11"/>
  <c r="K165" i="11"/>
  <c r="K166" i="11"/>
  <c r="K167" i="11"/>
  <c r="K168" i="11"/>
  <c r="K169" i="11"/>
  <c r="K170" i="11"/>
  <c r="K171" i="11"/>
  <c r="K172" i="11"/>
  <c r="K173" i="11"/>
  <c r="K174" i="11"/>
  <c r="K175" i="11"/>
  <c r="K176" i="11"/>
  <c r="K177" i="11"/>
  <c r="K178" i="11"/>
  <c r="K179" i="11"/>
  <c r="K180" i="11"/>
  <c r="K181" i="11"/>
  <c r="K182" i="11"/>
  <c r="K183" i="11"/>
  <c r="K184" i="11"/>
  <c r="K185" i="11"/>
  <c r="K186" i="11"/>
  <c r="K187" i="11"/>
  <c r="K188" i="11"/>
  <c r="K189" i="11"/>
  <c r="K190" i="11"/>
  <c r="K191" i="11"/>
  <c r="K192" i="11"/>
  <c r="K193" i="11"/>
  <c r="K194" i="11"/>
  <c r="K195" i="11"/>
  <c r="K196" i="11"/>
  <c r="K197" i="11"/>
  <c r="K198" i="11"/>
  <c r="K199" i="11"/>
  <c r="K200" i="11"/>
  <c r="K201" i="11"/>
  <c r="K202" i="11"/>
  <c r="K203" i="11"/>
  <c r="K204" i="11"/>
  <c r="K205" i="11"/>
  <c r="K206" i="11"/>
  <c r="K207" i="11"/>
  <c r="K208" i="11"/>
  <c r="V16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35" i="11"/>
  <c r="L36" i="11"/>
  <c r="L37" i="11"/>
  <c r="L38" i="11"/>
  <c r="L39" i="11"/>
  <c r="L40" i="11"/>
  <c r="L41" i="11"/>
  <c r="L42" i="11"/>
  <c r="L43" i="11"/>
  <c r="L44" i="11"/>
  <c r="L45" i="11"/>
  <c r="L46" i="11"/>
  <c r="L47" i="11"/>
  <c r="L48" i="11"/>
  <c r="L49" i="11"/>
  <c r="L50" i="11"/>
  <c r="L51" i="11"/>
  <c r="L52" i="11"/>
  <c r="L53" i="11"/>
  <c r="L54" i="11"/>
  <c r="L55" i="11"/>
  <c r="L56" i="11"/>
  <c r="L57" i="11"/>
  <c r="L58" i="11"/>
  <c r="L59" i="11"/>
  <c r="L60" i="11"/>
  <c r="L61" i="11"/>
  <c r="L62" i="11"/>
  <c r="L63" i="11"/>
  <c r="L64" i="11"/>
  <c r="L65" i="11"/>
  <c r="L66" i="11"/>
  <c r="L67" i="11"/>
  <c r="L68" i="11"/>
  <c r="L69" i="11"/>
  <c r="L70" i="11"/>
  <c r="L71" i="11"/>
  <c r="L72" i="11"/>
  <c r="L73" i="11"/>
  <c r="L74" i="11"/>
  <c r="L75" i="11"/>
  <c r="L76" i="11"/>
  <c r="L77" i="11"/>
  <c r="L78" i="11"/>
  <c r="L79" i="11"/>
  <c r="L80" i="11"/>
  <c r="L81" i="11"/>
  <c r="L82" i="11"/>
  <c r="L83" i="11"/>
  <c r="L84" i="11"/>
  <c r="L85" i="11"/>
  <c r="L86" i="11"/>
  <c r="L87" i="11"/>
  <c r="L88" i="11"/>
  <c r="L89" i="11"/>
  <c r="L90" i="11"/>
  <c r="L91" i="11"/>
  <c r="L92" i="11"/>
  <c r="L93" i="11"/>
  <c r="L94" i="11"/>
  <c r="L95" i="11"/>
  <c r="L96" i="11"/>
  <c r="L97" i="11"/>
  <c r="L98" i="11"/>
  <c r="L99" i="11"/>
  <c r="L100" i="11"/>
  <c r="L101" i="11"/>
  <c r="L102" i="11"/>
  <c r="L103" i="11"/>
  <c r="L104" i="11"/>
  <c r="L105" i="11"/>
  <c r="L106" i="11"/>
  <c r="L107" i="11"/>
  <c r="L108" i="11"/>
  <c r="L109" i="11"/>
  <c r="L110" i="11"/>
  <c r="L111" i="11"/>
  <c r="L112" i="11"/>
  <c r="L113" i="11"/>
  <c r="L114" i="11"/>
  <c r="L115" i="11"/>
  <c r="L116" i="11"/>
  <c r="L117" i="11"/>
  <c r="L118" i="11"/>
  <c r="L119" i="11"/>
  <c r="L120" i="11"/>
  <c r="L121" i="11"/>
  <c r="L122" i="11"/>
  <c r="L123" i="11"/>
  <c r="L124" i="11"/>
  <c r="L125" i="11"/>
  <c r="L126" i="11"/>
  <c r="L127" i="11"/>
  <c r="L128" i="11"/>
  <c r="L129" i="11"/>
  <c r="L130" i="11"/>
  <c r="L131" i="11"/>
  <c r="L132" i="11"/>
  <c r="L133" i="11"/>
  <c r="L134" i="11"/>
  <c r="L135" i="11"/>
  <c r="L136" i="11"/>
  <c r="L137" i="11"/>
  <c r="L138" i="11"/>
  <c r="L139" i="11"/>
  <c r="L140" i="11"/>
  <c r="L141" i="11"/>
  <c r="L142" i="11"/>
  <c r="L143" i="11"/>
  <c r="L144" i="11"/>
  <c r="L145" i="11"/>
  <c r="L146" i="11"/>
  <c r="L147" i="11"/>
  <c r="L148" i="11"/>
  <c r="L149" i="11"/>
  <c r="L150" i="11"/>
  <c r="L151" i="11"/>
  <c r="L152" i="11"/>
  <c r="L153" i="11"/>
  <c r="L154" i="11"/>
  <c r="L155" i="11"/>
  <c r="L156" i="11"/>
  <c r="L157" i="11"/>
  <c r="L158" i="11"/>
  <c r="L159" i="11"/>
  <c r="L160" i="11"/>
  <c r="L161" i="11"/>
  <c r="L162" i="11"/>
  <c r="L163" i="11"/>
  <c r="L164" i="11"/>
  <c r="L165" i="11"/>
  <c r="L166" i="11"/>
  <c r="L167" i="11"/>
  <c r="L168" i="11"/>
  <c r="L169" i="11"/>
  <c r="L170" i="11"/>
  <c r="L171" i="11"/>
  <c r="L172" i="11"/>
  <c r="L173" i="11"/>
  <c r="L174" i="11"/>
  <c r="L175" i="11"/>
  <c r="L176" i="11"/>
  <c r="L177" i="11"/>
  <c r="L178" i="11"/>
  <c r="L179" i="11"/>
  <c r="L180" i="11"/>
  <c r="L181" i="11"/>
  <c r="L182" i="11"/>
  <c r="L183" i="11"/>
  <c r="L184" i="11"/>
  <c r="L185" i="11"/>
  <c r="L186" i="11"/>
  <c r="L187" i="11"/>
  <c r="L188" i="11"/>
  <c r="L189" i="11"/>
  <c r="L190" i="11"/>
  <c r="L191" i="11"/>
  <c r="L192" i="11"/>
  <c r="L193" i="11"/>
  <c r="L194" i="11"/>
  <c r="L195" i="11"/>
  <c r="L196" i="11"/>
  <c r="L197" i="11"/>
  <c r="L198" i="11"/>
  <c r="L199" i="11"/>
  <c r="L200" i="11"/>
  <c r="L201" i="11"/>
  <c r="L202" i="11"/>
  <c r="L203" i="11"/>
  <c r="L204" i="11"/>
  <c r="L205" i="11"/>
  <c r="L206" i="11"/>
  <c r="L207" i="11"/>
  <c r="L208" i="11"/>
  <c r="V17" i="11"/>
  <c r="J214" i="11"/>
  <c r="J215" i="11"/>
  <c r="J216" i="11"/>
  <c r="J217" i="11"/>
  <c r="J218" i="11"/>
  <c r="J219" i="11"/>
  <c r="J220" i="11"/>
  <c r="J221" i="11"/>
  <c r="J222" i="11"/>
  <c r="J223" i="11"/>
  <c r="J224" i="11"/>
  <c r="J225" i="11"/>
  <c r="J226" i="11"/>
  <c r="J227" i="11"/>
  <c r="J228" i="11"/>
  <c r="J229" i="11"/>
  <c r="J230" i="11"/>
  <c r="J231" i="11"/>
  <c r="J232" i="11"/>
  <c r="J233" i="11"/>
  <c r="J234" i="11"/>
  <c r="J235" i="11"/>
  <c r="J236" i="11"/>
  <c r="J237" i="11"/>
  <c r="J238" i="11"/>
  <c r="J239" i="11"/>
  <c r="J240" i="11"/>
  <c r="J241" i="11"/>
  <c r="J242" i="11"/>
  <c r="J243" i="11"/>
  <c r="J244" i="11"/>
  <c r="J245" i="11"/>
  <c r="J246" i="11"/>
  <c r="J247" i="11"/>
  <c r="J248" i="11"/>
  <c r="J249" i="11"/>
  <c r="J250" i="11"/>
  <c r="J251" i="11"/>
  <c r="J252" i="11"/>
  <c r="J253" i="11"/>
  <c r="J254" i="11"/>
  <c r="J255" i="11"/>
  <c r="J256" i="11"/>
  <c r="J257" i="11"/>
  <c r="J258" i="11"/>
  <c r="J259" i="11"/>
  <c r="J260" i="11"/>
  <c r="J261" i="11"/>
  <c r="J262" i="11"/>
  <c r="J263" i="11"/>
  <c r="J264" i="11"/>
  <c r="J265" i="11"/>
  <c r="J266" i="11"/>
  <c r="J267" i="11"/>
  <c r="J268" i="11"/>
  <c r="J269" i="11"/>
  <c r="J270" i="11"/>
  <c r="J271" i="11"/>
  <c r="J272" i="11"/>
  <c r="J273" i="11"/>
  <c r="J274" i="11"/>
  <c r="J275" i="11"/>
  <c r="J276" i="11"/>
  <c r="J277" i="11"/>
  <c r="J278" i="11"/>
  <c r="J279" i="11"/>
  <c r="J280" i="11"/>
  <c r="J281" i="11"/>
  <c r="J282" i="11"/>
  <c r="J283" i="11"/>
  <c r="J284" i="11"/>
  <c r="J285" i="11"/>
  <c r="J286" i="11"/>
  <c r="J287" i="11"/>
  <c r="J288" i="11"/>
  <c r="J289" i="11"/>
  <c r="J290" i="11"/>
  <c r="J291" i="11"/>
  <c r="J292" i="11"/>
  <c r="J293" i="11"/>
  <c r="J294" i="11"/>
  <c r="J295" i="11"/>
  <c r="J296" i="11"/>
  <c r="J297" i="11"/>
  <c r="J298" i="11"/>
  <c r="J299" i="11"/>
  <c r="J300" i="11"/>
  <c r="J301" i="11"/>
  <c r="J302" i="11"/>
  <c r="J303" i="11"/>
  <c r="J304" i="11"/>
  <c r="J305" i="11"/>
  <c r="J306" i="11"/>
  <c r="J307" i="11"/>
  <c r="J308" i="11"/>
  <c r="J309" i="11"/>
  <c r="J310" i="11"/>
  <c r="J311" i="11"/>
  <c r="J312" i="11"/>
  <c r="J313" i="11"/>
  <c r="J314" i="11"/>
  <c r="J315" i="11"/>
  <c r="J316" i="11"/>
  <c r="J317" i="11"/>
  <c r="J318" i="11"/>
  <c r="J319" i="11"/>
  <c r="J320" i="11"/>
  <c r="J321" i="11"/>
  <c r="J322" i="11"/>
  <c r="J323" i="11"/>
  <c r="J324" i="11"/>
  <c r="J325" i="11"/>
  <c r="J326" i="11"/>
  <c r="J327" i="11"/>
  <c r="J328" i="11"/>
  <c r="J329" i="11"/>
  <c r="J330" i="11"/>
  <c r="J331" i="11"/>
  <c r="J332" i="11"/>
  <c r="J333" i="11"/>
  <c r="J334" i="11"/>
  <c r="J335" i="11"/>
  <c r="J336" i="11"/>
  <c r="J337" i="11"/>
  <c r="J338" i="11"/>
  <c r="J339" i="11"/>
  <c r="J340" i="11"/>
  <c r="J341" i="11"/>
  <c r="J342" i="11"/>
  <c r="J343" i="11"/>
  <c r="J344" i="11"/>
  <c r="J345" i="11"/>
  <c r="J346" i="11"/>
  <c r="J347" i="11"/>
  <c r="J348" i="11"/>
  <c r="J349" i="11"/>
  <c r="J350" i="11"/>
  <c r="J351" i="11"/>
  <c r="J352" i="11"/>
  <c r="J353" i="11"/>
  <c r="J354" i="11"/>
  <c r="J355" i="11"/>
  <c r="J356" i="11"/>
  <c r="J357" i="11"/>
  <c r="J358" i="11"/>
  <c r="J359" i="11"/>
  <c r="J360" i="11"/>
  <c r="J361" i="11"/>
  <c r="J362" i="11"/>
  <c r="J363" i="11"/>
  <c r="J364" i="11"/>
  <c r="J365" i="11"/>
  <c r="J366" i="11"/>
  <c r="J367" i="11"/>
  <c r="J368" i="11"/>
  <c r="J369" i="11"/>
  <c r="J370" i="11"/>
  <c r="J371" i="11"/>
  <c r="J372" i="11"/>
  <c r="J373" i="11"/>
  <c r="J374" i="11"/>
  <c r="J375" i="11"/>
  <c r="J376" i="11"/>
  <c r="J377" i="11"/>
  <c r="J378" i="11"/>
  <c r="J379" i="11"/>
  <c r="J380" i="11"/>
  <c r="J381" i="11"/>
  <c r="J382" i="11"/>
  <c r="J383" i="11"/>
  <c r="J384" i="11"/>
  <c r="J385" i="11"/>
  <c r="J386" i="11"/>
  <c r="J387" i="11"/>
  <c r="J388" i="11"/>
  <c r="J389" i="11"/>
  <c r="J390" i="11"/>
  <c r="J391" i="11"/>
  <c r="J392" i="11"/>
  <c r="J393" i="11"/>
  <c r="J394" i="11"/>
  <c r="J395" i="11"/>
  <c r="J396" i="11"/>
  <c r="J397" i="11"/>
  <c r="J398" i="11"/>
  <c r="J399" i="11"/>
  <c r="J400" i="11"/>
  <c r="J401" i="11"/>
  <c r="J402" i="11"/>
  <c r="J403" i="11"/>
  <c r="J404" i="11"/>
  <c r="J405" i="11"/>
  <c r="J406" i="11"/>
  <c r="J407" i="11"/>
  <c r="J408" i="11"/>
  <c r="J409" i="11"/>
  <c r="J410" i="11"/>
  <c r="J411" i="11"/>
  <c r="J412" i="11"/>
  <c r="J413" i="11"/>
  <c r="J414" i="11"/>
  <c r="J415" i="11"/>
  <c r="J416" i="11"/>
  <c r="J417" i="11"/>
  <c r="J418" i="11"/>
  <c r="J419" i="11"/>
  <c r="J420" i="11"/>
  <c r="J421" i="11"/>
  <c r="J422" i="11"/>
  <c r="J423" i="11"/>
  <c r="J424" i="11"/>
  <c r="J425" i="11"/>
  <c r="J426" i="11"/>
  <c r="J427" i="11"/>
  <c r="J428" i="11"/>
  <c r="J429" i="11"/>
  <c r="J430" i="11"/>
  <c r="J431" i="11"/>
  <c r="J432" i="11"/>
  <c r="J433" i="11"/>
  <c r="J434" i="11"/>
  <c r="J435" i="11"/>
  <c r="J436" i="11"/>
  <c r="J437" i="11"/>
  <c r="J438" i="11"/>
  <c r="J439" i="11"/>
  <c r="J440" i="11"/>
  <c r="J441" i="11"/>
  <c r="J442" i="11"/>
  <c r="J443" i="11"/>
  <c r="J444" i="11"/>
  <c r="J445" i="11"/>
  <c r="J446" i="11"/>
  <c r="J447" i="11"/>
  <c r="J448" i="11"/>
  <c r="J449" i="11"/>
  <c r="J450" i="11"/>
  <c r="J451" i="11"/>
  <c r="J452" i="11"/>
  <c r="J453" i="11"/>
  <c r="K214" i="11"/>
  <c r="K215" i="11"/>
  <c r="K216" i="11"/>
  <c r="K217" i="11"/>
  <c r="K218" i="11"/>
  <c r="K219" i="11"/>
  <c r="K220" i="11"/>
  <c r="K221" i="11"/>
  <c r="K222" i="11"/>
  <c r="K223" i="11"/>
  <c r="K224" i="11"/>
  <c r="K225" i="11"/>
  <c r="K226" i="11"/>
  <c r="K227" i="11"/>
  <c r="K228" i="11"/>
  <c r="K229" i="11"/>
  <c r="K230" i="11"/>
  <c r="K231" i="11"/>
  <c r="K232" i="11"/>
  <c r="K233" i="11"/>
  <c r="K234" i="11"/>
  <c r="K235" i="11"/>
  <c r="K236" i="11"/>
  <c r="K237" i="11"/>
  <c r="K238" i="11"/>
  <c r="K239" i="11"/>
  <c r="K240" i="11"/>
  <c r="K241" i="11"/>
  <c r="K242" i="11"/>
  <c r="K243" i="11"/>
  <c r="K244" i="11"/>
  <c r="K245" i="11"/>
  <c r="K246" i="11"/>
  <c r="K247" i="11"/>
  <c r="K248" i="11"/>
  <c r="K249" i="11"/>
  <c r="K250" i="11"/>
  <c r="K251" i="11"/>
  <c r="K252" i="11"/>
  <c r="K253" i="11"/>
  <c r="K254" i="11"/>
  <c r="K255" i="11"/>
  <c r="K256" i="11"/>
  <c r="K257" i="11"/>
  <c r="K258" i="11"/>
  <c r="K259" i="11"/>
  <c r="K260" i="11"/>
  <c r="K261" i="11"/>
  <c r="K262" i="11"/>
  <c r="K263" i="11"/>
  <c r="K264" i="11"/>
  <c r="K265" i="11"/>
  <c r="K266" i="11"/>
  <c r="K267" i="11"/>
  <c r="K268" i="11"/>
  <c r="K269" i="11"/>
  <c r="K270" i="11"/>
  <c r="K271" i="11"/>
  <c r="K272" i="11"/>
  <c r="K273" i="11"/>
  <c r="K274" i="11"/>
  <c r="K275" i="11"/>
  <c r="K276" i="11"/>
  <c r="K277" i="11"/>
  <c r="K278" i="11"/>
  <c r="K279" i="11"/>
  <c r="K280" i="11"/>
  <c r="K281" i="11"/>
  <c r="K282" i="11"/>
  <c r="K283" i="11"/>
  <c r="K284" i="11"/>
  <c r="K285" i="11"/>
  <c r="K286" i="11"/>
  <c r="K287" i="11"/>
  <c r="K288" i="11"/>
  <c r="K289" i="11"/>
  <c r="K290" i="11"/>
  <c r="K291" i="11"/>
  <c r="K292" i="11"/>
  <c r="K293" i="11"/>
  <c r="K294" i="11"/>
  <c r="K295" i="11"/>
  <c r="K296" i="11"/>
  <c r="K297" i="11"/>
  <c r="K298" i="11"/>
  <c r="K299" i="11"/>
  <c r="K300" i="11"/>
  <c r="K301" i="11"/>
  <c r="K302" i="11"/>
  <c r="K303" i="11"/>
  <c r="K304" i="11"/>
  <c r="K305" i="11"/>
  <c r="K306" i="11"/>
  <c r="K307" i="11"/>
  <c r="K308" i="11"/>
  <c r="K309" i="11"/>
  <c r="K310" i="11"/>
  <c r="K311" i="11"/>
  <c r="K312" i="11"/>
  <c r="K313" i="11"/>
  <c r="K314" i="11"/>
  <c r="K315" i="11"/>
  <c r="K316" i="11"/>
  <c r="K317" i="11"/>
  <c r="K318" i="11"/>
  <c r="K319" i="11"/>
  <c r="K320" i="11"/>
  <c r="K321" i="11"/>
  <c r="K322" i="11"/>
  <c r="K323" i="11"/>
  <c r="K324" i="11"/>
  <c r="K325" i="11"/>
  <c r="K326" i="11"/>
  <c r="K327" i="11"/>
  <c r="K328" i="11"/>
  <c r="K329" i="11"/>
  <c r="K330" i="11"/>
  <c r="K331" i="11"/>
  <c r="K332" i="11"/>
  <c r="K333" i="11"/>
  <c r="K334" i="11"/>
  <c r="K335" i="11"/>
  <c r="K336" i="11"/>
  <c r="K337" i="11"/>
  <c r="K338" i="11"/>
  <c r="K339" i="11"/>
  <c r="K340" i="11"/>
  <c r="K341" i="11"/>
  <c r="K342" i="11"/>
  <c r="K343" i="11"/>
  <c r="K344" i="11"/>
  <c r="K345" i="11"/>
  <c r="K346" i="11"/>
  <c r="K347" i="11"/>
  <c r="K348" i="11"/>
  <c r="K349" i="11"/>
  <c r="K350" i="11"/>
  <c r="K351" i="11"/>
  <c r="K352" i="11"/>
  <c r="K353" i="11"/>
  <c r="K354" i="11"/>
  <c r="K355" i="11"/>
  <c r="K356" i="11"/>
  <c r="K357" i="11"/>
  <c r="K358" i="11"/>
  <c r="K359" i="11"/>
  <c r="K360" i="11"/>
  <c r="K361" i="11"/>
  <c r="K362" i="11"/>
  <c r="K363" i="11"/>
  <c r="K364" i="11"/>
  <c r="K365" i="11"/>
  <c r="K366" i="11"/>
  <c r="K367" i="11"/>
  <c r="K368" i="11"/>
  <c r="K369" i="11"/>
  <c r="K370" i="11"/>
  <c r="K371" i="11"/>
  <c r="K372" i="11"/>
  <c r="K373" i="11"/>
  <c r="K374" i="11"/>
  <c r="K375" i="11"/>
  <c r="K376" i="11"/>
  <c r="K377" i="11"/>
  <c r="K378" i="11"/>
  <c r="K379" i="11"/>
  <c r="K380" i="11"/>
  <c r="K381" i="11"/>
  <c r="K382" i="11"/>
  <c r="K383" i="11"/>
  <c r="K384" i="11"/>
  <c r="K385" i="11"/>
  <c r="K386" i="11"/>
  <c r="K387" i="11"/>
  <c r="K388" i="11"/>
  <c r="K389" i="11"/>
  <c r="K390" i="11"/>
  <c r="K391" i="11"/>
  <c r="K392" i="11"/>
  <c r="K393" i="11"/>
  <c r="K394" i="11"/>
  <c r="K395" i="11"/>
  <c r="K396" i="11"/>
  <c r="K397" i="11"/>
  <c r="K398" i="11"/>
  <c r="K399" i="11"/>
  <c r="K400" i="11"/>
  <c r="K401" i="11"/>
  <c r="K402" i="11"/>
  <c r="K403" i="11"/>
  <c r="K404" i="11"/>
  <c r="K405" i="11"/>
  <c r="K406" i="11"/>
  <c r="K407" i="11"/>
  <c r="K408" i="11"/>
  <c r="K409" i="11"/>
  <c r="K410" i="11"/>
  <c r="K411" i="11"/>
  <c r="K412" i="11"/>
  <c r="K413" i="11"/>
  <c r="K414" i="11"/>
  <c r="K415" i="11"/>
  <c r="K416" i="11"/>
  <c r="K417" i="11"/>
  <c r="K418" i="11"/>
  <c r="K419" i="11"/>
  <c r="K420" i="11"/>
  <c r="K421" i="11"/>
  <c r="K422" i="11"/>
  <c r="K423" i="11"/>
  <c r="K424" i="11"/>
  <c r="K425" i="11"/>
  <c r="K426" i="11"/>
  <c r="K427" i="11"/>
  <c r="K428" i="11"/>
  <c r="K429" i="11"/>
  <c r="K430" i="11"/>
  <c r="K431" i="11"/>
  <c r="K432" i="11"/>
  <c r="K433" i="11"/>
  <c r="K434" i="11"/>
  <c r="K435" i="11"/>
  <c r="K436" i="11"/>
  <c r="K437" i="11"/>
  <c r="K438" i="11"/>
  <c r="K439" i="11"/>
  <c r="K440" i="11"/>
  <c r="K441" i="11"/>
  <c r="K442" i="11"/>
  <c r="K443" i="11"/>
  <c r="K444" i="11"/>
  <c r="K445" i="11"/>
  <c r="K446" i="11"/>
  <c r="K447" i="11"/>
  <c r="K448" i="11"/>
  <c r="K449" i="11"/>
  <c r="K450" i="11"/>
  <c r="K451" i="11"/>
  <c r="K452" i="11"/>
  <c r="K453" i="11"/>
  <c r="L214" i="11"/>
  <c r="L215" i="11"/>
  <c r="L216" i="11"/>
  <c r="L217" i="11"/>
  <c r="L218" i="11"/>
  <c r="L219" i="11"/>
  <c r="L220" i="11"/>
  <c r="L221" i="11"/>
  <c r="L222" i="11"/>
  <c r="L223" i="11"/>
  <c r="L224" i="11"/>
  <c r="L225" i="11"/>
  <c r="L226" i="11"/>
  <c r="L227" i="11"/>
  <c r="L228" i="11"/>
  <c r="L229" i="11"/>
  <c r="L230" i="11"/>
  <c r="L231" i="11"/>
  <c r="L232" i="11"/>
  <c r="L233" i="11"/>
  <c r="L234" i="11"/>
  <c r="L235" i="11"/>
  <c r="L236" i="11"/>
  <c r="L237" i="11"/>
  <c r="L238" i="11"/>
  <c r="L239" i="11"/>
  <c r="L240" i="11"/>
  <c r="L241" i="11"/>
  <c r="L242" i="11"/>
  <c r="L243" i="11"/>
  <c r="L244" i="11"/>
  <c r="L245" i="11"/>
  <c r="L246" i="11"/>
  <c r="L247" i="11"/>
  <c r="L248" i="11"/>
  <c r="L249" i="11"/>
  <c r="L250" i="11"/>
  <c r="L251" i="11"/>
  <c r="L252" i="11"/>
  <c r="L253" i="11"/>
  <c r="L254" i="11"/>
  <c r="L255" i="11"/>
  <c r="L256" i="11"/>
  <c r="L257" i="11"/>
  <c r="L258" i="11"/>
  <c r="L259" i="11"/>
  <c r="L260" i="11"/>
  <c r="L261" i="11"/>
  <c r="L262" i="11"/>
  <c r="L263" i="11"/>
  <c r="L264" i="11"/>
  <c r="L265" i="11"/>
  <c r="L266" i="11"/>
  <c r="L267" i="11"/>
  <c r="L268" i="11"/>
  <c r="L269" i="11"/>
  <c r="L270" i="11"/>
  <c r="L271" i="11"/>
  <c r="L272" i="11"/>
  <c r="L273" i="11"/>
  <c r="L274" i="11"/>
  <c r="L275" i="11"/>
  <c r="L276" i="11"/>
  <c r="L277" i="11"/>
  <c r="L278" i="11"/>
  <c r="L279" i="11"/>
  <c r="L280" i="11"/>
  <c r="L281" i="11"/>
  <c r="L282" i="11"/>
  <c r="L283" i="11"/>
  <c r="L284" i="11"/>
  <c r="L285" i="11"/>
  <c r="L286" i="11"/>
  <c r="L287" i="11"/>
  <c r="L288" i="11"/>
  <c r="L289" i="11"/>
  <c r="L290" i="11"/>
  <c r="L291" i="11"/>
  <c r="L292" i="11"/>
  <c r="L293" i="11"/>
  <c r="L294" i="11"/>
  <c r="L295" i="11"/>
  <c r="L296" i="11"/>
  <c r="L297" i="11"/>
  <c r="L298" i="11"/>
  <c r="L299" i="11"/>
  <c r="L300" i="11"/>
  <c r="L301" i="11"/>
  <c r="L302" i="11"/>
  <c r="L303" i="11"/>
  <c r="L304" i="11"/>
  <c r="L305" i="11"/>
  <c r="L306" i="11"/>
  <c r="L307" i="11"/>
  <c r="L308" i="11"/>
  <c r="L309" i="11"/>
  <c r="L310" i="11"/>
  <c r="L311" i="11"/>
  <c r="L312" i="11"/>
  <c r="L313" i="11"/>
  <c r="L314" i="11"/>
  <c r="L315" i="11"/>
  <c r="L316" i="11"/>
  <c r="L317" i="11"/>
  <c r="L318" i="11"/>
  <c r="L319" i="11"/>
  <c r="L320" i="11"/>
  <c r="L321" i="11"/>
  <c r="L322" i="11"/>
  <c r="L323" i="11"/>
  <c r="L324" i="11"/>
  <c r="L325" i="11"/>
  <c r="L326" i="11"/>
  <c r="L327" i="11"/>
  <c r="L328" i="11"/>
  <c r="L329" i="11"/>
  <c r="L330" i="11"/>
  <c r="L331" i="11"/>
  <c r="L332" i="11"/>
  <c r="L333" i="11"/>
  <c r="L334" i="11"/>
  <c r="L335" i="11"/>
  <c r="L336" i="11"/>
  <c r="L337" i="11"/>
  <c r="L338" i="11"/>
  <c r="L339" i="11"/>
  <c r="L340" i="11"/>
  <c r="L341" i="11"/>
  <c r="L342" i="11"/>
  <c r="L343" i="11"/>
  <c r="L344" i="11"/>
  <c r="L345" i="11"/>
  <c r="L346" i="11"/>
  <c r="L347" i="11"/>
  <c r="L348" i="11"/>
  <c r="L349" i="11"/>
  <c r="L350" i="11"/>
  <c r="L351" i="11"/>
  <c r="L352" i="11"/>
  <c r="L353" i="11"/>
  <c r="L354" i="11"/>
  <c r="L355" i="11"/>
  <c r="L356" i="11"/>
  <c r="L357" i="11"/>
  <c r="L358" i="11"/>
  <c r="L359" i="11"/>
  <c r="L360" i="11"/>
  <c r="L361" i="11"/>
  <c r="L362" i="11"/>
  <c r="L363" i="11"/>
  <c r="L364" i="11"/>
  <c r="L365" i="11"/>
  <c r="L366" i="11"/>
  <c r="L367" i="11"/>
  <c r="L368" i="11"/>
  <c r="L369" i="11"/>
  <c r="L370" i="11"/>
  <c r="L371" i="11"/>
  <c r="L372" i="11"/>
  <c r="L373" i="11"/>
  <c r="L374" i="11"/>
  <c r="L375" i="11"/>
  <c r="L376" i="11"/>
  <c r="L377" i="11"/>
  <c r="L378" i="11"/>
  <c r="L379" i="11"/>
  <c r="L380" i="11"/>
  <c r="L381" i="11"/>
  <c r="L382" i="11"/>
  <c r="L383" i="11"/>
  <c r="L384" i="11"/>
  <c r="L385" i="11"/>
  <c r="L386" i="11"/>
  <c r="L387" i="11"/>
  <c r="L388" i="11"/>
  <c r="L389" i="11"/>
  <c r="L390" i="11"/>
  <c r="L391" i="11"/>
  <c r="L392" i="11"/>
  <c r="L393" i="11"/>
  <c r="L394" i="11"/>
  <c r="L395" i="11"/>
  <c r="L396" i="11"/>
  <c r="L397" i="11"/>
  <c r="L398" i="11"/>
  <c r="L399" i="11"/>
  <c r="L400" i="11"/>
  <c r="L401" i="11"/>
  <c r="L402" i="11"/>
  <c r="L403" i="11"/>
  <c r="L404" i="11"/>
  <c r="L405" i="11"/>
  <c r="L406" i="11"/>
  <c r="L407" i="11"/>
  <c r="L408" i="11"/>
  <c r="L409" i="11"/>
  <c r="L410" i="11"/>
  <c r="L411" i="11"/>
  <c r="L412" i="11"/>
  <c r="L413" i="11"/>
  <c r="L414" i="11"/>
  <c r="L415" i="11"/>
  <c r="L416" i="11"/>
  <c r="L417" i="11"/>
  <c r="L418" i="11"/>
  <c r="L419" i="11"/>
  <c r="L420" i="11"/>
  <c r="L421" i="11"/>
  <c r="L422" i="11"/>
  <c r="L423" i="11"/>
  <c r="L424" i="11"/>
  <c r="L425" i="11"/>
  <c r="L426" i="11"/>
  <c r="L427" i="11"/>
  <c r="L428" i="11"/>
  <c r="L429" i="11"/>
  <c r="L430" i="11"/>
  <c r="L431" i="11"/>
  <c r="L432" i="11"/>
  <c r="L433" i="11"/>
  <c r="L434" i="11"/>
  <c r="L435" i="11"/>
  <c r="L436" i="11"/>
  <c r="L437" i="11"/>
  <c r="L438" i="11"/>
  <c r="L439" i="11"/>
  <c r="L440" i="11"/>
  <c r="L441" i="11"/>
  <c r="L442" i="11"/>
  <c r="L443" i="11"/>
  <c r="L444" i="11"/>
  <c r="L445" i="11"/>
  <c r="L446" i="11"/>
  <c r="L447" i="11"/>
  <c r="L448" i="11"/>
  <c r="L449" i="11"/>
  <c r="L450" i="11"/>
  <c r="L451" i="11"/>
  <c r="L452" i="11"/>
  <c r="L453" i="11"/>
  <c r="J460" i="11"/>
  <c r="J461" i="11"/>
  <c r="J462" i="11"/>
  <c r="J463" i="11"/>
  <c r="J464" i="11"/>
  <c r="J465" i="11"/>
  <c r="J466" i="11"/>
  <c r="J467" i="11"/>
  <c r="J468" i="11"/>
  <c r="J469" i="11"/>
  <c r="J470" i="11"/>
  <c r="J471" i="11"/>
  <c r="J472" i="11"/>
  <c r="J473" i="11"/>
  <c r="J474" i="11"/>
  <c r="J475" i="11"/>
  <c r="J476" i="11"/>
  <c r="J477" i="11"/>
  <c r="J478" i="11"/>
  <c r="J479" i="11"/>
  <c r="J480" i="11"/>
  <c r="J481" i="11"/>
  <c r="J482" i="11"/>
  <c r="J483" i="11"/>
  <c r="J484" i="11"/>
  <c r="J485" i="11"/>
  <c r="J486" i="11"/>
  <c r="J487" i="11"/>
  <c r="J488" i="11"/>
  <c r="J489" i="11"/>
  <c r="J490" i="11"/>
  <c r="J491" i="11"/>
  <c r="J492" i="11"/>
  <c r="J493" i="11"/>
  <c r="J494" i="11"/>
  <c r="J495" i="11"/>
  <c r="J496" i="11"/>
  <c r="J497" i="11"/>
  <c r="J498" i="11"/>
  <c r="J499" i="11"/>
  <c r="J500" i="11"/>
  <c r="J501" i="11"/>
  <c r="J502" i="11"/>
  <c r="J503" i="11"/>
  <c r="J504" i="11"/>
  <c r="J505" i="11"/>
  <c r="J506" i="11"/>
  <c r="J507" i="11"/>
  <c r="J508" i="11"/>
  <c r="J509" i="11"/>
  <c r="J510" i="11"/>
  <c r="J511" i="11"/>
  <c r="J512" i="11"/>
  <c r="J513" i="11"/>
  <c r="J514" i="11"/>
  <c r="J515" i="11"/>
  <c r="J516" i="11"/>
  <c r="J517" i="11"/>
  <c r="J518" i="11"/>
  <c r="J519" i="11"/>
  <c r="J520" i="11"/>
  <c r="J521" i="11"/>
  <c r="J522" i="11"/>
  <c r="J523" i="11"/>
  <c r="J524" i="11"/>
  <c r="J525" i="11"/>
  <c r="J526" i="11"/>
  <c r="J527" i="11"/>
  <c r="J528" i="11"/>
  <c r="J529" i="11"/>
  <c r="J530" i="11"/>
  <c r="J531" i="11"/>
  <c r="J532" i="11"/>
  <c r="J533" i="11"/>
  <c r="J534" i="11"/>
  <c r="J535" i="11"/>
  <c r="J536" i="11"/>
  <c r="J537" i="11"/>
  <c r="J538" i="11"/>
  <c r="J539" i="11"/>
  <c r="J540" i="11"/>
  <c r="J541" i="11"/>
  <c r="J542" i="11"/>
  <c r="J543" i="11"/>
  <c r="J544" i="11"/>
  <c r="J545" i="11"/>
  <c r="J546" i="11"/>
  <c r="J547" i="11"/>
  <c r="J548" i="11"/>
  <c r="J549" i="11"/>
  <c r="J550" i="11"/>
  <c r="J551" i="11"/>
  <c r="J552" i="11"/>
  <c r="J553" i="11"/>
  <c r="J554" i="11"/>
  <c r="J555" i="11"/>
  <c r="J556" i="11"/>
  <c r="J557" i="11"/>
  <c r="J558" i="11"/>
  <c r="J559" i="11"/>
  <c r="J560" i="11"/>
  <c r="J561" i="11"/>
  <c r="J562" i="11"/>
  <c r="J563" i="11"/>
  <c r="J564" i="11"/>
  <c r="J565" i="11"/>
  <c r="J566" i="11"/>
  <c r="J567" i="11"/>
  <c r="J568" i="11"/>
  <c r="J569" i="11"/>
  <c r="J570" i="11"/>
  <c r="J571" i="11"/>
  <c r="J572" i="11"/>
  <c r="J573" i="11"/>
  <c r="J574" i="11"/>
  <c r="J575" i="11"/>
  <c r="J576" i="11"/>
  <c r="J577" i="11"/>
  <c r="J578" i="11"/>
  <c r="J579" i="11"/>
  <c r="J580" i="11"/>
  <c r="J581" i="11"/>
  <c r="J582" i="11"/>
  <c r="J583" i="11"/>
  <c r="J584" i="11"/>
  <c r="J585" i="11"/>
  <c r="J586" i="11"/>
  <c r="J587" i="11"/>
  <c r="J588" i="11"/>
  <c r="J589" i="11"/>
  <c r="J590" i="11"/>
  <c r="J591" i="11"/>
  <c r="J592" i="11"/>
  <c r="J593" i="11"/>
  <c r="J594" i="11"/>
  <c r="J595" i="11"/>
  <c r="J596" i="11"/>
  <c r="J597" i="11"/>
  <c r="J598" i="11"/>
  <c r="J599" i="11"/>
  <c r="J600" i="11"/>
  <c r="J601" i="11"/>
  <c r="J602" i="11"/>
  <c r="J603" i="11"/>
  <c r="J604" i="11"/>
  <c r="J605" i="11"/>
  <c r="J606" i="11"/>
  <c r="J607" i="11"/>
  <c r="J608" i="11"/>
  <c r="J609" i="11"/>
  <c r="J610" i="11"/>
  <c r="J611" i="11"/>
  <c r="J612" i="11"/>
  <c r="J613" i="11"/>
  <c r="J614" i="11"/>
  <c r="J615" i="11"/>
  <c r="J616" i="11"/>
  <c r="J617" i="11"/>
  <c r="J618" i="11"/>
  <c r="J619" i="11"/>
  <c r="J620" i="11"/>
  <c r="J621" i="11"/>
  <c r="J622" i="11"/>
  <c r="J623" i="11"/>
  <c r="J624" i="11"/>
  <c r="J625" i="11"/>
  <c r="J626" i="11"/>
  <c r="J627" i="11"/>
  <c r="J628" i="11"/>
  <c r="J629" i="11"/>
  <c r="J630" i="11"/>
  <c r="J631" i="11"/>
  <c r="J632" i="11"/>
  <c r="J633" i="11"/>
  <c r="J634" i="11"/>
  <c r="J635" i="11"/>
  <c r="J636" i="11"/>
  <c r="J637" i="11"/>
  <c r="J638" i="11"/>
  <c r="J639" i="11"/>
  <c r="J640" i="11"/>
  <c r="J641" i="11"/>
  <c r="J642" i="11"/>
  <c r="J643" i="11"/>
  <c r="J644" i="11"/>
  <c r="J645" i="11"/>
  <c r="J646" i="11"/>
  <c r="J647" i="11"/>
  <c r="J648" i="11"/>
  <c r="J649" i="11"/>
  <c r="J650" i="11"/>
  <c r="J651" i="11"/>
  <c r="J652" i="11"/>
  <c r="J653" i="11"/>
  <c r="J654" i="11"/>
  <c r="J655" i="11"/>
  <c r="J656" i="11"/>
  <c r="J657" i="11"/>
  <c r="J658" i="11"/>
  <c r="J659" i="11"/>
  <c r="J660" i="11"/>
  <c r="J661" i="11"/>
  <c r="J662" i="11"/>
  <c r="J663" i="11"/>
  <c r="J664" i="11"/>
  <c r="J665" i="11"/>
  <c r="J666" i="11"/>
  <c r="J667" i="11"/>
  <c r="J668" i="11"/>
  <c r="J669" i="11"/>
  <c r="J670" i="11"/>
  <c r="J671" i="11"/>
  <c r="J672" i="11"/>
  <c r="J673" i="11"/>
  <c r="J674" i="11"/>
  <c r="K460" i="11"/>
  <c r="K461" i="11"/>
  <c r="K462" i="11"/>
  <c r="K463" i="11"/>
  <c r="K464" i="11"/>
  <c r="K465" i="11"/>
  <c r="K466" i="11"/>
  <c r="K467" i="11"/>
  <c r="K468" i="11"/>
  <c r="K469" i="11"/>
  <c r="K470" i="11"/>
  <c r="K471" i="11"/>
  <c r="K472" i="11"/>
  <c r="K473" i="11"/>
  <c r="K474" i="11"/>
  <c r="K475" i="11"/>
  <c r="K476" i="11"/>
  <c r="K477" i="11"/>
  <c r="K478" i="11"/>
  <c r="K479" i="11"/>
  <c r="K480" i="11"/>
  <c r="K481" i="11"/>
  <c r="K482" i="11"/>
  <c r="K483" i="11"/>
  <c r="K484" i="11"/>
  <c r="K485" i="11"/>
  <c r="K486" i="11"/>
  <c r="K487" i="11"/>
  <c r="K488" i="11"/>
  <c r="K489" i="11"/>
  <c r="K490" i="11"/>
  <c r="K491" i="11"/>
  <c r="K492" i="11"/>
  <c r="K493" i="11"/>
  <c r="K494" i="11"/>
  <c r="K495" i="11"/>
  <c r="K496" i="11"/>
  <c r="K497" i="11"/>
  <c r="K498" i="11"/>
  <c r="K499" i="11"/>
  <c r="K500" i="11"/>
  <c r="K501" i="11"/>
  <c r="K502" i="11"/>
  <c r="K503" i="11"/>
  <c r="K504" i="11"/>
  <c r="K505" i="11"/>
  <c r="K506" i="11"/>
  <c r="K507" i="11"/>
  <c r="K508" i="11"/>
  <c r="K509" i="11"/>
  <c r="K510" i="11"/>
  <c r="K511" i="11"/>
  <c r="K512" i="11"/>
  <c r="K513" i="11"/>
  <c r="K514" i="11"/>
  <c r="K515" i="11"/>
  <c r="K516" i="11"/>
  <c r="K517" i="11"/>
  <c r="K518" i="11"/>
  <c r="K519" i="11"/>
  <c r="K520" i="11"/>
  <c r="K521" i="11"/>
  <c r="K522" i="11"/>
  <c r="K523" i="11"/>
  <c r="K524" i="11"/>
  <c r="K525" i="11"/>
  <c r="K526" i="11"/>
  <c r="K527" i="11"/>
  <c r="K528" i="11"/>
  <c r="K529" i="11"/>
  <c r="K530" i="11"/>
  <c r="K531" i="11"/>
  <c r="K532" i="11"/>
  <c r="K533" i="11"/>
  <c r="K534" i="11"/>
  <c r="K535" i="11"/>
  <c r="K536" i="11"/>
  <c r="K537" i="11"/>
  <c r="K538" i="11"/>
  <c r="K539" i="11"/>
  <c r="K540" i="11"/>
  <c r="K541" i="11"/>
  <c r="K542" i="11"/>
  <c r="K543" i="11"/>
  <c r="K544" i="11"/>
  <c r="K545" i="11"/>
  <c r="K546" i="11"/>
  <c r="K547" i="11"/>
  <c r="K548" i="11"/>
  <c r="K549" i="11"/>
  <c r="K550" i="11"/>
  <c r="K551" i="11"/>
  <c r="K552" i="11"/>
  <c r="K553" i="11"/>
  <c r="K554" i="11"/>
  <c r="K555" i="11"/>
  <c r="K556" i="11"/>
  <c r="K557" i="11"/>
  <c r="K558" i="11"/>
  <c r="K559" i="11"/>
  <c r="K560" i="11"/>
  <c r="K561" i="11"/>
  <c r="K562" i="11"/>
  <c r="K563" i="11"/>
  <c r="K564" i="11"/>
  <c r="K565" i="11"/>
  <c r="K566" i="11"/>
  <c r="K567" i="11"/>
  <c r="K568" i="11"/>
  <c r="K569" i="11"/>
  <c r="K570" i="11"/>
  <c r="K571" i="11"/>
  <c r="K572" i="11"/>
  <c r="K573" i="11"/>
  <c r="K574" i="11"/>
  <c r="K575" i="11"/>
  <c r="K576" i="11"/>
  <c r="K577" i="11"/>
  <c r="K578" i="11"/>
  <c r="K579" i="11"/>
  <c r="K580" i="11"/>
  <c r="K581" i="11"/>
  <c r="K582" i="11"/>
  <c r="K583" i="11"/>
  <c r="K584" i="11"/>
  <c r="K585" i="11"/>
  <c r="K586" i="11"/>
  <c r="K587" i="11"/>
  <c r="K588" i="11"/>
  <c r="K589" i="11"/>
  <c r="K590" i="11"/>
  <c r="K591" i="11"/>
  <c r="K592" i="11"/>
  <c r="K593" i="11"/>
  <c r="K594" i="11"/>
  <c r="K595" i="11"/>
  <c r="K596" i="11"/>
  <c r="K597" i="11"/>
  <c r="K598" i="11"/>
  <c r="K599" i="11"/>
  <c r="K600" i="11"/>
  <c r="K601" i="11"/>
  <c r="K602" i="11"/>
  <c r="K603" i="11"/>
  <c r="K604" i="11"/>
  <c r="K605" i="11"/>
  <c r="K606" i="11"/>
  <c r="K607" i="11"/>
  <c r="K608" i="11"/>
  <c r="K609" i="11"/>
  <c r="K610" i="11"/>
  <c r="K611" i="11"/>
  <c r="K612" i="11"/>
  <c r="K613" i="11"/>
  <c r="K614" i="11"/>
  <c r="K615" i="11"/>
  <c r="K616" i="11"/>
  <c r="K617" i="11"/>
  <c r="K618" i="11"/>
  <c r="K619" i="11"/>
  <c r="K620" i="11"/>
  <c r="K621" i="11"/>
  <c r="K622" i="11"/>
  <c r="K623" i="11"/>
  <c r="K624" i="11"/>
  <c r="K625" i="11"/>
  <c r="K626" i="11"/>
  <c r="K627" i="11"/>
  <c r="K628" i="11"/>
  <c r="K629" i="11"/>
  <c r="K630" i="11"/>
  <c r="K631" i="11"/>
  <c r="K632" i="11"/>
  <c r="K633" i="11"/>
  <c r="K634" i="11"/>
  <c r="K635" i="11"/>
  <c r="K636" i="11"/>
  <c r="K637" i="11"/>
  <c r="K638" i="11"/>
  <c r="K639" i="11"/>
  <c r="K640" i="11"/>
  <c r="K641" i="11"/>
  <c r="K642" i="11"/>
  <c r="K643" i="11"/>
  <c r="K644" i="11"/>
  <c r="K645" i="11"/>
  <c r="K646" i="11"/>
  <c r="K647" i="11"/>
  <c r="K648" i="11"/>
  <c r="K649" i="11"/>
  <c r="K650" i="11"/>
  <c r="K651" i="11"/>
  <c r="K652" i="11"/>
  <c r="K653" i="11"/>
  <c r="K654" i="11"/>
  <c r="K655" i="11"/>
  <c r="K656" i="11"/>
  <c r="K657" i="11"/>
  <c r="K658" i="11"/>
  <c r="K659" i="11"/>
  <c r="K660" i="11"/>
  <c r="K661" i="11"/>
  <c r="K662" i="11"/>
  <c r="K663" i="11"/>
  <c r="K664" i="11"/>
  <c r="K665" i="11"/>
  <c r="K666" i="11"/>
  <c r="K667" i="11"/>
  <c r="K668" i="11"/>
  <c r="K669" i="11"/>
  <c r="K670" i="11"/>
  <c r="K671" i="11"/>
  <c r="K672" i="11"/>
  <c r="K673" i="11"/>
  <c r="K674" i="11"/>
  <c r="L460" i="11"/>
  <c r="L461" i="11"/>
  <c r="L462" i="11"/>
  <c r="L463" i="11"/>
  <c r="L464" i="11"/>
  <c r="L465" i="11"/>
  <c r="L466" i="11"/>
  <c r="L467" i="11"/>
  <c r="L468" i="11"/>
  <c r="L469" i="11"/>
  <c r="L470" i="11"/>
  <c r="L471" i="11"/>
  <c r="L472" i="11"/>
  <c r="L473" i="11"/>
  <c r="L474" i="11"/>
  <c r="L475" i="11"/>
  <c r="L476" i="11"/>
  <c r="L477" i="11"/>
  <c r="L478" i="11"/>
  <c r="L479" i="11"/>
  <c r="L480" i="11"/>
  <c r="L481" i="11"/>
  <c r="L482" i="11"/>
  <c r="L483" i="11"/>
  <c r="L484" i="11"/>
  <c r="L485" i="11"/>
  <c r="L486" i="11"/>
  <c r="L487" i="11"/>
  <c r="L488" i="11"/>
  <c r="L489" i="11"/>
  <c r="L490" i="11"/>
  <c r="L491" i="11"/>
  <c r="L492" i="11"/>
  <c r="L493" i="11"/>
  <c r="L494" i="11"/>
  <c r="L495" i="11"/>
  <c r="L496" i="11"/>
  <c r="L497" i="11"/>
  <c r="L498" i="11"/>
  <c r="L499" i="11"/>
  <c r="L500" i="11"/>
  <c r="L501" i="11"/>
  <c r="L502" i="11"/>
  <c r="L503" i="11"/>
  <c r="L504" i="11"/>
  <c r="L505" i="11"/>
  <c r="L506" i="11"/>
  <c r="L507" i="11"/>
  <c r="L508" i="11"/>
  <c r="L509" i="11"/>
  <c r="L510" i="11"/>
  <c r="L511" i="11"/>
  <c r="L512" i="11"/>
  <c r="L513" i="11"/>
  <c r="L514" i="11"/>
  <c r="L515" i="11"/>
  <c r="L516" i="11"/>
  <c r="L517" i="11"/>
  <c r="L518" i="11"/>
  <c r="L519" i="11"/>
  <c r="L520" i="11"/>
  <c r="L521" i="11"/>
  <c r="L522" i="11"/>
  <c r="L523" i="11"/>
  <c r="L524" i="11"/>
  <c r="L525" i="11"/>
  <c r="L526" i="11"/>
  <c r="L527" i="11"/>
  <c r="L528" i="11"/>
  <c r="L529" i="11"/>
  <c r="L530" i="11"/>
  <c r="L531" i="11"/>
  <c r="L532" i="11"/>
  <c r="L533" i="11"/>
  <c r="L534" i="11"/>
  <c r="L535" i="11"/>
  <c r="L536" i="11"/>
  <c r="L537" i="11"/>
  <c r="L538" i="11"/>
  <c r="L539" i="11"/>
  <c r="L540" i="11"/>
  <c r="L541" i="11"/>
  <c r="L542" i="11"/>
  <c r="L543" i="11"/>
  <c r="L544" i="11"/>
  <c r="L545" i="11"/>
  <c r="L546" i="11"/>
  <c r="L547" i="11"/>
  <c r="L548" i="11"/>
  <c r="L549" i="11"/>
  <c r="L550" i="11"/>
  <c r="L551" i="11"/>
  <c r="L552" i="11"/>
  <c r="L553" i="11"/>
  <c r="L554" i="11"/>
  <c r="L555" i="11"/>
  <c r="L556" i="11"/>
  <c r="L557" i="11"/>
  <c r="L558" i="11"/>
  <c r="L559" i="11"/>
  <c r="L560" i="11"/>
  <c r="L561" i="11"/>
  <c r="L562" i="11"/>
  <c r="L563" i="11"/>
  <c r="L564" i="11"/>
  <c r="L565" i="11"/>
  <c r="L566" i="11"/>
  <c r="L567" i="11"/>
  <c r="L568" i="11"/>
  <c r="L569" i="11"/>
  <c r="L570" i="11"/>
  <c r="L571" i="11"/>
  <c r="L572" i="11"/>
  <c r="L573" i="11"/>
  <c r="L574" i="11"/>
  <c r="L575" i="11"/>
  <c r="L576" i="11"/>
  <c r="L577" i="11"/>
  <c r="L578" i="11"/>
  <c r="L579" i="11"/>
  <c r="L580" i="11"/>
  <c r="L581" i="11"/>
  <c r="L582" i="11"/>
  <c r="L583" i="11"/>
  <c r="L584" i="11"/>
  <c r="L585" i="11"/>
  <c r="L586" i="11"/>
  <c r="L587" i="11"/>
  <c r="L588" i="11"/>
  <c r="L589" i="11"/>
  <c r="L590" i="11"/>
  <c r="L591" i="11"/>
  <c r="L592" i="11"/>
  <c r="L593" i="11"/>
  <c r="L594" i="11"/>
  <c r="L595" i="11"/>
  <c r="L596" i="11"/>
  <c r="L597" i="11"/>
  <c r="L598" i="11"/>
  <c r="L599" i="11"/>
  <c r="L600" i="11"/>
  <c r="L601" i="11"/>
  <c r="L602" i="11"/>
  <c r="L603" i="11"/>
  <c r="L604" i="11"/>
  <c r="L605" i="11"/>
  <c r="L606" i="11"/>
  <c r="L607" i="11"/>
  <c r="L608" i="11"/>
  <c r="L609" i="11"/>
  <c r="L610" i="11"/>
  <c r="L611" i="11"/>
  <c r="L612" i="11"/>
  <c r="L613" i="11"/>
  <c r="L614" i="11"/>
  <c r="L615" i="11"/>
  <c r="L616" i="11"/>
  <c r="L617" i="11"/>
  <c r="L618" i="11"/>
  <c r="L619" i="11"/>
  <c r="L620" i="11"/>
  <c r="L621" i="11"/>
  <c r="L622" i="11"/>
  <c r="L623" i="11"/>
  <c r="L624" i="11"/>
  <c r="L625" i="11"/>
  <c r="L626" i="11"/>
  <c r="L627" i="11"/>
  <c r="L628" i="11"/>
  <c r="L629" i="11"/>
  <c r="L630" i="11"/>
  <c r="L631" i="11"/>
  <c r="L632" i="11"/>
  <c r="L633" i="11"/>
  <c r="L634" i="11"/>
  <c r="L635" i="11"/>
  <c r="L636" i="11"/>
  <c r="L637" i="11"/>
  <c r="L638" i="11"/>
  <c r="L639" i="11"/>
  <c r="L640" i="11"/>
  <c r="L641" i="11"/>
  <c r="L642" i="11"/>
  <c r="L643" i="11"/>
  <c r="L644" i="11"/>
  <c r="L645" i="11"/>
  <c r="L646" i="11"/>
  <c r="L647" i="11"/>
  <c r="L648" i="11"/>
  <c r="L649" i="11"/>
  <c r="L650" i="11"/>
  <c r="L651" i="11"/>
  <c r="L652" i="11"/>
  <c r="L653" i="11"/>
  <c r="L654" i="11"/>
  <c r="L655" i="11"/>
  <c r="L656" i="11"/>
  <c r="L657" i="11"/>
  <c r="L658" i="11"/>
  <c r="L659" i="11"/>
  <c r="L660" i="11"/>
  <c r="L661" i="11"/>
  <c r="L662" i="11"/>
  <c r="L663" i="11"/>
  <c r="L664" i="11"/>
  <c r="L665" i="11"/>
  <c r="L666" i="11"/>
  <c r="L667" i="11"/>
  <c r="L668" i="11"/>
  <c r="L669" i="11"/>
  <c r="L670" i="11"/>
  <c r="L671" i="11"/>
  <c r="L672" i="11"/>
  <c r="L673" i="11"/>
  <c r="L674" i="11"/>
  <c r="J679" i="11"/>
  <c r="J680" i="11"/>
  <c r="J681" i="11"/>
  <c r="J682" i="11"/>
  <c r="J683" i="11"/>
  <c r="J684" i="11"/>
  <c r="J685" i="11"/>
  <c r="J686" i="11"/>
  <c r="J687" i="11"/>
  <c r="J688" i="11"/>
  <c r="J689" i="11"/>
  <c r="J690" i="11"/>
  <c r="J691" i="11"/>
  <c r="J692" i="11"/>
  <c r="J693" i="11"/>
  <c r="J694" i="11"/>
  <c r="J695" i="11"/>
  <c r="J696" i="11"/>
  <c r="J697" i="11"/>
  <c r="J698" i="11"/>
  <c r="J699" i="11"/>
  <c r="J700" i="11"/>
  <c r="J701" i="11"/>
  <c r="J702" i="11"/>
  <c r="J703" i="11"/>
  <c r="J704" i="11"/>
  <c r="J705" i="11"/>
  <c r="J706" i="11"/>
  <c r="J707" i="11"/>
  <c r="J708" i="11"/>
  <c r="J709" i="11"/>
  <c r="J710" i="11"/>
  <c r="J711" i="11"/>
  <c r="J712" i="11"/>
  <c r="J713" i="11"/>
  <c r="J714" i="11"/>
  <c r="J715" i="11"/>
  <c r="J716" i="11"/>
  <c r="J717" i="11"/>
  <c r="J718" i="11"/>
  <c r="J719" i="11"/>
  <c r="J720" i="11"/>
  <c r="J721" i="11"/>
  <c r="J722" i="11"/>
  <c r="J723" i="11"/>
  <c r="J724" i="11"/>
  <c r="J725" i="11"/>
  <c r="J726" i="11"/>
  <c r="J727" i="11"/>
  <c r="J729" i="11"/>
  <c r="J730" i="11"/>
  <c r="J731" i="11"/>
  <c r="J732" i="11"/>
  <c r="J733" i="11"/>
  <c r="J734" i="11"/>
  <c r="J735" i="11"/>
  <c r="J736" i="11"/>
  <c r="J737" i="11"/>
  <c r="J738" i="11"/>
  <c r="J739" i="11"/>
  <c r="J740" i="11"/>
  <c r="J741" i="11"/>
  <c r="J742" i="11"/>
  <c r="J743" i="11"/>
  <c r="J744" i="11"/>
  <c r="J745" i="11"/>
  <c r="J746" i="11"/>
  <c r="J747" i="11"/>
  <c r="J748" i="11"/>
  <c r="J749" i="11"/>
  <c r="J750" i="11"/>
  <c r="J751" i="11"/>
  <c r="J752" i="11"/>
  <c r="J753" i="11"/>
  <c r="J754" i="11"/>
  <c r="J755" i="11"/>
  <c r="J756" i="11"/>
  <c r="J757" i="11"/>
  <c r="J758" i="11"/>
  <c r="J759" i="11"/>
  <c r="J760" i="11"/>
  <c r="J761" i="11"/>
  <c r="J762" i="11"/>
  <c r="J763" i="11"/>
  <c r="J764" i="11"/>
  <c r="J765" i="11"/>
  <c r="J766" i="11"/>
  <c r="J767" i="11"/>
  <c r="J768" i="11"/>
  <c r="J769" i="11"/>
  <c r="J770" i="11"/>
  <c r="J771" i="11"/>
  <c r="J772" i="11"/>
  <c r="J773" i="11"/>
  <c r="J774" i="11"/>
  <c r="J775" i="11"/>
  <c r="J776" i="11"/>
  <c r="J777" i="11"/>
  <c r="J778" i="11"/>
  <c r="J779" i="11"/>
  <c r="J780" i="11"/>
  <c r="J781" i="11"/>
  <c r="J782" i="11"/>
  <c r="J783" i="11"/>
  <c r="J784" i="11"/>
  <c r="J785" i="11"/>
  <c r="J786" i="11"/>
  <c r="J787" i="11"/>
  <c r="J788" i="11"/>
  <c r="J789" i="11"/>
  <c r="J790" i="11"/>
  <c r="J791" i="11"/>
  <c r="J792" i="11"/>
  <c r="J793" i="11"/>
  <c r="J794" i="11"/>
  <c r="J795" i="11"/>
  <c r="J796" i="11"/>
  <c r="J797" i="11"/>
  <c r="J798" i="11"/>
  <c r="J799" i="11"/>
  <c r="J800" i="11"/>
  <c r="J801" i="11"/>
  <c r="J802" i="11"/>
  <c r="J803" i="11"/>
  <c r="J804" i="11"/>
  <c r="J805" i="11"/>
  <c r="J806" i="11"/>
  <c r="J807" i="11"/>
  <c r="J808" i="11"/>
  <c r="J809" i="11"/>
  <c r="J810" i="11"/>
  <c r="J811" i="11"/>
  <c r="J812" i="11"/>
  <c r="J813" i="11"/>
  <c r="J814" i="11"/>
  <c r="J815" i="11"/>
  <c r="J816" i="11"/>
  <c r="J817" i="11"/>
  <c r="J818" i="11"/>
  <c r="J819" i="11"/>
  <c r="J820" i="11"/>
  <c r="J821" i="11"/>
  <c r="K679" i="11"/>
  <c r="K680" i="11"/>
  <c r="K681" i="11"/>
  <c r="K682" i="11"/>
  <c r="K683" i="11"/>
  <c r="K684" i="11"/>
  <c r="K685" i="11"/>
  <c r="K686" i="11"/>
  <c r="K687" i="11"/>
  <c r="K688" i="11"/>
  <c r="K689" i="11"/>
  <c r="K690" i="11"/>
  <c r="K691" i="11"/>
  <c r="K692" i="11"/>
  <c r="K693" i="11"/>
  <c r="K694" i="11"/>
  <c r="K695" i="11"/>
  <c r="K696" i="11"/>
  <c r="K697" i="11"/>
  <c r="K698" i="11"/>
  <c r="K699" i="11"/>
  <c r="K700" i="11"/>
  <c r="K701" i="11"/>
  <c r="K702" i="11"/>
  <c r="K703" i="11"/>
  <c r="K704" i="11"/>
  <c r="K705" i="11"/>
  <c r="K706" i="11"/>
  <c r="K707" i="11"/>
  <c r="K708" i="11"/>
  <c r="K709" i="11"/>
  <c r="K710" i="11"/>
  <c r="K711" i="11"/>
  <c r="K712" i="11"/>
  <c r="K713" i="11"/>
  <c r="K714" i="11"/>
  <c r="K715" i="11"/>
  <c r="K716" i="11"/>
  <c r="K717" i="11"/>
  <c r="K718" i="11"/>
  <c r="K719" i="11"/>
  <c r="K720" i="11"/>
  <c r="K721" i="11"/>
  <c r="K722" i="11"/>
  <c r="K723" i="11"/>
  <c r="K724" i="11"/>
  <c r="K725" i="11"/>
  <c r="K726" i="11"/>
  <c r="K727" i="11"/>
  <c r="K728" i="11"/>
  <c r="K729" i="11"/>
  <c r="K730" i="11"/>
  <c r="K731" i="11"/>
  <c r="K732" i="11"/>
  <c r="K733" i="11"/>
  <c r="K734" i="11"/>
  <c r="K735" i="11"/>
  <c r="K736" i="11"/>
  <c r="K737" i="11"/>
  <c r="K738" i="11"/>
  <c r="K739" i="11"/>
  <c r="K740" i="11"/>
  <c r="K741" i="11"/>
  <c r="K742" i="11"/>
  <c r="K743" i="11"/>
  <c r="K744" i="11"/>
  <c r="K745" i="11"/>
  <c r="K746" i="11"/>
  <c r="K747" i="11"/>
  <c r="K748" i="11"/>
  <c r="K749" i="11"/>
  <c r="K750" i="11"/>
  <c r="K751" i="11"/>
  <c r="K752" i="11"/>
  <c r="K753" i="11"/>
  <c r="K754" i="11"/>
  <c r="K755" i="11"/>
  <c r="K756" i="11"/>
  <c r="K757" i="11"/>
  <c r="K758" i="11"/>
  <c r="K759" i="11"/>
  <c r="K760" i="11"/>
  <c r="K761" i="11"/>
  <c r="K762" i="11"/>
  <c r="K763" i="11"/>
  <c r="K764" i="11"/>
  <c r="K765" i="11"/>
  <c r="K766" i="11"/>
  <c r="K767" i="11"/>
  <c r="K768" i="11"/>
  <c r="K769" i="11"/>
  <c r="K770" i="11"/>
  <c r="K771" i="11"/>
  <c r="K772" i="11"/>
  <c r="K773" i="11"/>
  <c r="K774" i="11"/>
  <c r="K775" i="11"/>
  <c r="K776" i="11"/>
  <c r="K777" i="11"/>
  <c r="K778" i="11"/>
  <c r="K779" i="11"/>
  <c r="K780" i="11"/>
  <c r="K781" i="11"/>
  <c r="K782" i="11"/>
  <c r="K783" i="11"/>
  <c r="K784" i="11"/>
  <c r="K785" i="11"/>
  <c r="K786" i="11"/>
  <c r="K787" i="11"/>
  <c r="K788" i="11"/>
  <c r="K789" i="11"/>
  <c r="K790" i="11"/>
  <c r="K791" i="11"/>
  <c r="K792" i="11"/>
  <c r="K793" i="11"/>
  <c r="K794" i="11"/>
  <c r="K795" i="11"/>
  <c r="K796" i="11"/>
  <c r="K797" i="11"/>
  <c r="K798" i="11"/>
  <c r="K799" i="11"/>
  <c r="K800" i="11"/>
  <c r="K801" i="11"/>
  <c r="K802" i="11"/>
  <c r="K803" i="11"/>
  <c r="K804" i="11"/>
  <c r="K805" i="11"/>
  <c r="K806" i="11"/>
  <c r="K807" i="11"/>
  <c r="K808" i="11"/>
  <c r="K809" i="11"/>
  <c r="K810" i="11"/>
  <c r="K811" i="11"/>
  <c r="K812" i="11"/>
  <c r="K813" i="11"/>
  <c r="K814" i="11"/>
  <c r="K815" i="11"/>
  <c r="K816" i="11"/>
  <c r="K817" i="11"/>
  <c r="K818" i="11"/>
  <c r="K819" i="11"/>
  <c r="K820" i="11"/>
  <c r="K821" i="11"/>
  <c r="L679" i="11"/>
  <c r="L680" i="11"/>
  <c r="L681" i="11"/>
  <c r="L682" i="11"/>
  <c r="L683" i="11"/>
  <c r="L684" i="11"/>
  <c r="L685" i="11"/>
  <c r="L686" i="11"/>
  <c r="L687" i="11"/>
  <c r="L688" i="11"/>
  <c r="L689" i="11"/>
  <c r="L690" i="11"/>
  <c r="L691" i="11"/>
  <c r="L692" i="11"/>
  <c r="L693" i="11"/>
  <c r="L694" i="11"/>
  <c r="L695" i="11"/>
  <c r="L696" i="11"/>
  <c r="L697" i="11"/>
  <c r="L698" i="11"/>
  <c r="L699" i="11"/>
  <c r="L700" i="11"/>
  <c r="L701" i="11"/>
  <c r="L702" i="11"/>
  <c r="L703" i="11"/>
  <c r="L704" i="11"/>
  <c r="L705" i="11"/>
  <c r="L706" i="11"/>
  <c r="L707" i="11"/>
  <c r="L708" i="11"/>
  <c r="L709" i="11"/>
  <c r="L710" i="11"/>
  <c r="L711" i="11"/>
  <c r="L712" i="11"/>
  <c r="L713" i="11"/>
  <c r="L714" i="11"/>
  <c r="L715" i="11"/>
  <c r="L716" i="11"/>
  <c r="L717" i="11"/>
  <c r="L718" i="11"/>
  <c r="L719" i="11"/>
  <c r="L720" i="11"/>
  <c r="L721" i="11"/>
  <c r="L722" i="11"/>
  <c r="L723" i="11"/>
  <c r="L724" i="11"/>
  <c r="L725" i="11"/>
  <c r="L726" i="11"/>
  <c r="L727" i="11"/>
  <c r="L728" i="11"/>
  <c r="L729" i="11"/>
  <c r="L730" i="11"/>
  <c r="L731" i="11"/>
  <c r="L732" i="11"/>
  <c r="L733" i="11"/>
  <c r="L734" i="11"/>
  <c r="L735" i="11"/>
  <c r="L736" i="11"/>
  <c r="L737" i="11"/>
  <c r="L738" i="11"/>
  <c r="L739" i="11"/>
  <c r="L740" i="11"/>
  <c r="L741" i="11"/>
  <c r="L742" i="11"/>
  <c r="L743" i="11"/>
  <c r="L744" i="11"/>
  <c r="L745" i="11"/>
  <c r="L746" i="11"/>
  <c r="L747" i="11"/>
  <c r="L748" i="11"/>
  <c r="L749" i="11"/>
  <c r="L750" i="11"/>
  <c r="L751" i="11"/>
  <c r="L752" i="11"/>
  <c r="L753" i="11"/>
  <c r="L754" i="11"/>
  <c r="L755" i="11"/>
  <c r="L756" i="11"/>
  <c r="L757" i="11"/>
  <c r="L758" i="11"/>
  <c r="L759" i="11"/>
  <c r="L760" i="11"/>
  <c r="L761" i="11"/>
  <c r="L762" i="11"/>
  <c r="L763" i="11"/>
  <c r="L764" i="11"/>
  <c r="L765" i="11"/>
  <c r="L766" i="11"/>
  <c r="L767" i="11"/>
  <c r="L768" i="11"/>
  <c r="L769" i="11"/>
  <c r="L770" i="11"/>
  <c r="L771" i="11"/>
  <c r="L772" i="11"/>
  <c r="L773" i="11"/>
  <c r="L774" i="11"/>
  <c r="L775" i="11"/>
  <c r="L776" i="11"/>
  <c r="L777" i="11"/>
  <c r="L778" i="11"/>
  <c r="L779" i="11"/>
  <c r="L780" i="11"/>
  <c r="L781" i="11"/>
  <c r="L782" i="11"/>
  <c r="L783" i="11"/>
  <c r="L784" i="11"/>
  <c r="L785" i="11"/>
  <c r="L786" i="11"/>
  <c r="L787" i="11"/>
  <c r="L788" i="11"/>
  <c r="L789" i="11"/>
  <c r="L790" i="11"/>
  <c r="L791" i="11"/>
  <c r="L792" i="11"/>
  <c r="L793" i="11"/>
  <c r="L794" i="11"/>
  <c r="L795" i="11"/>
  <c r="L796" i="11"/>
  <c r="L797" i="11"/>
  <c r="L798" i="11"/>
  <c r="L799" i="11"/>
  <c r="L800" i="11"/>
  <c r="L801" i="11"/>
  <c r="L802" i="11"/>
  <c r="L803" i="11"/>
  <c r="L804" i="11"/>
  <c r="L805" i="11"/>
  <c r="L806" i="11"/>
  <c r="L807" i="11"/>
  <c r="L808" i="11"/>
  <c r="L809" i="11"/>
  <c r="L810" i="11"/>
  <c r="L811" i="11"/>
  <c r="L812" i="11"/>
  <c r="L813" i="11"/>
  <c r="L814" i="11"/>
  <c r="L815" i="11"/>
  <c r="L816" i="11"/>
  <c r="L817" i="11"/>
  <c r="L818" i="11"/>
  <c r="L819" i="11"/>
  <c r="L820" i="11"/>
  <c r="L821" i="11"/>
  <c r="H15" i="11"/>
  <c r="H16" i="11"/>
  <c r="I16" i="11" s="1"/>
  <c r="H17" i="11"/>
  <c r="I17" i="11" s="1"/>
  <c r="H18" i="11"/>
  <c r="I18" i="11" s="1"/>
  <c r="H19" i="11"/>
  <c r="I19" i="11" s="1"/>
  <c r="H20" i="11"/>
  <c r="H21" i="11"/>
  <c r="H22" i="11"/>
  <c r="H23" i="11"/>
  <c r="I23" i="11" s="1"/>
  <c r="H24" i="11"/>
  <c r="H25" i="11"/>
  <c r="I25" i="11" s="1"/>
  <c r="H26" i="11"/>
  <c r="H27" i="11"/>
  <c r="I27" i="11" s="1"/>
  <c r="H28" i="11"/>
  <c r="H29" i="11"/>
  <c r="H30" i="11"/>
  <c r="H31" i="11"/>
  <c r="I31" i="11" s="1"/>
  <c r="H32" i="11"/>
  <c r="I32" i="11" s="1"/>
  <c r="H33" i="11"/>
  <c r="I33" i="11" s="1"/>
  <c r="H34" i="11"/>
  <c r="I34" i="11" s="1"/>
  <c r="H35" i="11"/>
  <c r="I35" i="11" s="1"/>
  <c r="H36" i="11"/>
  <c r="H37" i="11"/>
  <c r="H38" i="11"/>
  <c r="H39" i="11"/>
  <c r="I39" i="11" s="1"/>
  <c r="H40" i="11"/>
  <c r="I40" i="11" s="1"/>
  <c r="H41" i="11"/>
  <c r="I41" i="11" s="1"/>
  <c r="H42" i="11"/>
  <c r="I42" i="11" s="1"/>
  <c r="H43" i="11"/>
  <c r="I43" i="11" s="1"/>
  <c r="H44" i="11"/>
  <c r="H45" i="11"/>
  <c r="H46" i="11"/>
  <c r="H47" i="11"/>
  <c r="I47" i="11" s="1"/>
  <c r="H48" i="11"/>
  <c r="H49" i="11"/>
  <c r="I49" i="11" s="1"/>
  <c r="H50" i="11"/>
  <c r="H51" i="11"/>
  <c r="I51" i="11" s="1"/>
  <c r="H52" i="11"/>
  <c r="H53" i="11"/>
  <c r="H54" i="11"/>
  <c r="H55" i="11"/>
  <c r="I55" i="11" s="1"/>
  <c r="H56" i="11"/>
  <c r="I56" i="11" s="1"/>
  <c r="H57" i="11"/>
  <c r="I57" i="11" s="1"/>
  <c r="H58" i="11"/>
  <c r="I58" i="11" s="1"/>
  <c r="H59" i="11"/>
  <c r="I59" i="11" s="1"/>
  <c r="H60" i="11"/>
  <c r="H61" i="11"/>
  <c r="H62" i="11"/>
  <c r="H63" i="11"/>
  <c r="I63" i="11" s="1"/>
  <c r="H64" i="11"/>
  <c r="H65" i="11"/>
  <c r="I65" i="11" s="1"/>
  <c r="H66" i="11"/>
  <c r="I66" i="11" s="1"/>
  <c r="H67" i="11"/>
  <c r="I67" i="11" s="1"/>
  <c r="H68" i="11"/>
  <c r="H69" i="11"/>
  <c r="H70" i="11"/>
  <c r="H71" i="11"/>
  <c r="I71" i="11" s="1"/>
  <c r="H72" i="11"/>
  <c r="H73" i="11"/>
  <c r="I73" i="11" s="1"/>
  <c r="H74" i="11"/>
  <c r="I74" i="11" s="1"/>
  <c r="H75" i="11"/>
  <c r="I75" i="11" s="1"/>
  <c r="H76" i="11"/>
  <c r="H77" i="11"/>
  <c r="H78" i="11"/>
  <c r="H79" i="11"/>
  <c r="I79" i="11" s="1"/>
  <c r="H80" i="11"/>
  <c r="I80" i="11" s="1"/>
  <c r="H81" i="11"/>
  <c r="I81" i="11" s="1"/>
  <c r="H82" i="11"/>
  <c r="I82" i="11" s="1"/>
  <c r="H83" i="11"/>
  <c r="I83" i="11" s="1"/>
  <c r="H84" i="11"/>
  <c r="H85" i="11"/>
  <c r="H86" i="11"/>
  <c r="H87" i="11"/>
  <c r="I87" i="11" s="1"/>
  <c r="H88" i="11"/>
  <c r="H89" i="11"/>
  <c r="I89" i="11" s="1"/>
  <c r="H90" i="11"/>
  <c r="H91" i="11"/>
  <c r="I91" i="11" s="1"/>
  <c r="H92" i="11"/>
  <c r="H93" i="11"/>
  <c r="H94" i="11"/>
  <c r="H95" i="11"/>
  <c r="I95" i="11" s="1"/>
  <c r="H96" i="11"/>
  <c r="I96" i="11" s="1"/>
  <c r="H97" i="11"/>
  <c r="I97" i="11" s="1"/>
  <c r="H98" i="11"/>
  <c r="I98" i="11" s="1"/>
  <c r="H99" i="11"/>
  <c r="I99" i="11" s="1"/>
  <c r="H100" i="11"/>
  <c r="H101" i="11"/>
  <c r="H102" i="11"/>
  <c r="H103" i="11"/>
  <c r="I103" i="11" s="1"/>
  <c r="H104" i="11"/>
  <c r="I104" i="11" s="1"/>
  <c r="H105" i="11"/>
  <c r="I105" i="11" s="1"/>
  <c r="H106" i="11"/>
  <c r="I106" i="11" s="1"/>
  <c r="H107" i="11"/>
  <c r="I107" i="11" s="1"/>
  <c r="H108" i="11"/>
  <c r="H109" i="11"/>
  <c r="H110" i="11"/>
  <c r="H111" i="11"/>
  <c r="I111" i="11" s="1"/>
  <c r="H112" i="11"/>
  <c r="H113" i="11"/>
  <c r="I113" i="11" s="1"/>
  <c r="H114" i="11"/>
  <c r="H115" i="11"/>
  <c r="I115" i="11" s="1"/>
  <c r="H116" i="11"/>
  <c r="H117" i="11"/>
  <c r="H118" i="11"/>
  <c r="H119" i="11"/>
  <c r="I119" i="11" s="1"/>
  <c r="H120" i="11"/>
  <c r="I120" i="11" s="1"/>
  <c r="H121" i="11"/>
  <c r="I121" i="11" s="1"/>
  <c r="H122" i="11"/>
  <c r="I122" i="11" s="1"/>
  <c r="H123" i="11"/>
  <c r="I123" i="11" s="1"/>
  <c r="H124" i="11"/>
  <c r="H125" i="11"/>
  <c r="H126" i="11"/>
  <c r="H127" i="11"/>
  <c r="I127" i="11" s="1"/>
  <c r="H128" i="11"/>
  <c r="H129" i="11"/>
  <c r="I129" i="11" s="1"/>
  <c r="H130" i="11"/>
  <c r="I130" i="11" s="1"/>
  <c r="H131" i="11"/>
  <c r="I131" i="11" s="1"/>
  <c r="H132" i="11"/>
  <c r="H133" i="11"/>
  <c r="H134" i="11"/>
  <c r="H135" i="11"/>
  <c r="I135" i="11" s="1"/>
  <c r="H136" i="11"/>
  <c r="H137" i="11"/>
  <c r="I137" i="11" s="1"/>
  <c r="H138" i="11"/>
  <c r="I138" i="11" s="1"/>
  <c r="H139" i="11"/>
  <c r="I139" i="11" s="1"/>
  <c r="H140" i="11"/>
  <c r="H141" i="11"/>
  <c r="H142" i="11"/>
  <c r="H143" i="11"/>
  <c r="I143" i="11" s="1"/>
  <c r="H144" i="11"/>
  <c r="I144" i="11" s="1"/>
  <c r="H145" i="11"/>
  <c r="I145" i="11" s="1"/>
  <c r="H146" i="11"/>
  <c r="I146" i="11" s="1"/>
  <c r="H147" i="11"/>
  <c r="I147" i="11" s="1"/>
  <c r="H148" i="11"/>
  <c r="H149" i="11"/>
  <c r="H150" i="11"/>
  <c r="H151" i="11"/>
  <c r="I151" i="11" s="1"/>
  <c r="H152" i="11"/>
  <c r="H153" i="11"/>
  <c r="I153" i="11" s="1"/>
  <c r="H154" i="11"/>
  <c r="H155" i="11"/>
  <c r="I155" i="11" s="1"/>
  <c r="H156" i="11"/>
  <c r="H157" i="11"/>
  <c r="H158" i="11"/>
  <c r="H159" i="11"/>
  <c r="I159" i="11" s="1"/>
  <c r="H160" i="11"/>
  <c r="I160" i="11" s="1"/>
  <c r="H161" i="11"/>
  <c r="I161" i="11" s="1"/>
  <c r="H162" i="11"/>
  <c r="I162" i="11" s="1"/>
  <c r="H163" i="11"/>
  <c r="I163" i="11" s="1"/>
  <c r="H164" i="11"/>
  <c r="H165" i="11"/>
  <c r="H166" i="11"/>
  <c r="H167" i="11"/>
  <c r="I167" i="11" s="1"/>
  <c r="H168" i="11"/>
  <c r="I168" i="11" s="1"/>
  <c r="H169" i="11"/>
  <c r="I169" i="11" s="1"/>
  <c r="H170" i="11"/>
  <c r="I170" i="11" s="1"/>
  <c r="H171" i="11"/>
  <c r="I171" i="11" s="1"/>
  <c r="H172" i="11"/>
  <c r="H173" i="11"/>
  <c r="H174" i="11"/>
  <c r="H175" i="11"/>
  <c r="I175" i="11" s="1"/>
  <c r="H176" i="11"/>
  <c r="H177" i="11"/>
  <c r="I177" i="11" s="1"/>
  <c r="H178" i="11"/>
  <c r="H179" i="11"/>
  <c r="I179" i="11" s="1"/>
  <c r="H180" i="11"/>
  <c r="H181" i="11"/>
  <c r="H182" i="11"/>
  <c r="H183" i="11"/>
  <c r="I183" i="11" s="1"/>
  <c r="H184" i="11"/>
  <c r="I184" i="11" s="1"/>
  <c r="H185" i="11"/>
  <c r="I185" i="11" s="1"/>
  <c r="H186" i="11"/>
  <c r="I186" i="11" s="1"/>
  <c r="H187" i="11"/>
  <c r="I187" i="11" s="1"/>
  <c r="H188" i="11"/>
  <c r="H189" i="11"/>
  <c r="H190" i="11"/>
  <c r="H191" i="11"/>
  <c r="I191" i="11" s="1"/>
  <c r="H192" i="11"/>
  <c r="H193" i="11"/>
  <c r="I193" i="11" s="1"/>
  <c r="H194" i="11"/>
  <c r="I194" i="11" s="1"/>
  <c r="H195" i="11"/>
  <c r="I195" i="11" s="1"/>
  <c r="H196" i="11"/>
  <c r="H197" i="11"/>
  <c r="H198" i="11"/>
  <c r="H199" i="11"/>
  <c r="I199" i="11" s="1"/>
  <c r="H200" i="11"/>
  <c r="H201" i="11"/>
  <c r="I201" i="11" s="1"/>
  <c r="H202" i="11"/>
  <c r="I202" i="11" s="1"/>
  <c r="H203" i="11"/>
  <c r="I203" i="11" s="1"/>
  <c r="H204" i="11"/>
  <c r="H205" i="11"/>
  <c r="H206" i="11"/>
  <c r="H207" i="11"/>
  <c r="I207" i="11" s="1"/>
  <c r="H208" i="11"/>
  <c r="I208" i="11" s="1"/>
  <c r="G42" i="1"/>
  <c r="H214" i="11"/>
  <c r="I214" i="11" s="1"/>
  <c r="H215" i="11"/>
  <c r="I215" i="11" s="1"/>
  <c r="H216" i="11"/>
  <c r="I216" i="11" s="1"/>
  <c r="H217" i="11"/>
  <c r="H218" i="11"/>
  <c r="I218" i="11" s="1"/>
  <c r="H219" i="11"/>
  <c r="H220" i="11"/>
  <c r="I220" i="11" s="1"/>
  <c r="H221" i="11"/>
  <c r="H222" i="11"/>
  <c r="I222" i="11" s="1"/>
  <c r="H223" i="11"/>
  <c r="I223" i="11" s="1"/>
  <c r="H224" i="11"/>
  <c r="I224" i="11" s="1"/>
  <c r="H225" i="11"/>
  <c r="H226" i="11"/>
  <c r="I226" i="11" s="1"/>
  <c r="H227" i="11"/>
  <c r="H228" i="11"/>
  <c r="I228" i="11" s="1"/>
  <c r="H229" i="11"/>
  <c r="I229" i="11" s="1"/>
  <c r="H230" i="11"/>
  <c r="I230" i="11" s="1"/>
  <c r="H231" i="11"/>
  <c r="I231" i="11" s="1"/>
  <c r="H232" i="11"/>
  <c r="I232" i="11" s="1"/>
  <c r="H233" i="11"/>
  <c r="H234" i="11"/>
  <c r="I234" i="11" s="1"/>
  <c r="H235" i="11"/>
  <c r="H236" i="11"/>
  <c r="I236" i="11" s="1"/>
  <c r="H237" i="11"/>
  <c r="I237" i="11" s="1"/>
  <c r="H238" i="11"/>
  <c r="I238" i="11" s="1"/>
  <c r="H239" i="11"/>
  <c r="I239" i="11" s="1"/>
  <c r="H240" i="11"/>
  <c r="H241" i="11"/>
  <c r="H242" i="11"/>
  <c r="I242" i="11" s="1"/>
  <c r="H243" i="11"/>
  <c r="H244" i="11"/>
  <c r="I244" i="11" s="1"/>
  <c r="H245" i="11"/>
  <c r="H246" i="11"/>
  <c r="I246" i="11" s="1"/>
  <c r="H247" i="11"/>
  <c r="H248" i="11"/>
  <c r="I248" i="11" s="1"/>
  <c r="H249" i="11"/>
  <c r="H250" i="11"/>
  <c r="I250" i="11" s="1"/>
  <c r="H251" i="11"/>
  <c r="H252" i="11"/>
  <c r="I252" i="11" s="1"/>
  <c r="H253" i="11"/>
  <c r="I253" i="11" s="1"/>
  <c r="H254" i="11"/>
  <c r="I254" i="11" s="1"/>
  <c r="H255" i="11"/>
  <c r="I255" i="11" s="1"/>
  <c r="H256" i="11"/>
  <c r="I256" i="11" s="1"/>
  <c r="H257" i="11"/>
  <c r="H258" i="11"/>
  <c r="I258" i="11" s="1"/>
  <c r="H259" i="11"/>
  <c r="H260" i="11"/>
  <c r="I260" i="11" s="1"/>
  <c r="H261" i="11"/>
  <c r="I261" i="11" s="1"/>
  <c r="H262" i="11"/>
  <c r="I262" i="11" s="1"/>
  <c r="H263" i="11"/>
  <c r="I263" i="11" s="1"/>
  <c r="H264" i="11"/>
  <c r="I264" i="11" s="1"/>
  <c r="H265" i="11"/>
  <c r="H266" i="11"/>
  <c r="I266" i="11" s="1"/>
  <c r="H267" i="11"/>
  <c r="H268" i="11"/>
  <c r="H269" i="11"/>
  <c r="H270" i="11"/>
  <c r="I270" i="11" s="1"/>
  <c r="H271" i="11"/>
  <c r="H272" i="11"/>
  <c r="H273" i="11"/>
  <c r="H274" i="11"/>
  <c r="I274" i="11" s="1"/>
  <c r="H275" i="11"/>
  <c r="H276" i="11"/>
  <c r="I276" i="11" s="1"/>
  <c r="H277" i="11"/>
  <c r="I277" i="11" s="1"/>
  <c r="H278" i="11"/>
  <c r="I278" i="11" s="1"/>
  <c r="H279" i="11"/>
  <c r="I279" i="11" s="1"/>
  <c r="H280" i="11"/>
  <c r="I280" i="11" s="1"/>
  <c r="H281" i="11"/>
  <c r="H282" i="11"/>
  <c r="I282" i="11" s="1"/>
  <c r="H283" i="11"/>
  <c r="H284" i="11"/>
  <c r="I284" i="11" s="1"/>
  <c r="H285" i="11"/>
  <c r="I285" i="11" s="1"/>
  <c r="H286" i="11"/>
  <c r="I286" i="11" s="1"/>
  <c r="H287" i="11"/>
  <c r="I287" i="11" s="1"/>
  <c r="H288" i="11"/>
  <c r="I288" i="11" s="1"/>
  <c r="H289" i="11"/>
  <c r="H290" i="11"/>
  <c r="I290" i="11" s="1"/>
  <c r="H291" i="11"/>
  <c r="H292" i="11"/>
  <c r="H293" i="11"/>
  <c r="H294" i="11"/>
  <c r="I294" i="11" s="1"/>
  <c r="H295" i="11"/>
  <c r="I295" i="11" s="1"/>
  <c r="H296" i="11"/>
  <c r="I296" i="11" s="1"/>
  <c r="H297" i="11"/>
  <c r="H298" i="11"/>
  <c r="I298" i="11" s="1"/>
  <c r="H299" i="11"/>
  <c r="H300" i="11"/>
  <c r="I300" i="11" s="1"/>
  <c r="H301" i="11"/>
  <c r="H302" i="11"/>
  <c r="I302" i="11" s="1"/>
  <c r="H303" i="11"/>
  <c r="I303" i="11" s="1"/>
  <c r="H304" i="11"/>
  <c r="H305" i="11"/>
  <c r="H306" i="11"/>
  <c r="I306" i="11" s="1"/>
  <c r="H307" i="11"/>
  <c r="H308" i="11"/>
  <c r="I308" i="11" s="1"/>
  <c r="H309" i="11"/>
  <c r="I309" i="11" s="1"/>
  <c r="H310" i="11"/>
  <c r="I310" i="11" s="1"/>
  <c r="H311" i="11"/>
  <c r="I311" i="11" s="1"/>
  <c r="H312" i="11"/>
  <c r="I312" i="11" s="1"/>
  <c r="H313" i="11"/>
  <c r="H314" i="11"/>
  <c r="I314" i="11" s="1"/>
  <c r="H315" i="11"/>
  <c r="H316" i="11"/>
  <c r="I316" i="11" s="1"/>
  <c r="H317" i="11"/>
  <c r="I317" i="11" s="1"/>
  <c r="H318" i="11"/>
  <c r="I318" i="11" s="1"/>
  <c r="H319" i="11"/>
  <c r="I319" i="11" s="1"/>
  <c r="H320" i="11"/>
  <c r="I320" i="11" s="1"/>
  <c r="H321" i="11"/>
  <c r="H322" i="11"/>
  <c r="I322" i="11" s="1"/>
  <c r="H323" i="11"/>
  <c r="H324" i="11"/>
  <c r="H325" i="11"/>
  <c r="H326" i="11"/>
  <c r="I326" i="11" s="1"/>
  <c r="H327" i="11"/>
  <c r="H328" i="11"/>
  <c r="I328" i="11" s="1"/>
  <c r="H329" i="11"/>
  <c r="H330" i="11"/>
  <c r="I330" i="11" s="1"/>
  <c r="H331" i="11"/>
  <c r="H332" i="11"/>
  <c r="I332" i="11" s="1"/>
  <c r="H333" i="11"/>
  <c r="I333" i="11" s="1"/>
  <c r="H334" i="11"/>
  <c r="I334" i="11" s="1"/>
  <c r="H335" i="11"/>
  <c r="I335" i="11" s="1"/>
  <c r="H336" i="11"/>
  <c r="H337" i="11"/>
  <c r="H338" i="11"/>
  <c r="I338" i="11" s="1"/>
  <c r="H339" i="11"/>
  <c r="H340" i="11"/>
  <c r="I340" i="11" s="1"/>
  <c r="H341" i="11"/>
  <c r="I341" i="11" s="1"/>
  <c r="H342" i="11"/>
  <c r="I342" i="11" s="1"/>
  <c r="H343" i="11"/>
  <c r="I343" i="11" s="1"/>
  <c r="H344" i="11"/>
  <c r="I344" i="11" s="1"/>
  <c r="H345" i="11"/>
  <c r="H346" i="11"/>
  <c r="H347" i="11"/>
  <c r="H348" i="11"/>
  <c r="I348" i="11" s="1"/>
  <c r="H349" i="11"/>
  <c r="H350" i="11"/>
  <c r="I350" i="11" s="1"/>
  <c r="H351" i="11"/>
  <c r="H352" i="11"/>
  <c r="I352" i="11" s="1"/>
  <c r="H353" i="11"/>
  <c r="H354" i="11"/>
  <c r="I354" i="11" s="1"/>
  <c r="H355" i="11"/>
  <c r="H356" i="11"/>
  <c r="I356" i="11" s="1"/>
  <c r="H357" i="11"/>
  <c r="I357" i="11" s="1"/>
  <c r="H358" i="11"/>
  <c r="I358" i="11" s="1"/>
  <c r="H359" i="11"/>
  <c r="I359" i="11" s="1"/>
  <c r="H360" i="11"/>
  <c r="I360" i="11" s="1"/>
  <c r="H361" i="11"/>
  <c r="H362" i="11"/>
  <c r="I362" i="11" s="1"/>
  <c r="H363" i="11"/>
  <c r="H364" i="11"/>
  <c r="I364" i="11" s="1"/>
  <c r="H365" i="11"/>
  <c r="I365" i="11" s="1"/>
  <c r="H366" i="11"/>
  <c r="I366" i="11" s="1"/>
  <c r="H367" i="11"/>
  <c r="I367" i="11" s="1"/>
  <c r="H368" i="11"/>
  <c r="H369" i="11"/>
  <c r="H370" i="11"/>
  <c r="I370" i="11" s="1"/>
  <c r="H371" i="11"/>
  <c r="H372" i="11"/>
  <c r="I372" i="11" s="1"/>
  <c r="H373" i="11"/>
  <c r="H374" i="11"/>
  <c r="I374" i="11" s="1"/>
  <c r="H375" i="11"/>
  <c r="I375" i="11" s="1"/>
  <c r="H376" i="11"/>
  <c r="I376" i="11" s="1"/>
  <c r="H377" i="11"/>
  <c r="H378" i="11"/>
  <c r="H379" i="11"/>
  <c r="H380" i="11"/>
  <c r="I380" i="11" s="1"/>
  <c r="H381" i="11"/>
  <c r="I381" i="11" s="1"/>
  <c r="H382" i="11"/>
  <c r="I382" i="11" s="1"/>
  <c r="H383" i="11"/>
  <c r="I383" i="11" s="1"/>
  <c r="H384" i="11"/>
  <c r="I384" i="11" s="1"/>
  <c r="H385" i="11"/>
  <c r="H386" i="11"/>
  <c r="I386" i="11" s="1"/>
  <c r="H387" i="11"/>
  <c r="H388" i="11"/>
  <c r="I388" i="11" s="1"/>
  <c r="H389" i="11"/>
  <c r="I389" i="11" s="1"/>
  <c r="H390" i="11"/>
  <c r="I390" i="11" s="1"/>
  <c r="H391" i="11"/>
  <c r="I391" i="11" s="1"/>
  <c r="H392" i="11"/>
  <c r="I392" i="11" s="1"/>
  <c r="H393" i="11"/>
  <c r="H394" i="11"/>
  <c r="I394" i="11" s="1"/>
  <c r="H395" i="11"/>
  <c r="H396" i="11"/>
  <c r="H397" i="11"/>
  <c r="H398" i="11"/>
  <c r="I398" i="11" s="1"/>
  <c r="H399" i="11"/>
  <c r="H400" i="11"/>
  <c r="H401" i="11"/>
  <c r="H402" i="11"/>
  <c r="I402" i="11" s="1"/>
  <c r="H403" i="11"/>
  <c r="H404" i="11"/>
  <c r="I404" i="11" s="1"/>
  <c r="H405" i="11"/>
  <c r="I405" i="11" s="1"/>
  <c r="H406" i="11"/>
  <c r="I406" i="11" s="1"/>
  <c r="H407" i="11"/>
  <c r="I407" i="11" s="1"/>
  <c r="H408" i="11"/>
  <c r="I408" i="11" s="1"/>
  <c r="H409" i="11"/>
  <c r="H410" i="11"/>
  <c r="I410" i="11" s="1"/>
  <c r="H411" i="11"/>
  <c r="H412" i="11"/>
  <c r="I412" i="11" s="1"/>
  <c r="H413" i="11"/>
  <c r="I413" i="11" s="1"/>
  <c r="H414" i="11"/>
  <c r="I414" i="11" s="1"/>
  <c r="H415" i="11"/>
  <c r="I415" i="11" s="1"/>
  <c r="H416" i="11"/>
  <c r="I416" i="11" s="1"/>
  <c r="H417" i="11"/>
  <c r="H418" i="11"/>
  <c r="I418" i="11" s="1"/>
  <c r="H419" i="11"/>
  <c r="H420" i="11"/>
  <c r="H421" i="11"/>
  <c r="H422" i="11"/>
  <c r="I422" i="11" s="1"/>
  <c r="H423" i="11"/>
  <c r="I423" i="11" s="1"/>
  <c r="H424" i="11"/>
  <c r="I424" i="11" s="1"/>
  <c r="H425" i="11"/>
  <c r="H426" i="11"/>
  <c r="I426" i="11" s="1"/>
  <c r="H427" i="11"/>
  <c r="H428" i="11"/>
  <c r="I428" i="11" s="1"/>
  <c r="H429" i="11"/>
  <c r="H430" i="11"/>
  <c r="I430" i="11" s="1"/>
  <c r="H431" i="11"/>
  <c r="I431" i="11" s="1"/>
  <c r="H432" i="11"/>
  <c r="H433" i="11"/>
  <c r="H434" i="11"/>
  <c r="I434" i="11" s="1"/>
  <c r="H435" i="11"/>
  <c r="H436" i="11"/>
  <c r="I436" i="11" s="1"/>
  <c r="H437" i="11"/>
  <c r="I437" i="11" s="1"/>
  <c r="H438" i="11"/>
  <c r="I438" i="11" s="1"/>
  <c r="H439" i="11"/>
  <c r="I439" i="11" s="1"/>
  <c r="H440" i="11"/>
  <c r="I440" i="11" s="1"/>
  <c r="H441" i="11"/>
  <c r="H442" i="11"/>
  <c r="H443" i="11"/>
  <c r="H444" i="11"/>
  <c r="I444" i="11" s="1"/>
  <c r="H445" i="11"/>
  <c r="I445" i="11" s="1"/>
  <c r="H446" i="11"/>
  <c r="I446" i="11" s="1"/>
  <c r="H447" i="11"/>
  <c r="I447" i="11" s="1"/>
  <c r="H448" i="11"/>
  <c r="I448" i="11" s="1"/>
  <c r="H449" i="11"/>
  <c r="H450" i="11"/>
  <c r="I450" i="11" s="1"/>
  <c r="H451" i="11"/>
  <c r="H452" i="11"/>
  <c r="H453" i="11"/>
  <c r="H460" i="11"/>
  <c r="H461" i="11"/>
  <c r="H462" i="11"/>
  <c r="I462" i="11" s="1"/>
  <c r="H463" i="11"/>
  <c r="I463" i="11" s="1"/>
  <c r="H464" i="11"/>
  <c r="H465" i="11"/>
  <c r="I465" i="11" s="1"/>
  <c r="H466" i="11"/>
  <c r="I466" i="11" s="1"/>
  <c r="H467" i="11"/>
  <c r="I467" i="11" s="1"/>
  <c r="H468" i="11"/>
  <c r="I468" i="11" s="1"/>
  <c r="H469" i="11"/>
  <c r="I469" i="11" s="1"/>
  <c r="H470" i="11"/>
  <c r="I470" i="11" s="1"/>
  <c r="H471" i="11"/>
  <c r="I471" i="11" s="1"/>
  <c r="H472" i="11"/>
  <c r="H473" i="11"/>
  <c r="I473" i="11" s="1"/>
  <c r="H474" i="11"/>
  <c r="I474" i="11" s="1"/>
  <c r="H475" i="11"/>
  <c r="I475" i="11" s="1"/>
  <c r="H476" i="11"/>
  <c r="I476" i="11" s="1"/>
  <c r="H477" i="11"/>
  <c r="I477" i="11" s="1"/>
  <c r="H478" i="11"/>
  <c r="I478" i="11" s="1"/>
  <c r="H479" i="11"/>
  <c r="I479" i="11" s="1"/>
  <c r="H480" i="11"/>
  <c r="H481" i="11"/>
  <c r="I481" i="11" s="1"/>
  <c r="H482" i="11"/>
  <c r="I482" i="11" s="1"/>
  <c r="H483" i="11"/>
  <c r="I483" i="11" s="1"/>
  <c r="H484" i="11"/>
  <c r="I484" i="11" s="1"/>
  <c r="H485" i="11"/>
  <c r="I485" i="11" s="1"/>
  <c r="H486" i="11"/>
  <c r="I486" i="11" s="1"/>
  <c r="H487" i="11"/>
  <c r="H488" i="11"/>
  <c r="H489" i="11"/>
  <c r="I489" i="11" s="1"/>
  <c r="H490" i="11"/>
  <c r="I490" i="11" s="1"/>
  <c r="H491" i="11"/>
  <c r="I491" i="11" s="1"/>
  <c r="H492" i="11"/>
  <c r="I492" i="11" s="1"/>
  <c r="H493" i="11"/>
  <c r="I493" i="11" s="1"/>
  <c r="H494" i="11"/>
  <c r="I494" i="11" s="1"/>
  <c r="H495" i="11"/>
  <c r="I495" i="11" s="1"/>
  <c r="H496" i="11"/>
  <c r="H497" i="11"/>
  <c r="I497" i="11" s="1"/>
  <c r="H498" i="11"/>
  <c r="H499" i="11"/>
  <c r="H500" i="11"/>
  <c r="I500" i="11" s="1"/>
  <c r="H501" i="11"/>
  <c r="I501" i="11" s="1"/>
  <c r="H502" i="11"/>
  <c r="I502" i="11" s="1"/>
  <c r="H503" i="11"/>
  <c r="I503" i="11" s="1"/>
  <c r="H504" i="11"/>
  <c r="H505" i="11"/>
  <c r="H506" i="11"/>
  <c r="I506" i="11" s="1"/>
  <c r="H507" i="11"/>
  <c r="I507" i="11" s="1"/>
  <c r="H508" i="11"/>
  <c r="H509" i="11"/>
  <c r="H510" i="11"/>
  <c r="I510" i="11" s="1"/>
  <c r="H511" i="11"/>
  <c r="I511" i="11" s="1"/>
  <c r="H512" i="11"/>
  <c r="H513" i="11"/>
  <c r="I513" i="11" s="1"/>
  <c r="H514" i="11"/>
  <c r="I514" i="11" s="1"/>
  <c r="H515" i="11"/>
  <c r="H516" i="11"/>
  <c r="I516" i="11" s="1"/>
  <c r="H517" i="11"/>
  <c r="I517" i="11" s="1"/>
  <c r="H518" i="11"/>
  <c r="I518" i="11" s="1"/>
  <c r="H519" i="11"/>
  <c r="I519" i="11" s="1"/>
  <c r="H520" i="11"/>
  <c r="H521" i="11"/>
  <c r="I521" i="11" s="1"/>
  <c r="H522" i="11"/>
  <c r="I522" i="11" s="1"/>
  <c r="H523" i="11"/>
  <c r="H524" i="11"/>
  <c r="I524" i="11" s="1"/>
  <c r="H525" i="11"/>
  <c r="I525" i="11" s="1"/>
  <c r="H526" i="11"/>
  <c r="I526" i="11" s="1"/>
  <c r="H527" i="11"/>
  <c r="I527" i="11" s="1"/>
  <c r="H528" i="11"/>
  <c r="H529" i="11"/>
  <c r="I529" i="11" s="1"/>
  <c r="H530" i="11"/>
  <c r="I530" i="11" s="1"/>
  <c r="H531" i="11"/>
  <c r="I531" i="11" s="1"/>
  <c r="H532" i="11"/>
  <c r="I532" i="11" s="1"/>
  <c r="H533" i="11"/>
  <c r="I533" i="11" s="1"/>
  <c r="H534" i="11"/>
  <c r="I534" i="11" s="1"/>
  <c r="H535" i="11"/>
  <c r="I535" i="11" s="1"/>
  <c r="H536" i="11"/>
  <c r="H537" i="11"/>
  <c r="I537" i="11" s="1"/>
  <c r="H538" i="11"/>
  <c r="I538" i="11" s="1"/>
  <c r="H539" i="11"/>
  <c r="I539" i="11" s="1"/>
  <c r="H540" i="11"/>
  <c r="I540" i="11" s="1"/>
  <c r="H541" i="11"/>
  <c r="I541" i="11" s="1"/>
  <c r="H542" i="11"/>
  <c r="I542" i="11" s="1"/>
  <c r="H543" i="11"/>
  <c r="I543" i="11" s="1"/>
  <c r="H544" i="11"/>
  <c r="H545" i="11"/>
  <c r="I545" i="11" s="1"/>
  <c r="H546" i="11"/>
  <c r="I546" i="11" s="1"/>
  <c r="H547" i="11"/>
  <c r="I547" i="11" s="1"/>
  <c r="H548" i="11"/>
  <c r="I548" i="11" s="1"/>
  <c r="H549" i="11"/>
  <c r="I549" i="11" s="1"/>
  <c r="H550" i="11"/>
  <c r="I550" i="11" s="1"/>
  <c r="H551" i="11"/>
  <c r="H552" i="11"/>
  <c r="H553" i="11"/>
  <c r="I553" i="11" s="1"/>
  <c r="H554" i="11"/>
  <c r="I554" i="11" s="1"/>
  <c r="H555" i="11"/>
  <c r="I555" i="11" s="1"/>
  <c r="H556" i="11"/>
  <c r="I556" i="11" s="1"/>
  <c r="H557" i="11"/>
  <c r="I557" i="11" s="1"/>
  <c r="H558" i="11"/>
  <c r="I558" i="11" s="1"/>
  <c r="H559" i="11"/>
  <c r="I559" i="11" s="1"/>
  <c r="H560" i="11"/>
  <c r="H561" i="11"/>
  <c r="I561" i="11" s="1"/>
  <c r="H562" i="11"/>
  <c r="I562" i="11" s="1"/>
  <c r="H563" i="11"/>
  <c r="I563" i="11" s="1"/>
  <c r="H564" i="11"/>
  <c r="H565" i="11"/>
  <c r="I565" i="11" s="1"/>
  <c r="H566" i="11"/>
  <c r="I566" i="11" s="1"/>
  <c r="H567" i="11"/>
  <c r="I567" i="11" s="1"/>
  <c r="H568" i="11"/>
  <c r="H569" i="11"/>
  <c r="I569" i="11" s="1"/>
  <c r="H570" i="11"/>
  <c r="I570" i="11" s="1"/>
  <c r="H571" i="11"/>
  <c r="I571" i="11" s="1"/>
  <c r="H572" i="11"/>
  <c r="H573" i="11"/>
  <c r="I573" i="11" s="1"/>
  <c r="H574" i="11"/>
  <c r="I574" i="11" s="1"/>
  <c r="H575" i="11"/>
  <c r="I575" i="11" s="1"/>
  <c r="H576" i="11"/>
  <c r="H577" i="11"/>
  <c r="I577" i="11" s="1"/>
  <c r="H578" i="11"/>
  <c r="I578" i="11" s="1"/>
  <c r="H579" i="11"/>
  <c r="I579" i="11" s="1"/>
  <c r="H580" i="11"/>
  <c r="I580" i="11" s="1"/>
  <c r="H581" i="11"/>
  <c r="I581" i="11" s="1"/>
  <c r="H582" i="11"/>
  <c r="I582" i="11" s="1"/>
  <c r="H583" i="11"/>
  <c r="I583" i="11" s="1"/>
  <c r="H584" i="11"/>
  <c r="H585" i="11"/>
  <c r="I585" i="11" s="1"/>
  <c r="H586" i="11"/>
  <c r="I586" i="11" s="1"/>
  <c r="H587" i="11"/>
  <c r="H588" i="11"/>
  <c r="I588" i="11" s="1"/>
  <c r="H589" i="11"/>
  <c r="I589" i="11" s="1"/>
  <c r="H590" i="11"/>
  <c r="I590" i="11" s="1"/>
  <c r="H591" i="11"/>
  <c r="I591" i="11" s="1"/>
  <c r="H592" i="11"/>
  <c r="H593" i="11"/>
  <c r="I593" i="11" s="1"/>
  <c r="H594" i="11"/>
  <c r="I594" i="11" s="1"/>
  <c r="H595" i="11"/>
  <c r="I595" i="11" s="1"/>
  <c r="H596" i="11"/>
  <c r="I596" i="11" s="1"/>
  <c r="H597" i="11"/>
  <c r="I597" i="11" s="1"/>
  <c r="H598" i="11"/>
  <c r="I598" i="11" s="1"/>
  <c r="H599" i="11"/>
  <c r="I599" i="11" s="1"/>
  <c r="H600" i="11"/>
  <c r="H601" i="11"/>
  <c r="I601" i="11" s="1"/>
  <c r="H602" i="11"/>
  <c r="I602" i="11" s="1"/>
  <c r="H603" i="11"/>
  <c r="I603" i="11" s="1"/>
  <c r="H604" i="11"/>
  <c r="I604" i="11" s="1"/>
  <c r="H605" i="11"/>
  <c r="I605" i="11" s="1"/>
  <c r="H606" i="11"/>
  <c r="I606" i="11" s="1"/>
  <c r="H607" i="11"/>
  <c r="I607" i="11" s="1"/>
  <c r="H608" i="11"/>
  <c r="H609" i="11"/>
  <c r="I609" i="11" s="1"/>
  <c r="H610" i="11"/>
  <c r="I610" i="11" s="1"/>
  <c r="H611" i="11"/>
  <c r="I611" i="11" s="1"/>
  <c r="H612" i="11"/>
  <c r="I612" i="11" s="1"/>
  <c r="H613" i="11"/>
  <c r="I613" i="11" s="1"/>
  <c r="H614" i="11"/>
  <c r="I614" i="11" s="1"/>
  <c r="H615" i="11"/>
  <c r="H616" i="11"/>
  <c r="H617" i="11"/>
  <c r="I617" i="11" s="1"/>
  <c r="H618" i="11"/>
  <c r="I618" i="11" s="1"/>
  <c r="H619" i="11"/>
  <c r="I619" i="11" s="1"/>
  <c r="H620" i="11"/>
  <c r="I620" i="11" s="1"/>
  <c r="H621" i="11"/>
  <c r="I621" i="11" s="1"/>
  <c r="H622" i="11"/>
  <c r="H623" i="11"/>
  <c r="I623" i="11" s="1"/>
  <c r="H624" i="11"/>
  <c r="H625" i="11"/>
  <c r="I625" i="11" s="1"/>
  <c r="H626" i="11"/>
  <c r="I626" i="11" s="1"/>
  <c r="H627" i="11"/>
  <c r="H628" i="11"/>
  <c r="H629" i="11"/>
  <c r="I629" i="11" s="1"/>
  <c r="H630" i="11"/>
  <c r="I630" i="11" s="1"/>
  <c r="H631" i="11"/>
  <c r="I631" i="11" s="1"/>
  <c r="H632" i="11"/>
  <c r="H633" i="11"/>
  <c r="I633" i="11" s="1"/>
  <c r="H634" i="11"/>
  <c r="I634" i="11" s="1"/>
  <c r="H635" i="11"/>
  <c r="I635" i="11" s="1"/>
  <c r="H636" i="11"/>
  <c r="I636" i="11" s="1"/>
  <c r="H637" i="11"/>
  <c r="I637" i="11" s="1"/>
  <c r="H638" i="11"/>
  <c r="H639" i="11"/>
  <c r="I639" i="11" s="1"/>
  <c r="H640" i="11"/>
  <c r="H641" i="11"/>
  <c r="I641" i="11" s="1"/>
  <c r="H642" i="11"/>
  <c r="I642" i="11" s="1"/>
  <c r="H643" i="11"/>
  <c r="I643" i="11" s="1"/>
  <c r="H644" i="11"/>
  <c r="I644" i="11" s="1"/>
  <c r="H645" i="11"/>
  <c r="I645" i="11" s="1"/>
  <c r="H646" i="11"/>
  <c r="I646" i="11" s="1"/>
  <c r="H647" i="11"/>
  <c r="H648" i="11"/>
  <c r="H649" i="11"/>
  <c r="I649" i="11" s="1"/>
  <c r="H650" i="11"/>
  <c r="I650" i="11" s="1"/>
  <c r="H651" i="11"/>
  <c r="H652" i="11"/>
  <c r="I652" i="11" s="1"/>
  <c r="H653" i="11"/>
  <c r="I653" i="11" s="1"/>
  <c r="H654" i="11"/>
  <c r="I654" i="11" s="1"/>
  <c r="H655" i="11"/>
  <c r="I655" i="11" s="1"/>
  <c r="H656" i="11"/>
  <c r="H657" i="11"/>
  <c r="I657" i="11" s="1"/>
  <c r="H658" i="11"/>
  <c r="H659" i="11"/>
  <c r="I659" i="11" s="1"/>
  <c r="H660" i="11"/>
  <c r="I660" i="11" s="1"/>
  <c r="H661" i="11"/>
  <c r="I661" i="11" s="1"/>
  <c r="H662" i="11"/>
  <c r="I662" i="11" s="1"/>
  <c r="H663" i="11"/>
  <c r="H664" i="11"/>
  <c r="H665" i="11"/>
  <c r="I665" i="11" s="1"/>
  <c r="H666" i="11"/>
  <c r="I666" i="11" s="1"/>
  <c r="H667" i="11"/>
  <c r="I667" i="11" s="1"/>
  <c r="H668" i="11"/>
  <c r="H669" i="11"/>
  <c r="I669" i="11" s="1"/>
  <c r="H670" i="11"/>
  <c r="I670" i="11" s="1"/>
  <c r="H671" i="11"/>
  <c r="I671" i="11" s="1"/>
  <c r="H672" i="11"/>
  <c r="H673" i="11"/>
  <c r="I673" i="11" s="1"/>
  <c r="H674" i="11"/>
  <c r="I674" i="11" s="1"/>
  <c r="H679" i="11"/>
  <c r="H680" i="11"/>
  <c r="H681" i="11"/>
  <c r="I681" i="11" s="1"/>
  <c r="H682" i="11"/>
  <c r="I682" i="11" s="1"/>
  <c r="H683" i="11"/>
  <c r="H684" i="11"/>
  <c r="H685" i="11"/>
  <c r="I685" i="11" s="1"/>
  <c r="H686" i="11"/>
  <c r="I686" i="11" s="1"/>
  <c r="H687" i="11"/>
  <c r="I687" i="11" s="1"/>
  <c r="H688" i="11"/>
  <c r="I688" i="11" s="1"/>
  <c r="H689" i="11"/>
  <c r="I689" i="11" s="1"/>
  <c r="H690" i="11"/>
  <c r="I690" i="11" s="1"/>
  <c r="H691" i="11"/>
  <c r="I691" i="11" s="1"/>
  <c r="H692" i="11"/>
  <c r="H693" i="11"/>
  <c r="I693" i="11" s="1"/>
  <c r="H694" i="11"/>
  <c r="I694" i="11" s="1"/>
  <c r="H695" i="11"/>
  <c r="I695" i="11" s="1"/>
  <c r="H696" i="11"/>
  <c r="I696" i="11" s="1"/>
  <c r="H697" i="11"/>
  <c r="I697" i="11" s="1"/>
  <c r="H698" i="11"/>
  <c r="I698" i="11" s="1"/>
  <c r="H699" i="11"/>
  <c r="I699" i="11" s="1"/>
  <c r="H700" i="11"/>
  <c r="H701" i="11"/>
  <c r="I701" i="11" s="1"/>
  <c r="H702" i="11"/>
  <c r="I702" i="11" s="1"/>
  <c r="H703" i="11"/>
  <c r="H704" i="11"/>
  <c r="I704" i="11" s="1"/>
  <c r="H705" i="11"/>
  <c r="I705" i="11" s="1"/>
  <c r="H706" i="11"/>
  <c r="I706" i="11" s="1"/>
  <c r="H707" i="11"/>
  <c r="I707" i="11" s="1"/>
  <c r="H708" i="11"/>
  <c r="H709" i="11"/>
  <c r="I709" i="11" s="1"/>
  <c r="H710" i="11"/>
  <c r="I710" i="11" s="1"/>
  <c r="H711" i="11"/>
  <c r="I711" i="11" s="1"/>
  <c r="H712" i="11"/>
  <c r="I712" i="11" s="1"/>
  <c r="H713" i="11"/>
  <c r="I713" i="11" s="1"/>
  <c r="H714" i="11"/>
  <c r="I714" i="11" s="1"/>
  <c r="H715" i="11"/>
  <c r="H716" i="11"/>
  <c r="H717" i="11"/>
  <c r="I717" i="11" s="1"/>
  <c r="H718" i="11"/>
  <c r="I718" i="11" s="1"/>
  <c r="H719" i="11"/>
  <c r="H720" i="11"/>
  <c r="H721" i="11"/>
  <c r="I721" i="11" s="1"/>
  <c r="H722" i="11"/>
  <c r="I722" i="11" s="1"/>
  <c r="H723" i="11"/>
  <c r="I723" i="11" s="1"/>
  <c r="H724" i="11"/>
  <c r="H725" i="11"/>
  <c r="I725" i="11" s="1"/>
  <c r="H726" i="11"/>
  <c r="I726" i="11" s="1"/>
  <c r="H727" i="11"/>
  <c r="I727" i="11" s="1"/>
  <c r="H728" i="11"/>
  <c r="I728" i="11" s="1"/>
  <c r="H729" i="11"/>
  <c r="I729" i="11" s="1"/>
  <c r="H730" i="11"/>
  <c r="I730" i="11" s="1"/>
  <c r="H731" i="11"/>
  <c r="I731" i="11" s="1"/>
  <c r="H732" i="11"/>
  <c r="H733" i="11"/>
  <c r="I733" i="11" s="1"/>
  <c r="H734" i="11"/>
  <c r="I734" i="11" s="1"/>
  <c r="H735" i="11"/>
  <c r="I735" i="11" s="1"/>
  <c r="H736" i="11"/>
  <c r="I736" i="11" s="1"/>
  <c r="H737" i="11"/>
  <c r="I737" i="11" s="1"/>
  <c r="H738" i="11"/>
  <c r="I738" i="11" s="1"/>
  <c r="H739" i="11"/>
  <c r="I739" i="11" s="1"/>
  <c r="H740" i="11"/>
  <c r="H741" i="11"/>
  <c r="I741" i="11" s="1"/>
  <c r="H742" i="11"/>
  <c r="I742" i="11" s="1"/>
  <c r="H743" i="11"/>
  <c r="I743" i="11" s="1"/>
  <c r="H744" i="11"/>
  <c r="I744" i="11" s="1"/>
  <c r="H745" i="11"/>
  <c r="I745" i="11" s="1"/>
  <c r="H746" i="11"/>
  <c r="I746" i="11" s="1"/>
  <c r="H747" i="11"/>
  <c r="H748" i="11"/>
  <c r="H749" i="11"/>
  <c r="I749" i="11" s="1"/>
  <c r="H750" i="11"/>
  <c r="I750" i="11" s="1"/>
  <c r="H751" i="11"/>
  <c r="I751" i="11" s="1"/>
  <c r="H752" i="11"/>
  <c r="I752" i="11" s="1"/>
  <c r="H753" i="11"/>
  <c r="I753" i="11" s="1"/>
  <c r="H754" i="11"/>
  <c r="I754" i="11" s="1"/>
  <c r="H755" i="11"/>
  <c r="I755" i="11" s="1"/>
  <c r="H756" i="11"/>
  <c r="H757" i="11"/>
  <c r="I757" i="11" s="1"/>
  <c r="H758" i="11"/>
  <c r="I758" i="11" s="1"/>
  <c r="H759" i="11"/>
  <c r="I759" i="11" s="1"/>
  <c r="H760" i="11"/>
  <c r="I760" i="11" s="1"/>
  <c r="H761" i="11"/>
  <c r="I761" i="11" s="1"/>
  <c r="H762" i="11"/>
  <c r="I762" i="11" s="1"/>
  <c r="H763" i="11"/>
  <c r="I763" i="11" s="1"/>
  <c r="H764" i="11"/>
  <c r="H765" i="11"/>
  <c r="I765" i="11" s="1"/>
  <c r="H766" i="11"/>
  <c r="I766" i="11" s="1"/>
  <c r="H767" i="11"/>
  <c r="H768" i="11"/>
  <c r="H769" i="11"/>
  <c r="H770" i="11"/>
  <c r="I770" i="11" s="1"/>
  <c r="H771" i="11"/>
  <c r="I771" i="11" s="1"/>
  <c r="H772" i="11"/>
  <c r="H773" i="11"/>
  <c r="I773" i="11" s="1"/>
  <c r="H774" i="11"/>
  <c r="I774" i="11" s="1"/>
  <c r="H775" i="11"/>
  <c r="I775" i="11" s="1"/>
  <c r="H776" i="11"/>
  <c r="I776" i="11" s="1"/>
  <c r="H777" i="11"/>
  <c r="I777" i="11" s="1"/>
  <c r="H778" i="11"/>
  <c r="I778" i="11" s="1"/>
  <c r="H779" i="11"/>
  <c r="I779" i="11" s="1"/>
  <c r="H780" i="11"/>
  <c r="H781" i="11"/>
  <c r="I781" i="11" s="1"/>
  <c r="H782" i="11"/>
  <c r="I782" i="11" s="1"/>
  <c r="H783" i="11"/>
  <c r="I783" i="11" s="1"/>
  <c r="H784" i="11"/>
  <c r="I784" i="11" s="1"/>
  <c r="H785" i="11"/>
  <c r="I785" i="11" s="1"/>
  <c r="H786" i="11"/>
  <c r="I786" i="11" s="1"/>
  <c r="H787" i="11"/>
  <c r="I787" i="11" s="1"/>
  <c r="H788" i="11"/>
  <c r="H789" i="11"/>
  <c r="I789" i="11" s="1"/>
  <c r="H790" i="11"/>
  <c r="I790" i="11" s="1"/>
  <c r="H791" i="11"/>
  <c r="I791" i="11" s="1"/>
  <c r="H792" i="11"/>
  <c r="H793" i="11"/>
  <c r="H794" i="11"/>
  <c r="I794" i="11" s="1"/>
  <c r="H795" i="11"/>
  <c r="I795" i="11" s="1"/>
  <c r="H796" i="11"/>
  <c r="H797" i="11"/>
  <c r="I797" i="11" s="1"/>
  <c r="H798" i="11"/>
  <c r="I798" i="11" s="1"/>
  <c r="H799" i="11"/>
  <c r="I799" i="11" s="1"/>
  <c r="H800" i="11"/>
  <c r="I800" i="11" s="1"/>
  <c r="H801" i="11"/>
  <c r="I801" i="11" s="1"/>
  <c r="H802" i="11"/>
  <c r="I802" i="11" s="1"/>
  <c r="H803" i="11"/>
  <c r="I803" i="11" s="1"/>
  <c r="H804" i="11"/>
  <c r="H805" i="11"/>
  <c r="I805" i="11" s="1"/>
  <c r="H806" i="11"/>
  <c r="I806" i="11" s="1"/>
  <c r="H807" i="11"/>
  <c r="I807" i="11" s="1"/>
  <c r="H808" i="11"/>
  <c r="I808" i="11" s="1"/>
  <c r="H809" i="11"/>
  <c r="I809" i="11" s="1"/>
  <c r="H810" i="11"/>
  <c r="I810" i="11" s="1"/>
  <c r="H811" i="11"/>
  <c r="H812" i="11"/>
  <c r="H813" i="11"/>
  <c r="I813" i="11" s="1"/>
  <c r="H814" i="11"/>
  <c r="I814" i="11" s="1"/>
  <c r="H815" i="11"/>
  <c r="H816" i="11"/>
  <c r="H817" i="11"/>
  <c r="I817" i="11" s="1"/>
  <c r="H818" i="11"/>
  <c r="I818" i="11" s="1"/>
  <c r="H819" i="11"/>
  <c r="I819" i="11" s="1"/>
  <c r="H820" i="11"/>
  <c r="H821" i="11"/>
  <c r="C19" i="19"/>
  <c r="H5" i="17"/>
  <c r="E10" i="17"/>
  <c r="E16" i="17" s="1"/>
  <c r="D10" i="17"/>
  <c r="D14" i="17" s="1"/>
  <c r="C10" i="17"/>
  <c r="C12" i="17" s="1"/>
  <c r="N14" i="19"/>
  <c r="I21" i="18"/>
  <c r="I19" i="18"/>
  <c r="G10" i="18"/>
  <c r="G14" i="18" s="1"/>
  <c r="G9" i="18"/>
  <c r="G8" i="18"/>
  <c r="G7" i="18"/>
  <c r="G6" i="18"/>
  <c r="H12" i="16"/>
  <c r="H13" i="16" s="1"/>
  <c r="G12" i="16"/>
  <c r="G13" i="16" s="1"/>
  <c r="I217" i="11"/>
  <c r="I219" i="11"/>
  <c r="I225" i="11"/>
  <c r="I227" i="11"/>
  <c r="I233" i="11"/>
  <c r="I235" i="11"/>
  <c r="I240" i="11"/>
  <c r="I241" i="11"/>
  <c r="I243" i="11"/>
  <c r="I249" i="11"/>
  <c r="I251" i="11"/>
  <c r="I257" i="11"/>
  <c r="I259" i="11"/>
  <c r="I265" i="11"/>
  <c r="I267" i="11"/>
  <c r="I272" i="11"/>
  <c r="I273" i="11"/>
  <c r="I275" i="11"/>
  <c r="I281" i="11"/>
  <c r="I283" i="11"/>
  <c r="I289" i="11"/>
  <c r="I291" i="11"/>
  <c r="I297" i="11"/>
  <c r="I299" i="11"/>
  <c r="I304" i="11"/>
  <c r="I305" i="11"/>
  <c r="I307" i="11"/>
  <c r="I313" i="11"/>
  <c r="I315" i="11"/>
  <c r="I321" i="11"/>
  <c r="I323" i="11"/>
  <c r="I329" i="11"/>
  <c r="I331" i="11"/>
  <c r="I336" i="11"/>
  <c r="I337" i="11"/>
  <c r="I339" i="11"/>
  <c r="I345" i="11"/>
  <c r="I347" i="11"/>
  <c r="I353" i="11"/>
  <c r="I355" i="11"/>
  <c r="I361" i="11"/>
  <c r="I363" i="11"/>
  <c r="I368" i="11"/>
  <c r="I369" i="11"/>
  <c r="I371" i="11"/>
  <c r="I377" i="11"/>
  <c r="I379" i="11"/>
  <c r="I385" i="11"/>
  <c r="I387" i="11"/>
  <c r="I393" i="11"/>
  <c r="I395" i="11"/>
  <c r="I400" i="11"/>
  <c r="I401" i="11"/>
  <c r="I403" i="11"/>
  <c r="I409" i="11"/>
  <c r="I411" i="11"/>
  <c r="I417" i="11"/>
  <c r="I419" i="11"/>
  <c r="I425" i="11"/>
  <c r="I427" i="11"/>
  <c r="I432" i="11"/>
  <c r="I433" i="11"/>
  <c r="I435" i="11"/>
  <c r="I441" i="11"/>
  <c r="I443" i="11"/>
  <c r="I449" i="11"/>
  <c r="I451" i="11"/>
  <c r="I460" i="11"/>
  <c r="I461" i="11"/>
  <c r="I508" i="11"/>
  <c r="I509" i="11"/>
  <c r="I564" i="11"/>
  <c r="I572" i="11"/>
  <c r="I622" i="11"/>
  <c r="I628" i="11"/>
  <c r="I638" i="11"/>
  <c r="I647" i="11"/>
  <c r="I668" i="11"/>
  <c r="I680" i="11"/>
  <c r="I683" i="11"/>
  <c r="I703" i="11"/>
  <c r="I715" i="11"/>
  <c r="I719" i="11"/>
  <c r="I720" i="11"/>
  <c r="I747" i="11"/>
  <c r="I767" i="11"/>
  <c r="I768" i="11"/>
  <c r="I769" i="11"/>
  <c r="I792" i="11"/>
  <c r="I793" i="11"/>
  <c r="I811" i="11"/>
  <c r="I815" i="11"/>
  <c r="I816" i="11"/>
  <c r="I684" i="11"/>
  <c r="I692" i="11"/>
  <c r="I700" i="11"/>
  <c r="I708" i="11"/>
  <c r="I716" i="11"/>
  <c r="I724" i="11"/>
  <c r="I732" i="11"/>
  <c r="I740" i="11"/>
  <c r="I748" i="11"/>
  <c r="I756" i="11"/>
  <c r="I764" i="11"/>
  <c r="I772" i="11"/>
  <c r="I780" i="11"/>
  <c r="I788" i="11"/>
  <c r="I796" i="11"/>
  <c r="I804" i="11"/>
  <c r="I812" i="11"/>
  <c r="I820" i="11"/>
  <c r="I821" i="11"/>
  <c r="G822" i="11"/>
  <c r="E822" i="11"/>
  <c r="C11" i="11" s="1"/>
  <c r="I464" i="11"/>
  <c r="I472" i="11"/>
  <c r="I480" i="11"/>
  <c r="I487" i="11"/>
  <c r="I488" i="11"/>
  <c r="I496" i="11"/>
  <c r="I498" i="11"/>
  <c r="I499" i="11"/>
  <c r="I504" i="11"/>
  <c r="I505" i="11"/>
  <c r="I512" i="11"/>
  <c r="I515" i="11"/>
  <c r="I520" i="11"/>
  <c r="I523" i="11"/>
  <c r="I528" i="11"/>
  <c r="I536" i="11"/>
  <c r="I544" i="11"/>
  <c r="I551" i="11"/>
  <c r="I552" i="11"/>
  <c r="I560" i="11"/>
  <c r="I568" i="11"/>
  <c r="I576" i="11"/>
  <c r="I584" i="11"/>
  <c r="I587" i="11"/>
  <c r="I592" i="11"/>
  <c r="I600" i="11"/>
  <c r="I608" i="11"/>
  <c r="I615" i="11"/>
  <c r="I616" i="11"/>
  <c r="I624" i="11"/>
  <c r="I627" i="11"/>
  <c r="I632" i="11"/>
  <c r="I640" i="11"/>
  <c r="I648" i="11"/>
  <c r="I651" i="11"/>
  <c r="I656" i="11"/>
  <c r="I658" i="11"/>
  <c r="I663" i="11"/>
  <c r="I664" i="11"/>
  <c r="I672" i="11"/>
  <c r="E675" i="11"/>
  <c r="P30" i="11" s="1"/>
  <c r="I221" i="11"/>
  <c r="I245" i="11"/>
  <c r="I247" i="11"/>
  <c r="I268" i="11"/>
  <c r="I269" i="11"/>
  <c r="I271" i="11"/>
  <c r="I292" i="11"/>
  <c r="I293" i="11"/>
  <c r="I301" i="11"/>
  <c r="I324" i="11"/>
  <c r="I325" i="11"/>
  <c r="I327" i="11"/>
  <c r="I346" i="11"/>
  <c r="I349" i="11"/>
  <c r="I351" i="11"/>
  <c r="I373" i="11"/>
  <c r="I378" i="11"/>
  <c r="I396" i="11"/>
  <c r="I397" i="11"/>
  <c r="I399" i="11"/>
  <c r="I420" i="11"/>
  <c r="I421" i="11"/>
  <c r="I429" i="11"/>
  <c r="I442" i="11"/>
  <c r="I452" i="11"/>
  <c r="I453" i="11"/>
  <c r="E454" i="11"/>
  <c r="C9" i="11" s="1"/>
  <c r="I20" i="11"/>
  <c r="I21" i="11"/>
  <c r="I22" i="11"/>
  <c r="I24" i="11"/>
  <c r="I26" i="11"/>
  <c r="I28" i="11"/>
  <c r="I29" i="11"/>
  <c r="I30" i="11"/>
  <c r="I36" i="11"/>
  <c r="I37" i="11"/>
  <c r="I38" i="11"/>
  <c r="I44" i="11"/>
  <c r="I45" i="11"/>
  <c r="I46" i="11"/>
  <c r="I48" i="11"/>
  <c r="I50" i="11"/>
  <c r="I52" i="11"/>
  <c r="I53" i="11"/>
  <c r="I54" i="11"/>
  <c r="I60" i="11"/>
  <c r="I61" i="11"/>
  <c r="I62" i="11"/>
  <c r="I64" i="11"/>
  <c r="I68" i="11"/>
  <c r="I69" i="11"/>
  <c r="I70" i="11"/>
  <c r="I72" i="11"/>
  <c r="I76" i="11"/>
  <c r="I77" i="11"/>
  <c r="I78" i="11"/>
  <c r="I84" i="11"/>
  <c r="I85" i="11"/>
  <c r="I86" i="11"/>
  <c r="I88" i="11"/>
  <c r="I90" i="11"/>
  <c r="I92" i="11"/>
  <c r="I93" i="11"/>
  <c r="I94" i="11"/>
  <c r="I100" i="11"/>
  <c r="I101" i="11"/>
  <c r="I102" i="11"/>
  <c r="I108" i="11"/>
  <c r="I109" i="11"/>
  <c r="I110" i="11"/>
  <c r="I112" i="11"/>
  <c r="I114" i="11"/>
  <c r="I116" i="11"/>
  <c r="I117" i="11"/>
  <c r="I118" i="11"/>
  <c r="I124" i="11"/>
  <c r="I125" i="11"/>
  <c r="I126" i="11"/>
  <c r="I128" i="11"/>
  <c r="I132" i="11"/>
  <c r="I133" i="11"/>
  <c r="I134" i="11"/>
  <c r="I136" i="11"/>
  <c r="I140" i="11"/>
  <c r="I141" i="11"/>
  <c r="I142" i="11"/>
  <c r="I148" i="11"/>
  <c r="I149" i="11"/>
  <c r="I150" i="11"/>
  <c r="I152" i="11"/>
  <c r="I154" i="11"/>
  <c r="I156" i="11"/>
  <c r="I157" i="11"/>
  <c r="I158" i="11"/>
  <c r="I164" i="11"/>
  <c r="I165" i="11"/>
  <c r="I166" i="11"/>
  <c r="I172" i="11"/>
  <c r="I173" i="11"/>
  <c r="I174" i="11"/>
  <c r="I176" i="11"/>
  <c r="I178" i="11"/>
  <c r="I180" i="11"/>
  <c r="I181" i="11"/>
  <c r="I182" i="11"/>
  <c r="I188" i="11"/>
  <c r="I189" i="11"/>
  <c r="I190" i="11"/>
  <c r="I192" i="11"/>
  <c r="I196" i="11"/>
  <c r="I197" i="11"/>
  <c r="I198" i="11"/>
  <c r="I200" i="11"/>
  <c r="I204" i="11"/>
  <c r="I205" i="11"/>
  <c r="I206" i="11"/>
  <c r="G209" i="11"/>
  <c r="E209" i="11"/>
  <c r="C8" i="11" s="1"/>
  <c r="P28" i="11"/>
  <c r="Q15" i="11"/>
  <c r="H15" i="4"/>
  <c r="H37" i="4" s="1"/>
  <c r="H16" i="4"/>
  <c r="H38" i="4" s="1"/>
  <c r="G16" i="4"/>
  <c r="G38" i="4" s="1"/>
  <c r="G15" i="4"/>
  <c r="E38" i="4"/>
  <c r="E37" i="4"/>
  <c r="E17" i="4"/>
  <c r="K17" i="4" s="1"/>
  <c r="E16" i="4"/>
  <c r="E15" i="4"/>
  <c r="E14" i="4"/>
  <c r="E13" i="4"/>
  <c r="K13" i="4" s="1"/>
  <c r="E12" i="4"/>
  <c r="K12" i="4" s="1"/>
  <c r="E11" i="4"/>
  <c r="E9" i="4"/>
  <c r="K9" i="4" s="1"/>
  <c r="E8" i="4"/>
  <c r="K8" i="4" s="1"/>
  <c r="E7" i="4"/>
  <c r="K7" i="4" s="1"/>
  <c r="E6" i="4"/>
  <c r="K6" i="4" s="1"/>
  <c r="E5" i="4"/>
  <c r="D38" i="4"/>
  <c r="D37" i="4"/>
  <c r="D17" i="4"/>
  <c r="D16" i="4"/>
  <c r="D15" i="4"/>
  <c r="D14" i="4"/>
  <c r="J14" i="4" s="1"/>
  <c r="D13" i="4"/>
  <c r="J13" i="4" s="1"/>
  <c r="D12" i="4"/>
  <c r="D11" i="4"/>
  <c r="J11" i="4" s="1"/>
  <c r="D9" i="4"/>
  <c r="J9" i="4" s="1"/>
  <c r="D8" i="4"/>
  <c r="D5" i="4"/>
  <c r="D6" i="4"/>
  <c r="J6" i="4" s="1"/>
  <c r="D7" i="4"/>
  <c r="J7" i="4" s="1"/>
  <c r="J17" i="4"/>
  <c r="J12" i="4"/>
  <c r="J8" i="4"/>
  <c r="K16" i="4"/>
  <c r="K15" i="4"/>
  <c r="K14" i="4"/>
  <c r="K11" i="4"/>
  <c r="C38" i="4"/>
  <c r="C37" i="4"/>
  <c r="C8" i="4"/>
  <c r="I8" i="4" s="1"/>
  <c r="C7" i="4"/>
  <c r="C9" i="4"/>
  <c r="I9" i="4" s="1"/>
  <c r="C16" i="4"/>
  <c r="C15" i="4"/>
  <c r="C14" i="4"/>
  <c r="I14" i="4"/>
  <c r="C13" i="4"/>
  <c r="I13" i="4" s="1"/>
  <c r="C12" i="4"/>
  <c r="I12" i="4" s="1"/>
  <c r="C11" i="4"/>
  <c r="C6" i="4"/>
  <c r="I6" i="4" s="1"/>
  <c r="C5" i="4"/>
  <c r="C17" i="4"/>
  <c r="I17" i="4" s="1"/>
  <c r="G37" i="4"/>
  <c r="G46" i="1"/>
  <c r="E42" i="1"/>
  <c r="E46" i="1" s="1"/>
  <c r="I11" i="4"/>
  <c r="I7" i="4"/>
  <c r="F15" i="4"/>
  <c r="F37" i="4" s="1"/>
  <c r="F16" i="4"/>
  <c r="F38" i="4" s="1"/>
  <c r="B10" i="7"/>
  <c r="E11" i="17"/>
  <c r="G12" i="18" l="1"/>
  <c r="G33" i="4"/>
  <c r="B51" i="7"/>
  <c r="D9" i="7"/>
  <c r="D10" i="7" s="1"/>
  <c r="K32" i="4"/>
  <c r="D27" i="7" s="1"/>
  <c r="P31" i="11"/>
  <c r="C20" i="19"/>
  <c r="F10" i="17"/>
  <c r="F15" i="17" s="1"/>
  <c r="C7" i="7"/>
  <c r="C9" i="7" s="1"/>
  <c r="C10" i="7" s="1"/>
  <c r="F42" i="1"/>
  <c r="F46" i="1" s="1"/>
  <c r="J21" i="18"/>
  <c r="K209" i="11"/>
  <c r="R20" i="11" s="1"/>
  <c r="H35" i="4"/>
  <c r="K35" i="4" s="1"/>
  <c r="D30" i="7" s="1"/>
  <c r="D48" i="7" s="1"/>
  <c r="H34" i="4"/>
  <c r="K34" i="4" s="1"/>
  <c r="D29" i="7" s="1"/>
  <c r="F35" i="4"/>
  <c r="I35" i="4" s="1"/>
  <c r="B30" i="7" s="1"/>
  <c r="B48" i="7" s="1"/>
  <c r="F34" i="4"/>
  <c r="F32" i="4"/>
  <c r="I32" i="4" s="1"/>
  <c r="B27" i="7" s="1"/>
  <c r="H209" i="11"/>
  <c r="Q28" i="11" s="1"/>
  <c r="R28" i="11" s="1"/>
  <c r="K675" i="11"/>
  <c r="R22" i="11" s="1"/>
  <c r="S22" i="11" s="1"/>
  <c r="C51" i="7"/>
  <c r="B50" i="7"/>
  <c r="I20" i="18"/>
  <c r="H36" i="4"/>
  <c r="K36" i="4" s="1"/>
  <c r="D31" i="7" s="1"/>
  <c r="H822" i="11"/>
  <c r="Q31" i="11" s="1"/>
  <c r="R31" i="11" s="1"/>
  <c r="D8" i="11"/>
  <c r="E13" i="17"/>
  <c r="I679" i="11"/>
  <c r="J209" i="11"/>
  <c r="P20" i="11" s="1"/>
  <c r="Q20" i="11" s="1"/>
  <c r="H33" i="4"/>
  <c r="K33" i="4" s="1"/>
  <c r="D28" i="7" s="1"/>
  <c r="D46" i="7" s="1"/>
  <c r="G36" i="4"/>
  <c r="J36" i="4" s="1"/>
  <c r="C31" i="7" s="1"/>
  <c r="C49" i="7" s="1"/>
  <c r="L675" i="11"/>
  <c r="T22" i="11" s="1"/>
  <c r="U22" i="11" s="1"/>
  <c r="B13" i="7"/>
  <c r="F33" i="4"/>
  <c r="I33" i="4" s="1"/>
  <c r="B28" i="7" s="1"/>
  <c r="B46" i="7" s="1"/>
  <c r="C10" i="11"/>
  <c r="C12" i="11" s="1"/>
  <c r="H454" i="11"/>
  <c r="L209" i="11"/>
  <c r="T20" i="11" s="1"/>
  <c r="U20" i="11" s="1"/>
  <c r="J454" i="11"/>
  <c r="P21" i="11" s="1"/>
  <c r="Q21" i="11" s="1"/>
  <c r="P29" i="11"/>
  <c r="P32" i="11" s="1"/>
  <c r="I15" i="11"/>
  <c r="I209" i="11" s="1"/>
  <c r="E8" i="11" s="1"/>
  <c r="E12" i="17"/>
  <c r="J675" i="11"/>
  <c r="P22" i="11" s="1"/>
  <c r="Q22" i="11" s="1"/>
  <c r="D51" i="7"/>
  <c r="G35" i="4"/>
  <c r="J35" i="4" s="1"/>
  <c r="C30" i="7" s="1"/>
  <c r="G32" i="4"/>
  <c r="J32" i="4" s="1"/>
  <c r="C27" i="7" s="1"/>
  <c r="C45" i="7" s="1"/>
  <c r="C50" i="7"/>
  <c r="L454" i="11"/>
  <c r="T21" i="11" s="1"/>
  <c r="U21" i="11" s="1"/>
  <c r="V21" i="11" s="1"/>
  <c r="E14" i="17"/>
  <c r="K454" i="11"/>
  <c r="R21" i="11" s="1"/>
  <c r="S21" i="11" s="1"/>
  <c r="C13" i="7"/>
  <c r="D50" i="7"/>
  <c r="C48" i="7"/>
  <c r="J33" i="4"/>
  <c r="C28" i="7" s="1"/>
  <c r="C46" i="7" s="1"/>
  <c r="I34" i="4"/>
  <c r="B29" i="7" s="1"/>
  <c r="B47" i="7" s="1"/>
  <c r="E15" i="17"/>
  <c r="J34" i="4"/>
  <c r="C29" i="7" s="1"/>
  <c r="C47" i="7" s="1"/>
  <c r="C14" i="17"/>
  <c r="C15" i="17"/>
  <c r="C16" i="17"/>
  <c r="C13" i="17"/>
  <c r="C11" i="17"/>
  <c r="K822" i="11"/>
  <c r="R23" i="11" s="1"/>
  <c r="S23" i="11" s="1"/>
  <c r="S20" i="11"/>
  <c r="F35" i="17"/>
  <c r="I454" i="11"/>
  <c r="E9" i="11" s="1"/>
  <c r="I675" i="11"/>
  <c r="E10" i="11" s="1"/>
  <c r="D16" i="17"/>
  <c r="D13" i="17"/>
  <c r="D12" i="17"/>
  <c r="D15" i="17"/>
  <c r="I822" i="11"/>
  <c r="E11" i="11" s="1"/>
  <c r="D11" i="17"/>
  <c r="J822" i="11"/>
  <c r="P23" i="11" s="1"/>
  <c r="Q23" i="11" s="1"/>
  <c r="B45" i="7"/>
  <c r="H675" i="11"/>
  <c r="L822" i="11"/>
  <c r="T23" i="11" s="1"/>
  <c r="D49" i="7"/>
  <c r="D47" i="7"/>
  <c r="B49" i="7"/>
  <c r="F25" i="17"/>
  <c r="F33" i="17"/>
  <c r="F39" i="17"/>
  <c r="G10" i="17"/>
  <c r="C21" i="19"/>
  <c r="D45" i="7"/>
  <c r="F16" i="17" l="1"/>
  <c r="V22" i="11"/>
  <c r="D11" i="11"/>
  <c r="F13" i="17"/>
  <c r="D13" i="7"/>
  <c r="D15" i="7" s="1"/>
  <c r="D55" i="7" s="1"/>
  <c r="F24" i="17"/>
  <c r="F27" i="17"/>
  <c r="F41" i="17"/>
  <c r="F31" i="17"/>
  <c r="F32" i="17"/>
  <c r="J22" i="18"/>
  <c r="F36" i="17"/>
  <c r="I22" i="18"/>
  <c r="V20" i="11"/>
  <c r="F28" i="17"/>
  <c r="F38" i="17"/>
  <c r="D34" i="17"/>
  <c r="F40" i="17"/>
  <c r="F34" i="17"/>
  <c r="F42" i="17"/>
  <c r="D24" i="17"/>
  <c r="F26" i="17"/>
  <c r="D42" i="17"/>
  <c r="F29" i="17"/>
  <c r="F37" i="17"/>
  <c r="D30" i="17"/>
  <c r="F30" i="17"/>
  <c r="D33" i="17"/>
  <c r="C52" i="7"/>
  <c r="E12" i="11"/>
  <c r="B15" i="7"/>
  <c r="B55" i="7" s="1"/>
  <c r="B54" i="7"/>
  <c r="C15" i="7"/>
  <c r="C55" i="7" s="1"/>
  <c r="C54" i="7"/>
  <c r="Q29" i="11"/>
  <c r="R29" i="11" s="1"/>
  <c r="D9" i="11"/>
  <c r="F12" i="17"/>
  <c r="F14" i="17"/>
  <c r="F11" i="17"/>
  <c r="D39" i="17"/>
  <c r="D23" i="17"/>
  <c r="D22" i="17"/>
  <c r="A22" i="17" s="1"/>
  <c r="D26" i="17"/>
  <c r="D25" i="17"/>
  <c r="D31" i="17"/>
  <c r="D35" i="17"/>
  <c r="D37" i="17"/>
  <c r="D32" i="17"/>
  <c r="D27" i="17"/>
  <c r="D36" i="17"/>
  <c r="D28" i="17"/>
  <c r="D41" i="17"/>
  <c r="D29" i="17"/>
  <c r="D38" i="17"/>
  <c r="D40" i="17"/>
  <c r="D52" i="7"/>
  <c r="Q30" i="11"/>
  <c r="D10" i="11"/>
  <c r="P24" i="11"/>
  <c r="R24" i="11"/>
  <c r="G11" i="17"/>
  <c r="G16" i="17"/>
  <c r="G13" i="17"/>
  <c r="G12" i="17"/>
  <c r="G15" i="17"/>
  <c r="G14" i="17"/>
  <c r="E34" i="17"/>
  <c r="E32" i="17"/>
  <c r="E29" i="17"/>
  <c r="E39" i="17"/>
  <c r="E37" i="17"/>
  <c r="E31" i="17"/>
  <c r="E25" i="17"/>
  <c r="E42" i="17"/>
  <c r="E24" i="17"/>
  <c r="E36" i="17"/>
  <c r="E41" i="17"/>
  <c r="E40" i="17"/>
  <c r="E33" i="17"/>
  <c r="E23" i="17"/>
  <c r="E28" i="17"/>
  <c r="E26" i="17"/>
  <c r="E27" i="17"/>
  <c r="E30" i="17"/>
  <c r="E38" i="17"/>
  <c r="E35" i="17"/>
  <c r="B52" i="7"/>
  <c r="S24" i="11"/>
  <c r="C22" i="19"/>
  <c r="H10" i="17"/>
  <c r="U23" i="11"/>
  <c r="U24" i="11" s="1"/>
  <c r="T24" i="11"/>
  <c r="Q24" i="11"/>
  <c r="D56" i="7" l="1"/>
  <c r="D54" i="7"/>
  <c r="I23" i="18"/>
  <c r="J23" i="18"/>
  <c r="A24" i="17"/>
  <c r="I4" i="16" s="1"/>
  <c r="G37" i="17"/>
  <c r="G41" i="17"/>
  <c r="G39" i="17"/>
  <c r="A23" i="17"/>
  <c r="G42" i="17"/>
  <c r="D12" i="11"/>
  <c r="G33" i="17"/>
  <c r="C56" i="7"/>
  <c r="G32" i="17"/>
  <c r="G26" i="17"/>
  <c r="G31" i="17"/>
  <c r="G35" i="17"/>
  <c r="G25" i="17"/>
  <c r="A25" i="17" s="1"/>
  <c r="G34" i="17"/>
  <c r="G30" i="17"/>
  <c r="G27" i="17"/>
  <c r="G40" i="17"/>
  <c r="G38" i="17"/>
  <c r="G36" i="17"/>
  <c r="G28" i="17"/>
  <c r="G29" i="17"/>
  <c r="C23" i="19"/>
  <c r="I10" i="17"/>
  <c r="R30" i="11"/>
  <c r="R32" i="11" s="1"/>
  <c r="Q32" i="11"/>
  <c r="B58" i="7"/>
  <c r="D3" i="9" s="1"/>
  <c r="B56" i="7"/>
  <c r="H38" i="17"/>
  <c r="H32" i="17"/>
  <c r="H29" i="17"/>
  <c r="H27" i="17"/>
  <c r="H28" i="17"/>
  <c r="H34" i="17"/>
  <c r="H36" i="17"/>
  <c r="H33" i="17"/>
  <c r="H41" i="17"/>
  <c r="H39" i="17"/>
  <c r="H42" i="17"/>
  <c r="H31" i="17"/>
  <c r="H37" i="17"/>
  <c r="H40" i="17"/>
  <c r="H35" i="17"/>
  <c r="H26" i="17"/>
  <c r="H30" i="17"/>
  <c r="V23" i="11"/>
  <c r="V24" i="11" s="1"/>
  <c r="H15" i="17"/>
  <c r="H13" i="17"/>
  <c r="H14" i="17"/>
  <c r="H16" i="17"/>
  <c r="H11" i="17"/>
  <c r="H12" i="17"/>
  <c r="A26" i="17" l="1"/>
  <c r="E6" i="16" s="1"/>
  <c r="I15" i="16"/>
  <c r="I5" i="16"/>
  <c r="E5" i="16"/>
  <c r="E15" i="16"/>
  <c r="D15" i="16" s="1"/>
  <c r="C15" i="16" s="1"/>
  <c r="E4" i="16"/>
  <c r="J24" i="18"/>
  <c r="I24" i="18"/>
  <c r="I6" i="16"/>
  <c r="I16" i="17"/>
  <c r="I13" i="17"/>
  <c r="I11" i="17"/>
  <c r="I15" i="17"/>
  <c r="I12" i="17"/>
  <c r="I14" i="17"/>
  <c r="C24" i="19"/>
  <c r="J10" i="17"/>
  <c r="Q35" i="11"/>
  <c r="D4" i="9" s="1"/>
  <c r="D5" i="9" s="1"/>
  <c r="S29" i="11"/>
  <c r="I30" i="17"/>
  <c r="I34" i="17"/>
  <c r="I29" i="17"/>
  <c r="I37" i="17"/>
  <c r="I38" i="17"/>
  <c r="I41" i="17"/>
  <c r="I31" i="17"/>
  <c r="I32" i="17"/>
  <c r="I39" i="17"/>
  <c r="I27" i="17"/>
  <c r="A27" i="17" s="1"/>
  <c r="I42" i="17"/>
  <c r="I36" i="17"/>
  <c r="I35" i="17"/>
  <c r="I33" i="17"/>
  <c r="I28" i="17"/>
  <c r="I40" i="17"/>
  <c r="E12" i="9" l="1"/>
  <c r="D9" i="9"/>
  <c r="I25" i="18"/>
  <c r="J35" i="17"/>
  <c r="J33" i="17"/>
  <c r="J42" i="17"/>
  <c r="J28" i="17"/>
  <c r="A28" i="17" s="1"/>
  <c r="J40" i="17"/>
  <c r="J29" i="17"/>
  <c r="J34" i="17"/>
  <c r="J31" i="17"/>
  <c r="J39" i="17"/>
  <c r="J30" i="17"/>
  <c r="J38" i="17"/>
  <c r="J37" i="17"/>
  <c r="J32" i="17"/>
  <c r="J36" i="17"/>
  <c r="J41" i="17"/>
  <c r="I7" i="16"/>
  <c r="E7" i="16"/>
  <c r="J15" i="17"/>
  <c r="J14" i="17"/>
  <c r="J12" i="17"/>
  <c r="J13" i="17"/>
  <c r="J16" i="17"/>
  <c r="J11" i="17"/>
  <c r="C25" i="19"/>
  <c r="L10" i="17" s="1"/>
  <c r="K10" i="17"/>
  <c r="E15" i="9"/>
  <c r="D15" i="9" s="1"/>
  <c r="E14" i="9"/>
  <c r="D14" i="9" s="1"/>
  <c r="E13" i="9"/>
  <c r="D13" i="9" s="1"/>
  <c r="E17" i="9"/>
  <c r="D17" i="9" s="1"/>
  <c r="E16" i="9"/>
  <c r="D16" i="9" s="1"/>
  <c r="C5" i="18"/>
  <c r="E18" i="9" l="1"/>
  <c r="D18" i="9" s="1"/>
  <c r="E24" i="9"/>
  <c r="E11" i="9"/>
  <c r="D11" i="9" s="1"/>
  <c r="E8" i="16"/>
  <c r="I8" i="16"/>
  <c r="D12" i="9"/>
  <c r="H9" i="18"/>
  <c r="F9" i="16"/>
  <c r="K37" i="17"/>
  <c r="K36" i="17"/>
  <c r="K32" i="17"/>
  <c r="K41" i="17"/>
  <c r="K34" i="17"/>
  <c r="K40" i="17"/>
  <c r="K33" i="17"/>
  <c r="K29" i="17"/>
  <c r="A29" i="17" s="1"/>
  <c r="K39" i="17"/>
  <c r="K30" i="17"/>
  <c r="K38" i="17"/>
  <c r="K31" i="17"/>
  <c r="K42" i="17"/>
  <c r="K35" i="17"/>
  <c r="H10" i="18"/>
  <c r="F10" i="16"/>
  <c r="F7" i="16"/>
  <c r="D7" i="16" s="1"/>
  <c r="C7" i="16" s="1"/>
  <c r="D23" i="16" s="1"/>
  <c r="H7" i="18"/>
  <c r="K16" i="17"/>
  <c r="K13" i="17"/>
  <c r="K11" i="17"/>
  <c r="K15" i="17"/>
  <c r="K12" i="17"/>
  <c r="K14" i="17"/>
  <c r="H6" i="18"/>
  <c r="F6" i="16"/>
  <c r="H8" i="18"/>
  <c r="F8" i="16"/>
  <c r="C26" i="19"/>
  <c r="H11" i="18" l="1"/>
  <c r="F11" i="16"/>
  <c r="H5" i="18"/>
  <c r="F5" i="16"/>
  <c r="D5" i="16" s="1"/>
  <c r="C5" i="16" s="1"/>
  <c r="H4" i="18"/>
  <c r="H12" i="18" s="1"/>
  <c r="D21" i="9"/>
  <c r="F4" i="16"/>
  <c r="D4" i="16" s="1"/>
  <c r="C4" i="16" s="1"/>
  <c r="D20" i="16" s="1"/>
  <c r="D6" i="16"/>
  <c r="C6" i="16" s="1"/>
  <c r="D22" i="16" s="1"/>
  <c r="L16" i="17"/>
  <c r="L13" i="17"/>
  <c r="L11" i="17"/>
  <c r="L15" i="17"/>
  <c r="L14" i="17"/>
  <c r="L12" i="17"/>
  <c r="M10" i="17"/>
  <c r="C27" i="19"/>
  <c r="L30" i="17"/>
  <c r="A30" i="17" s="1"/>
  <c r="L31" i="17"/>
  <c r="L36" i="17"/>
  <c r="L39" i="17"/>
  <c r="L32" i="17"/>
  <c r="L34" i="17"/>
  <c r="L35" i="17"/>
  <c r="L40" i="17"/>
  <c r="L38" i="17"/>
  <c r="L41" i="17"/>
  <c r="L42" i="17"/>
  <c r="L37" i="17"/>
  <c r="L33" i="17"/>
  <c r="I9" i="16"/>
  <c r="E9" i="16"/>
  <c r="D8" i="16"/>
  <c r="C8" i="16" s="1"/>
  <c r="D24" i="16" s="1"/>
  <c r="F12" i="16" l="1"/>
  <c r="F13" i="16" s="1"/>
  <c r="M16" i="17"/>
  <c r="M13" i="17"/>
  <c r="M11" i="17"/>
  <c r="M15" i="17"/>
  <c r="M12" i="17"/>
  <c r="M14" i="17"/>
  <c r="I10" i="16"/>
  <c r="E10" i="16"/>
  <c r="D10" i="16" s="1"/>
  <c r="C10" i="16" s="1"/>
  <c r="D26" i="16" s="1"/>
  <c r="N10" i="17"/>
  <c r="C28" i="19"/>
  <c r="M31" i="17"/>
  <c r="A31" i="17" s="1"/>
  <c r="I11" i="16" s="1"/>
  <c r="M38" i="17"/>
  <c r="M32" i="17"/>
  <c r="M35" i="17"/>
  <c r="M39" i="17"/>
  <c r="M34" i="17"/>
  <c r="M36" i="17"/>
  <c r="M37" i="17"/>
  <c r="M41" i="17"/>
  <c r="M40" i="17"/>
  <c r="M33" i="17"/>
  <c r="M42" i="17"/>
  <c r="D9" i="16"/>
  <c r="C9" i="16" s="1"/>
  <c r="D25" i="16" s="1"/>
  <c r="E11" i="16" l="1"/>
  <c r="E12" i="16" s="1"/>
  <c r="E13" i="16" s="1"/>
  <c r="I12" i="16"/>
  <c r="I13" i="16" s="1"/>
  <c r="C29" i="19"/>
  <c r="O10" i="17"/>
  <c r="N15" i="17"/>
  <c r="N13" i="17"/>
  <c r="N12" i="17"/>
  <c r="N14" i="17"/>
  <c r="N11" i="17"/>
  <c r="N16" i="17"/>
  <c r="N38" i="17"/>
  <c r="N42" i="17"/>
  <c r="N41" i="17"/>
  <c r="N37" i="17"/>
  <c r="N34" i="17"/>
  <c r="N33" i="17"/>
  <c r="N35" i="17"/>
  <c r="N36" i="17"/>
  <c r="N32" i="17"/>
  <c r="A32" i="17" s="1"/>
  <c r="N39" i="17"/>
  <c r="N40" i="17"/>
  <c r="D11" i="16" l="1"/>
  <c r="D21" i="16"/>
  <c r="O14" i="17"/>
  <c r="O12" i="17"/>
  <c r="O16" i="17"/>
  <c r="O11" i="17"/>
  <c r="O15" i="17"/>
  <c r="O13" i="17"/>
  <c r="O38" i="17"/>
  <c r="O42" i="17"/>
  <c r="O33" i="17"/>
  <c r="A33" i="17" s="1"/>
  <c r="O40" i="17"/>
  <c r="O35" i="17"/>
  <c r="O34" i="17"/>
  <c r="O41" i="17"/>
  <c r="O39" i="17"/>
  <c r="O37" i="17"/>
  <c r="O36" i="17"/>
  <c r="P10" i="17"/>
  <c r="C30" i="19"/>
  <c r="D12" i="16" l="1"/>
  <c r="D13" i="16" s="1"/>
  <c r="C11" i="16"/>
  <c r="D27" i="16" s="1"/>
  <c r="D28" i="16" s="1"/>
  <c r="P15" i="17"/>
  <c r="P16" i="17"/>
  <c r="P12" i="17"/>
  <c r="P14" i="17"/>
  <c r="P11" i="17"/>
  <c r="P13" i="17"/>
  <c r="P39" i="17"/>
  <c r="P34" i="17"/>
  <c r="A34" i="17" s="1"/>
  <c r="P36" i="17"/>
  <c r="P42" i="17"/>
  <c r="P40" i="17"/>
  <c r="P38" i="17"/>
  <c r="P41" i="17"/>
  <c r="P37" i="17"/>
  <c r="P35" i="17"/>
  <c r="Q10" i="17"/>
  <c r="C31" i="19"/>
  <c r="D29" i="16" l="1"/>
  <c r="C12" i="16"/>
  <c r="C13" i="16" s="1"/>
  <c r="C32" i="19"/>
  <c r="R10" i="17"/>
  <c r="Q38" i="17"/>
  <c r="Q37" i="17"/>
  <c r="Q40" i="17"/>
  <c r="Q39" i="17"/>
  <c r="Q35" i="17"/>
  <c r="A35" i="17" s="1"/>
  <c r="Q42" i="17"/>
  <c r="Q41" i="17"/>
  <c r="Q36" i="17"/>
  <c r="Q13" i="17"/>
  <c r="Q14" i="17"/>
  <c r="Q16" i="17"/>
  <c r="Q15" i="17"/>
  <c r="Q11" i="17"/>
  <c r="Q12" i="17"/>
  <c r="R13" i="17" l="1"/>
  <c r="R14" i="17"/>
  <c r="R11" i="17"/>
  <c r="R12" i="17"/>
  <c r="R15" i="17"/>
  <c r="R16" i="17"/>
  <c r="R42" i="17"/>
  <c r="R40" i="17"/>
  <c r="R37" i="17"/>
  <c r="R36" i="17"/>
  <c r="A36" i="17" s="1"/>
  <c r="R39" i="17"/>
  <c r="R38" i="17"/>
  <c r="R41" i="17"/>
  <c r="C33" i="19"/>
  <c r="S10" i="17"/>
  <c r="C34" i="19" l="1"/>
  <c r="T10" i="17"/>
  <c r="S11" i="17"/>
  <c r="S13" i="17"/>
  <c r="S12" i="17"/>
  <c r="S15" i="17"/>
  <c r="S16" i="17"/>
  <c r="S14" i="17"/>
  <c r="S41" i="17"/>
  <c r="S40" i="17"/>
  <c r="S39" i="17"/>
  <c r="A39" i="17" s="1"/>
  <c r="S37" i="17"/>
  <c r="A37" i="17" s="1"/>
  <c r="S42" i="17"/>
  <c r="S38" i="17"/>
  <c r="A38" i="17" s="1"/>
  <c r="T38" i="17" l="1"/>
  <c r="T41" i="17"/>
  <c r="T40" i="17"/>
  <c r="T42" i="17"/>
  <c r="T39" i="17"/>
  <c r="T16" i="17"/>
  <c r="T11" i="17"/>
  <c r="T14" i="17"/>
  <c r="T15" i="17"/>
  <c r="T12" i="17"/>
  <c r="T13" i="17"/>
  <c r="U10" i="17"/>
  <c r="C35" i="19"/>
  <c r="V10" i="17" l="1"/>
  <c r="C36" i="19"/>
  <c r="U14" i="17"/>
  <c r="X14" i="17" s="1"/>
  <c r="U13" i="17"/>
  <c r="X13" i="17" s="1"/>
  <c r="U12" i="17"/>
  <c r="X12" i="17" s="1"/>
  <c r="U11" i="17"/>
  <c r="U16" i="17"/>
  <c r="X16" i="17" s="1"/>
  <c r="U15" i="17"/>
  <c r="X15" i="17" s="1"/>
  <c r="X10" i="17"/>
  <c r="U39" i="17"/>
  <c r="U41" i="17"/>
  <c r="U40" i="17"/>
  <c r="U42" i="17"/>
  <c r="V42" i="17" l="1"/>
  <c r="V40" i="17"/>
  <c r="A40" i="17" s="1"/>
  <c r="V41" i="17"/>
  <c r="X11" i="17"/>
  <c r="W10" i="17"/>
  <c r="C37" i="19"/>
  <c r="C38" i="19" s="1"/>
  <c r="C39" i="19" s="1"/>
  <c r="C40" i="19" s="1"/>
  <c r="V15" i="17"/>
  <c r="V14" i="17"/>
  <c r="V16" i="17"/>
  <c r="V13" i="17"/>
  <c r="V12" i="17"/>
  <c r="V11" i="17"/>
  <c r="W41" i="17" l="1"/>
  <c r="A41" i="17" s="1"/>
  <c r="W42" i="17"/>
  <c r="W12" i="17"/>
  <c r="W13" i="17"/>
  <c r="W16" i="17"/>
  <c r="W14" i="17"/>
  <c r="W11" i="17"/>
  <c r="W15" i="17"/>
  <c r="X42" i="17" l="1"/>
  <c r="A42" i="17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tc={A2089AEB-A58F-2E42-98E3-8017A160561B}</author>
    <author>Author</author>
    <author>Microsoft Office User</author>
  </authors>
  <commentList>
    <comment ref="E10" authorId="0" shapeId="0" xr:uid="{A2089AEB-A58F-2E42-98E3-8017A160561B}">
      <text>
        <t>[Threaded comment]
Your version of Excel allows you to read this threaded comment; however, any edits to it will get removed if the file is opened in a newer version of Excel. Learn more: https://go.microsoft.com/fwlink/?linkid=870924
Comment:
    289,968 * 326/365=258,985</t>
      </text>
    </comment>
    <comment ref="F10" authorId="1" shapeId="0" xr:uid="{00000000-0006-0000-0800-000001000000}">
      <text>
        <r>
          <rPr>
            <sz val="9"/>
            <color rgb="FF000000"/>
            <rFont val="Tahoma"/>
            <family val="2"/>
            <charset val="162"/>
          </rPr>
          <t xml:space="preserve">Author:
</t>
        </r>
        <r>
          <rPr>
            <sz val="9"/>
            <color rgb="FF000000"/>
            <rFont val="Tahoma"/>
            <family val="2"/>
            <charset val="162"/>
          </rPr>
          <t xml:space="preserve">=304,466 * 119/365=99,264
</t>
        </r>
      </text>
    </comment>
    <comment ref="L10" authorId="2" shapeId="0" xr:uid="{6B3C305A-DD32-B74A-9DAB-1D226C8D7ACA}">
      <text>
        <r>
          <rPr>
            <b/>
            <sz val="10"/>
            <color rgb="FF000000"/>
            <rFont val="Tahoma"/>
            <family val="2"/>
            <charset val="162"/>
          </rPr>
          <t>Microsoft Office User:</t>
        </r>
        <r>
          <rPr>
            <sz val="10"/>
            <color rgb="FF000000"/>
            <rFont val="Tahoma"/>
            <family val="2"/>
            <charset val="162"/>
          </rPr>
          <t xml:space="preserve">
</t>
        </r>
        <r>
          <rPr>
            <sz val="10"/>
            <color rgb="FF000000"/>
            <rFont val="Tahoma"/>
            <family val="2"/>
            <charset val="162"/>
          </rPr>
          <t xml:space="preserve">=408014*39/365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Mehmet Eris</author>
    <author>enerji</author>
    <author>HP</author>
  </authors>
  <commentList>
    <comment ref="G14" authorId="0" shapeId="0" xr:uid="{00000000-0006-0000-0900-000001000000}">
      <text>
        <r>
          <rPr>
            <sz val="9"/>
            <color indexed="81"/>
            <rFont val="Calibri"/>
            <family val="2"/>
          </rPr>
          <t xml:space="preserve">"0" means VER
"1" means Not VER project 
</t>
        </r>
      </text>
    </comment>
    <comment ref="T14" authorId="0" shapeId="0" xr:uid="{00000000-0006-0000-0900-000002000000}">
      <text>
        <r>
          <rPr>
            <sz val="9"/>
            <color indexed="81"/>
            <rFont val="Arial"/>
            <family val="2"/>
          </rPr>
          <t xml:space="preserve">IPCC values, Energy section (most conservative date taken from Default EF worksheet)
</t>
        </r>
      </text>
    </comment>
    <comment ref="U14" authorId="0" shapeId="0" xr:uid="{00000000-0006-0000-0900-000003000000}">
      <text>
        <r>
          <rPr>
            <sz val="9"/>
            <color indexed="81"/>
            <rFont val="Arial"/>
            <family val="2"/>
          </rPr>
          <t xml:space="preserve">Facility Efficiencies (most conservative valueas which are most efficient ones are taken from Facility Efficiencies worksheet)
</t>
        </r>
      </text>
    </comment>
    <comment ref="E16" authorId="1" shapeId="0" xr:uid="{00000000-0006-0000-0900-000004000000}">
      <text>
        <r>
          <rPr>
            <sz val="9"/>
            <color indexed="8"/>
            <rFont val="Tahoma"/>
            <family val="2"/>
          </rPr>
          <t>İlave kurulu güç 9,50 MWe olmuştur.</t>
        </r>
      </text>
    </comment>
    <comment ref="E20" authorId="1" shapeId="0" xr:uid="{00000000-0006-0000-0900-000005000000}">
      <text>
        <r>
          <rPr>
            <sz val="9"/>
            <color indexed="8"/>
            <rFont val="Tahoma"/>
            <family val="2"/>
          </rPr>
          <t xml:space="preserve">Mevcut iki adet ünitenin her birinin kurulu gücünde 2,5 MWe'lık artış olmuştur. İşletmedeki kurulu güç 98 MWe olmuştur.
</t>
        </r>
      </text>
    </comment>
    <comment ref="E24" authorId="1" shapeId="0" xr:uid="{00000000-0006-0000-0900-000006000000}">
      <text>
        <r>
          <rPr>
            <sz val="9"/>
            <color indexed="8"/>
            <rFont val="Tahoma"/>
            <family val="2"/>
          </rPr>
          <t xml:space="preserve">3 adet yeni ünite ilavesi olmuştur. Kurulu güçte herhangi bir artış olmamıştır.
</t>
        </r>
      </text>
    </comment>
    <comment ref="E25" authorId="1" shapeId="0" xr:uid="{00000000-0006-0000-0900-000007000000}">
      <text>
        <r>
          <rPr>
            <sz val="9"/>
            <color indexed="81"/>
            <rFont val="Tahoma"/>
            <family val="2"/>
          </rPr>
          <t xml:space="preserve">İlave kurulu güç 10 MWe olmuştur.
</t>
        </r>
      </text>
    </comment>
    <comment ref="E26" authorId="1" shapeId="0" xr:uid="{00000000-0006-0000-0900-000008000000}">
      <text>
        <r>
          <rPr>
            <sz val="9"/>
            <color indexed="81"/>
            <rFont val="Tahoma"/>
            <family val="2"/>
          </rPr>
          <t xml:space="preserve">Mevcut 2 adet gaz türbininin her birinin kurulu gücü 25 MWe; 2 adet buhar türbininin her birinin kurulu gücü ise 7 MWe artmıştır. İlave kurulu güç 64 MWe olmuştur. 
</t>
        </r>
      </text>
    </comment>
    <comment ref="E28" authorId="1" shapeId="0" xr:uid="{00000000-0006-0000-0900-000009000000}">
      <text>
        <r>
          <rPr>
            <sz val="9"/>
            <color indexed="81"/>
            <rFont val="Tahoma"/>
            <family val="2"/>
          </rPr>
          <t>Mevcut 0,4 MWe kurulu gücündeki iki adet ünite
devreden çıkmış olup 1 adet 1,07 MWe kurulu gücünde yeni ünite devreye alınmıştır.</t>
        </r>
      </text>
    </comment>
    <comment ref="E30" authorId="1" shapeId="0" xr:uid="{00000000-0006-0000-0900-00000A000000}">
      <text>
        <r>
          <rPr>
            <sz val="9"/>
            <color indexed="81"/>
            <rFont val="Tahoma"/>
            <family val="2"/>
          </rPr>
          <t xml:space="preserve">İlave kurulu güç 17 MWe olmuştur.
</t>
        </r>
      </text>
    </comment>
    <comment ref="E32" authorId="1" shapeId="0" xr:uid="{00000000-0006-0000-0900-00000B000000}">
      <text>
        <r>
          <rPr>
            <sz val="9"/>
            <color indexed="81"/>
            <rFont val="Tahoma"/>
            <family val="2"/>
          </rPr>
          <t xml:space="preserve">Mevcut bir ünitede 8 MWe güç artışı olmuştur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41" authorId="1" shapeId="0" xr:uid="{00000000-0006-0000-0900-00000C000000}">
      <text>
        <r>
          <rPr>
            <sz val="9"/>
            <color indexed="81"/>
            <rFont val="Tahoma"/>
            <family val="2"/>
          </rPr>
          <t>Mevcut 2 adet 12 MWe'lık ünite devreden çıkmış, mevcut 1 adet 22 MWe'lık ünitenin gücü 1 MWe azalmış, yeni 1 adet 46,88 MWe'lık ünite devreye alınmıştır. İlave kurulu güç 21,88 MWe olmuştur.</t>
        </r>
      </text>
    </comment>
    <comment ref="E50" authorId="1" shapeId="0" xr:uid="{00000000-0006-0000-0900-00000D000000}">
      <text>
        <r>
          <rPr>
            <sz val="9"/>
            <color indexed="81"/>
            <rFont val="Tahoma"/>
            <family val="2"/>
          </rPr>
          <t xml:space="preserve">İlave kurulu güç 8,496 MWe olmuştur.
</t>
        </r>
      </text>
    </comment>
    <comment ref="E52" authorId="1" shapeId="0" xr:uid="{00000000-0006-0000-0900-00000E000000}">
      <text>
        <r>
          <rPr>
            <sz val="9"/>
            <color indexed="81"/>
            <rFont val="Tahoma"/>
            <family val="2"/>
          </rPr>
          <t xml:space="preserve">Mevcut 2 adet ünitenin her birinde 6,5 MWe'lık; toplamda 13 MWe'lık kurulu güç artışı olmuştur.
</t>
        </r>
      </text>
    </comment>
    <comment ref="E59" authorId="1" shapeId="0" xr:uid="{00000000-0006-0000-0900-00000F000000}">
      <text>
        <r>
          <rPr>
            <sz val="9"/>
            <color indexed="81"/>
            <rFont val="Tahoma"/>
            <family val="2"/>
          </rPr>
          <t xml:space="preserve">5,20 MWe kurulu gücündeki bir adet ünitenin 0,815 MWe'lık kısmının geçici kabulü yapılmıştır.
</t>
        </r>
      </text>
    </comment>
    <comment ref="E67" authorId="1" shapeId="0" xr:uid="{00000000-0006-0000-0900-000010000000}">
      <text>
        <r>
          <rPr>
            <sz val="9"/>
            <color indexed="81"/>
            <rFont val="Tahoma"/>
            <family val="2"/>
          </rPr>
          <t xml:space="preserve">15 MWe kurulu gücündeki bir adet ünitenin 5 MWe'lık kısmının geçici kabulü yapılmıştır.
</t>
        </r>
      </text>
    </comment>
    <comment ref="E68" authorId="1" shapeId="0" xr:uid="{00000000-0006-0000-0900-000011000000}">
      <text>
        <r>
          <rPr>
            <sz val="9"/>
            <color indexed="81"/>
            <rFont val="Tahoma"/>
            <family val="2"/>
          </rPr>
          <t xml:space="preserve">Her birinin kurulu gücü 7,26 MWe olan 2 adet ünite ilavesi olmuştur. Ancak, sistem bağlantı anlaşmasındaki sınırlamadan dolayı 7,48 MWe kurulu güç üzerinden geçici kabul yapılmıştır.
</t>
        </r>
      </text>
    </comment>
    <comment ref="E71" authorId="1" shapeId="0" xr:uid="{00000000-0006-0000-0900-000012000000}">
      <text>
        <r>
          <rPr>
            <sz val="9"/>
            <color indexed="81"/>
            <rFont val="Tahoma"/>
            <family val="2"/>
          </rPr>
          <t xml:space="preserve">18 MWe kurulu gücündeki bir adet ünitenin 10 MWe'lık kısmının geçici kabulü yapılmıştır.
</t>
        </r>
      </text>
    </comment>
    <comment ref="E74" authorId="1" shapeId="0" xr:uid="{00000000-0006-0000-0900-000013000000}">
      <text>
        <r>
          <rPr>
            <sz val="9"/>
            <color indexed="81"/>
            <rFont val="Tahoma"/>
            <family val="2"/>
          </rPr>
          <t>Mevcut 1x0,464=0,464 MWe
kurulu gücündeki ünite devreden çıkarılmış olup 2x8,058+1x3,444=19,56 MWe kurulu gücünde yeni 3 adet ünite devreye alınmıştır. İlave kurulu güç 19,096 MWe olmuştur.</t>
        </r>
      </text>
    </comment>
    <comment ref="E75" authorId="1" shapeId="0" xr:uid="{00000000-0006-0000-0900-000014000000}">
      <text>
        <r>
          <rPr>
            <sz val="9"/>
            <color indexed="81"/>
            <rFont val="Tahoma"/>
            <family val="2"/>
          </rPr>
          <t>12 MWe kurulu gücündeki bir adet ünitenin 2,50 MWe'lık kısmının geçici kabulü yapılmıştır.</t>
        </r>
      </text>
    </comment>
    <comment ref="E82" authorId="1" shapeId="0" xr:uid="{00000000-0006-0000-0900-000015000000}">
      <text>
        <r>
          <rPr>
            <sz val="9"/>
            <color indexed="81"/>
            <rFont val="Tahoma"/>
            <family val="2"/>
          </rPr>
          <t xml:space="preserve">Mevcut 3x3,2=9,6 MWe kurulu gücündeki üniteler sökülerek yerine 4x3,349=13.396 MWe kurulu gücünde 4 adet yeni ünite ilave edilmiştir. İlave kurulu güç 3,796 MWe olmuştur. 
</t>
        </r>
      </text>
    </comment>
    <comment ref="E87" authorId="1" shapeId="0" xr:uid="{00000000-0006-0000-0900-000016000000}">
      <text>
        <r>
          <rPr>
            <sz val="9"/>
            <color indexed="81"/>
            <rFont val="Tahoma"/>
            <family val="2"/>
          </rPr>
          <t xml:space="preserve">Mevcut 2 adet ünitenin her birinde 0,7 MWe toplamda 2x0,7=1,4 MWe kurulu güç artışı olmuş, mevcut 0,8 MWe'lık ünite devreden çıkmış ve 1 adet 5,2 MWe kurulu gücünde yeni ünite ilavesi olmuştur. İlave kurulu güç 5,8 MWe artmıştır. </t>
        </r>
      </text>
    </comment>
    <comment ref="E94" authorId="1" shapeId="0" xr:uid="{00000000-0006-0000-0900-000017000000}">
      <text>
        <r>
          <rPr>
            <sz val="9"/>
            <color indexed="81"/>
            <rFont val="Tahoma"/>
            <family val="2"/>
          </rPr>
          <t xml:space="preserve">İlave kurulu güç 0 MWe olmuştur.
</t>
        </r>
      </text>
    </comment>
    <comment ref="E95" authorId="1" shapeId="0" xr:uid="{00000000-0006-0000-0900-000018000000}">
      <text>
        <r>
          <rPr>
            <sz val="9"/>
            <color indexed="81"/>
            <rFont val="Tahoma"/>
            <family val="2"/>
          </rPr>
          <t>İlave kurulu güç 0 MWe olmuştur.</t>
        </r>
      </text>
    </comment>
    <comment ref="E99" authorId="1" shapeId="0" xr:uid="{00000000-0006-0000-0900-000019000000}">
      <text>
        <r>
          <rPr>
            <sz val="9"/>
            <color indexed="81"/>
            <rFont val="Tahoma"/>
            <family val="2"/>
          </rPr>
          <t xml:space="preserve">İlave kurulu güç 13,26 MWe olmuştur.
</t>
        </r>
      </text>
    </comment>
    <comment ref="E102" authorId="1" shapeId="0" xr:uid="{00000000-0006-0000-0900-00001A000000}">
      <text>
        <r>
          <rPr>
            <sz val="9"/>
            <color indexed="81"/>
            <rFont val="Tahoma"/>
            <family val="2"/>
          </rPr>
          <t xml:space="preserve">İlave kurulu güç 3,65 MWe olmuştur.
</t>
        </r>
      </text>
    </comment>
    <comment ref="E103" authorId="1" shapeId="0" xr:uid="{00000000-0006-0000-0900-00001B000000}">
      <text>
        <r>
          <rPr>
            <sz val="9"/>
            <color indexed="81"/>
            <rFont val="Tahoma"/>
            <family val="2"/>
          </rPr>
          <t xml:space="preserve">Mevcut 2 ünitenin her birinin kurulu gücü 0,5 MWe (2x0,5 MWe=1 MWe) artmış, mevcut 1 ünitenin kurulu gücü 0,5 MWe azalmış, mevcut iki ünitenin her birinin kurulu gücü 1,5 MWe (2x1,5 MWe=3 MWe) azalmış, mevcut bir ünitenin kurulu gücü 2,5 MWe azalmış, her birinin kurulu gücü 2,5 MWe olan 4 adet yeni türbin ilavesi (4x2,5 MWe=10 MWe) olmuş, her birinin kurulu gücü 3 MWe olan 5 adet yeni türbin ilavesi (5x3 MWe=15 MWe) olmuştur. Sonuç olarak sisteme verilen güç 20 MWe artmıştır.   
</t>
        </r>
      </text>
    </comment>
    <comment ref="E105" authorId="1" shapeId="0" xr:uid="{00000000-0006-0000-0900-00001C000000}">
      <text>
        <r>
          <rPr>
            <sz val="9"/>
            <color indexed="81"/>
            <rFont val="Tahoma"/>
            <family val="2"/>
          </rPr>
          <t xml:space="preserve">Mevcut olan ilk üç ünitenin her birinin kurulu gücünde 0,482 MWe'lık artış olmuş; ayrıca 5,946 MWe kurulu gücünde yeni türbin ilavesi olmuştur.
</t>
        </r>
      </text>
    </comment>
    <comment ref="E107" authorId="1" shapeId="0" xr:uid="{00000000-0006-0000-0900-00001D000000}">
      <text>
        <r>
          <rPr>
            <sz val="9"/>
            <color indexed="81"/>
            <rFont val="Tahoma"/>
            <family val="2"/>
          </rPr>
          <t xml:space="preserve">Mevcut olan 6,184 MWe kurulu gücündeki 2. ünite sökülerek yerine 5,2 MWe kurulu gücünde yeni bir ünite kurulmuştur.
</t>
        </r>
      </text>
    </comment>
    <comment ref="E108" authorId="1" shapeId="0" xr:uid="{00000000-0006-0000-0900-00001E000000}">
      <text>
        <r>
          <rPr>
            <sz val="9"/>
            <color indexed="81"/>
            <rFont val="Tahoma"/>
            <family val="2"/>
          </rPr>
          <t>Mevcut olan 1. ünitenin kurulu gücünde 0,032 MWe'lık azalış; 2. ve 3. ünitenin her birinin kurulu gücünde 2,53 MWe'lık artış olmuştur.</t>
        </r>
      </text>
    </comment>
    <comment ref="E117" authorId="1" shapeId="0" xr:uid="{00000000-0006-0000-0900-00001F000000}">
      <text>
        <r>
          <rPr>
            <sz val="9"/>
            <color indexed="81"/>
            <rFont val="Tahoma"/>
            <family val="2"/>
          </rPr>
          <t xml:space="preserve">Mevcut bir ünitede 6,30 MWe güç artışı olmuştur
</t>
        </r>
      </text>
    </comment>
    <comment ref="E119" authorId="1" shapeId="0" xr:uid="{00000000-0006-0000-0900-000020000000}">
      <text>
        <r>
          <rPr>
            <sz val="9"/>
            <color indexed="81"/>
            <rFont val="Tahoma"/>
            <family val="2"/>
          </rPr>
          <t xml:space="preserve">Mevcut 2 MWe'lık ünite sökülerek yerine 4,5 MWe'lık yeni ünite kurulmuştur.
</t>
        </r>
      </text>
    </comment>
    <comment ref="E121" authorId="1" shapeId="0" xr:uid="{00000000-0006-0000-0900-000021000000}">
      <text>
        <r>
          <rPr>
            <sz val="9"/>
            <color indexed="81"/>
            <rFont val="Tahoma"/>
            <family val="2"/>
          </rPr>
          <t xml:space="preserve">İlave kurulu güç 4,412 MWe olmuştur
</t>
        </r>
      </text>
    </comment>
    <comment ref="E130" authorId="1" shapeId="0" xr:uid="{00000000-0006-0000-0900-000022000000}">
      <text>
        <r>
          <rPr>
            <sz val="9"/>
            <color indexed="81"/>
            <rFont val="Tahoma"/>
            <family val="2"/>
          </rPr>
          <t xml:space="preserve">İlave kurulu güç 9,15 MWe olmuştur
</t>
        </r>
      </text>
    </comment>
    <comment ref="E131" authorId="1" shapeId="0" xr:uid="{00000000-0006-0000-0900-000023000000}">
      <text>
        <r>
          <rPr>
            <sz val="9"/>
            <color indexed="81"/>
            <rFont val="Tahoma"/>
            <family val="2"/>
          </rPr>
          <t xml:space="preserve">Mevcut 10 adet türbinin her birinde 0,2 MWe'lık, toplamda 2 MWe'lık kurulu güç artışı olmuştur.
</t>
        </r>
      </text>
    </comment>
    <comment ref="E139" authorId="1" shapeId="0" xr:uid="{00000000-0006-0000-0900-000024000000}">
      <text>
        <r>
          <rPr>
            <sz val="9"/>
            <color indexed="81"/>
            <rFont val="Tahoma"/>
            <family val="2"/>
          </rPr>
          <t xml:space="preserve">İlave kurulu güç 12,5 MWe olmuştur
</t>
        </r>
      </text>
    </comment>
    <comment ref="E142" authorId="1" shapeId="0" xr:uid="{00000000-0006-0000-0900-000025000000}">
      <text>
        <r>
          <rPr>
            <sz val="9"/>
            <color indexed="81"/>
            <rFont val="Tahoma"/>
            <family val="2"/>
          </rPr>
          <t xml:space="preserve">İlave kurulu güç 0,6 MWe olmuştur
</t>
        </r>
      </text>
    </comment>
    <comment ref="E160" authorId="1" shapeId="0" xr:uid="{00000000-0006-0000-0900-000026000000}">
      <text>
        <r>
          <rPr>
            <sz val="9"/>
            <color indexed="81"/>
            <rFont val="Tahoma"/>
            <family val="2"/>
          </rPr>
          <t>Mevcut bir ünitede 1,19 MWe güç artışı olmuştur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166" authorId="1" shapeId="0" xr:uid="{00000000-0006-0000-0900-000027000000}">
      <text>
        <r>
          <rPr>
            <sz val="9"/>
            <color indexed="81"/>
            <rFont val="Tahoma"/>
            <family val="2"/>
          </rPr>
          <t xml:space="preserve">Mevcut bir ünitede 6,40 MWe güç artışı olmuştur
</t>
        </r>
      </text>
    </comment>
    <comment ref="E167" authorId="1" shapeId="0" xr:uid="{00000000-0006-0000-0900-000028000000}">
      <text>
        <r>
          <rPr>
            <sz val="9"/>
            <color indexed="81"/>
            <rFont val="Tahoma"/>
            <family val="2"/>
          </rPr>
          <t xml:space="preserve">İlave kurulu güç 20,588 MWe olmuştur
</t>
        </r>
      </text>
    </comment>
    <comment ref="E171" authorId="1" shapeId="0" xr:uid="{00000000-0006-0000-0900-000029000000}">
      <text>
        <r>
          <rPr>
            <sz val="9"/>
            <color indexed="8"/>
            <rFont val="Tahoma"/>
            <family val="2"/>
          </rPr>
          <t xml:space="preserve">Mevcut bir ünitede 8,52 MWe güç artışı olmuştur
</t>
        </r>
        <r>
          <rPr>
            <sz val="9"/>
            <color indexed="8"/>
            <rFont val="Tahoma"/>
            <family val="2"/>
          </rPr>
          <t xml:space="preserve">
</t>
        </r>
      </text>
    </comment>
    <comment ref="E182" authorId="1" shapeId="0" xr:uid="{00000000-0006-0000-0900-00002A000000}">
      <text>
        <r>
          <rPr>
            <sz val="9"/>
            <color indexed="81"/>
            <rFont val="Tahoma"/>
            <family val="2"/>
          </rPr>
          <t xml:space="preserve">İlave kurulu güç 15 MWe olmuştur
</t>
        </r>
      </text>
    </comment>
    <comment ref="E183" authorId="1" shapeId="0" xr:uid="{00000000-0006-0000-0900-00002B000000}">
      <text>
        <r>
          <rPr>
            <sz val="9"/>
            <color indexed="81"/>
            <rFont val="Tahoma"/>
            <family val="2"/>
          </rPr>
          <t xml:space="preserve">İlave kurulu güç 10,80 MWe olmuştur
</t>
        </r>
      </text>
    </comment>
    <comment ref="E215" authorId="1" shapeId="0" xr:uid="{00000000-0006-0000-0900-00002C000000}">
      <text>
        <r>
          <rPr>
            <sz val="9"/>
            <color indexed="81"/>
            <rFont val="Tahoma"/>
            <family val="2"/>
          </rPr>
          <t xml:space="preserve">Mevcut ünitede 23 MWe'lik güç artışı olmuştur.
</t>
        </r>
      </text>
    </comment>
    <comment ref="E221" authorId="1" shapeId="0" xr:uid="{00000000-0006-0000-0900-00002D000000}">
      <text>
        <r>
          <rPr>
            <sz val="9"/>
            <color indexed="81"/>
            <rFont val="Tahoma"/>
            <family val="2"/>
          </rPr>
          <t xml:space="preserve">İlave Kurulu Güç 0 MWe olmuştur
</t>
        </r>
      </text>
    </comment>
    <comment ref="E226" authorId="1" shapeId="0" xr:uid="{00000000-0006-0000-0900-00002E000000}">
      <text>
        <r>
          <rPr>
            <sz val="9"/>
            <color indexed="81"/>
            <rFont val="Tahoma"/>
            <family val="2"/>
          </rPr>
          <t xml:space="preserve">Mevcut bir ünitede 1,70 MWe güç artışı olmuştur. Ayrıca, 5,05 MWe gücünde yeni bir ünitenin geçici kabulü yapılmıştır.
</t>
        </r>
      </text>
    </comment>
    <comment ref="E227" authorId="1" shapeId="0" xr:uid="{00000000-0006-0000-0900-00002F000000}">
      <text>
        <r>
          <rPr>
            <sz val="9"/>
            <color indexed="81"/>
            <rFont val="Tahoma"/>
            <family val="2"/>
          </rPr>
          <t xml:space="preserve">Mevcut ünitelerde elektriksel güç artışı olmuştur.
</t>
        </r>
      </text>
    </comment>
    <comment ref="E229" authorId="1" shapeId="0" xr:uid="{00000000-0006-0000-0900-000030000000}">
      <text>
        <r>
          <rPr>
            <sz val="9"/>
            <color indexed="81"/>
            <rFont val="Tahoma"/>
            <family val="2"/>
          </rPr>
          <t>Mevcut türbinde 0,325 MWe'lık güç artışı olmuştur.</t>
        </r>
      </text>
    </comment>
    <comment ref="E230" authorId="1" shapeId="0" xr:uid="{00000000-0006-0000-0900-000031000000}">
      <text>
        <r>
          <rPr>
            <sz val="9"/>
            <color indexed="81"/>
            <rFont val="Tahoma"/>
            <family val="2"/>
          </rPr>
          <t xml:space="preserve">Önceden mekanik gücü üzerinden kabulü yapılmış olan mevcut 2,3 MWe'lık bir adet ünitenin elektrik gücü üzerinden kabulü yapılmış olup ayrıca 3 adet 2,3 MWe'lık yeni ünitenin geçici kabulü yapılmıştır.
</t>
        </r>
      </text>
    </comment>
    <comment ref="E231" authorId="1" shapeId="0" xr:uid="{00000000-0006-0000-0900-000032000000}">
      <text>
        <r>
          <rPr>
            <sz val="9"/>
            <color indexed="81"/>
            <rFont val="Tahoma"/>
            <family val="2"/>
          </rPr>
          <t xml:space="preserve">Mevcut 2 MWe'llık ünite sökülerek yerine 4,3 MWe'lık ünite takılmıştır.
</t>
        </r>
      </text>
    </comment>
    <comment ref="E237" authorId="1" shapeId="0" xr:uid="{00000000-0006-0000-0900-000033000000}">
      <text>
        <r>
          <rPr>
            <sz val="9"/>
            <color indexed="81"/>
            <rFont val="Tahoma"/>
            <family val="2"/>
          </rPr>
          <t xml:space="preserve">Mevcut 10 adet ünitenin her birinde 0,3 MWe'lık güç artışı olmuştur.
</t>
        </r>
      </text>
    </comment>
    <comment ref="E238" authorId="1" shapeId="0" xr:uid="{00000000-0006-0000-0900-000034000000}">
      <text>
        <r>
          <rPr>
            <sz val="9"/>
            <color indexed="81"/>
            <rFont val="Tahoma"/>
            <family val="2"/>
          </rPr>
          <t xml:space="preserve">Mevcut 1,365 MWe'llık ünite sökülerek yerine 1,2 MWe'lık ünite takılmıştır.
</t>
        </r>
      </text>
    </comment>
    <comment ref="E245" authorId="1" shapeId="0" xr:uid="{00000000-0006-0000-0900-000035000000}">
      <text>
        <r>
          <rPr>
            <sz val="9"/>
            <color indexed="81"/>
            <rFont val="Tahoma"/>
            <family val="2"/>
          </rPr>
          <t>İlave Kurulu Güç 3,237 MWe olmuştur.</t>
        </r>
      </text>
    </comment>
    <comment ref="E250" authorId="1" shapeId="0" xr:uid="{00000000-0006-0000-0900-000036000000}">
      <text>
        <r>
          <rPr>
            <sz val="9"/>
            <color indexed="81"/>
            <rFont val="Tahoma"/>
            <family val="2"/>
          </rPr>
          <t>İlave Kurulu Güç 9 MWe olmuştur.</t>
        </r>
      </text>
    </comment>
    <comment ref="E251" authorId="1" shapeId="0" xr:uid="{00000000-0006-0000-0900-000037000000}">
      <text>
        <r>
          <rPr>
            <sz val="9"/>
            <color indexed="81"/>
            <rFont val="Tahoma"/>
            <family val="2"/>
          </rPr>
          <t>Mevcut bir türbinin yer değişikliği yapılmıştır.</t>
        </r>
      </text>
    </comment>
    <comment ref="E253" authorId="1" shapeId="0" xr:uid="{00000000-0006-0000-0900-000038000000}">
      <text>
        <r>
          <rPr>
            <sz val="9"/>
            <color indexed="81"/>
            <rFont val="Tahoma"/>
            <family val="2"/>
          </rPr>
          <t xml:space="preserve">İlave Kurulu Güç 14 MWe olmuştur.
</t>
        </r>
      </text>
    </comment>
    <comment ref="E256" authorId="1" shapeId="0" xr:uid="{00000000-0006-0000-0900-000039000000}">
      <text>
        <r>
          <rPr>
            <sz val="9"/>
            <color indexed="81"/>
            <rFont val="Tahoma"/>
            <family val="2"/>
          </rPr>
          <t xml:space="preserve">0,8 MWe gücündeki mevcut 32 adet ünitenin her birinin gücü 0,1 MWe artarak 0,9 MWe'a çıkmış olup ayrıca 2,3 MWe gücündeki 6 adet yeni ünitenin geçici kabulü yapılmıştır.
</t>
        </r>
      </text>
    </comment>
    <comment ref="E259" authorId="2" shapeId="0" xr:uid="{00000000-0006-0000-0900-00003A000000}">
      <text>
        <r>
          <rPr>
            <sz val="9"/>
            <color indexed="81"/>
            <rFont val="Tahoma"/>
            <family val="2"/>
          </rPr>
          <t>İlave Kurulu Güç 10,20 MWe olmuştur.</t>
        </r>
      </text>
    </comment>
    <comment ref="E263" authorId="2" shapeId="0" xr:uid="{00000000-0006-0000-0900-00003B000000}">
      <text>
        <r>
          <rPr>
            <sz val="9"/>
            <color indexed="81"/>
            <rFont val="Tahoma"/>
            <family val="2"/>
          </rPr>
          <t xml:space="preserve">İlave Kurulu Güç 5,70 MWe olmuştur.
</t>
        </r>
      </text>
    </comment>
    <comment ref="E267" authorId="1" shapeId="0" xr:uid="{00000000-0006-0000-0900-00003C000000}">
      <text>
        <r>
          <rPr>
            <sz val="9"/>
            <color indexed="81"/>
            <rFont val="Tahoma"/>
            <family val="2"/>
          </rPr>
          <t xml:space="preserve">İlave Kurulu Güç 1 MWe olmuştur.
</t>
        </r>
      </text>
    </comment>
    <comment ref="E268" authorId="1" shapeId="0" xr:uid="{00000000-0006-0000-0900-00003D000000}">
      <text>
        <r>
          <rPr>
            <sz val="9"/>
            <color indexed="81"/>
            <rFont val="Tahoma"/>
            <family val="2"/>
          </rPr>
          <t xml:space="preserve">İlave Kurulu Güç 2 MWe olmuştur.
</t>
        </r>
      </text>
    </comment>
    <comment ref="E271" authorId="1" shapeId="0" xr:uid="{00000000-0006-0000-0900-00003E000000}">
      <text>
        <r>
          <rPr>
            <sz val="9"/>
            <color indexed="81"/>
            <rFont val="Tahoma"/>
            <family val="2"/>
          </rPr>
          <t xml:space="preserve">İlave Kurulu Güç 9,8 MWe olmuştur.
</t>
        </r>
      </text>
    </comment>
    <comment ref="E272" authorId="2" shapeId="0" xr:uid="{00000000-0006-0000-0900-00003F000000}">
      <text>
        <r>
          <rPr>
            <sz val="9"/>
            <color indexed="81"/>
            <rFont val="Tahoma"/>
            <family val="2"/>
          </rPr>
          <t xml:space="preserve">İlave Kurulu Güç 1,1 MWe olmuştur.
</t>
        </r>
      </text>
    </comment>
    <comment ref="E277" authorId="2" shapeId="0" xr:uid="{00000000-0006-0000-0900-000040000000}">
      <text>
        <r>
          <rPr>
            <sz val="9"/>
            <color indexed="81"/>
            <rFont val="Tahoma"/>
            <family val="2"/>
          </rPr>
          <t xml:space="preserve">İlave Kurulu Güç 0,85 MWe olmuştur.
</t>
        </r>
      </text>
    </comment>
    <comment ref="E308" authorId="1" shapeId="0" xr:uid="{00000000-0006-0000-0900-000041000000}">
      <text>
        <r>
          <rPr>
            <sz val="9"/>
            <color indexed="81"/>
            <rFont val="Tahoma"/>
            <family val="2"/>
          </rPr>
          <t>İlave Kurulu Güç 4,4 MWe olmuştur.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11" authorId="1" shapeId="0" xr:uid="{00000000-0006-0000-0900-000042000000}">
      <text>
        <r>
          <rPr>
            <sz val="9"/>
            <color indexed="81"/>
            <rFont val="Tahoma"/>
            <family val="2"/>
          </rPr>
          <t>İlave Kurulu Güç 1,6 MWe olmuştur.</t>
        </r>
        <r>
          <rPr>
            <b/>
            <sz val="9"/>
            <color indexed="81"/>
            <rFont val="Tahoma"/>
            <family val="2"/>
          </rPr>
          <t xml:space="preserve">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14" authorId="1" shapeId="0" xr:uid="{00000000-0006-0000-0900-000043000000}">
      <text>
        <r>
          <rPr>
            <sz val="9"/>
            <color indexed="81"/>
            <rFont val="Tahoma"/>
            <family val="2"/>
          </rPr>
          <t xml:space="preserve">İlave Kurulu Güç 3 MWe olmuştur.
</t>
        </r>
      </text>
    </comment>
    <comment ref="E328" authorId="1" shapeId="0" xr:uid="{00000000-0006-0000-0900-000044000000}">
      <text>
        <r>
          <rPr>
            <sz val="9"/>
            <color indexed="81"/>
            <rFont val="Tahoma"/>
            <family val="2"/>
          </rPr>
          <t xml:space="preserve">İlave Kurulu Güç 6,55 MWe olmuştur.
</t>
        </r>
      </text>
    </comment>
    <comment ref="E340" authorId="1" shapeId="0" xr:uid="{00000000-0006-0000-0900-000045000000}">
      <text>
        <r>
          <rPr>
            <sz val="9"/>
            <color indexed="81"/>
            <rFont val="Tahoma"/>
            <family val="2"/>
          </rPr>
          <t xml:space="preserve">Mevcut 60 adet 2 MWe'lık türbinin her birinin gücü 2,3 MWe'a çıkarılmıştır. İlave türbin olmamıştır.
</t>
        </r>
      </text>
    </comment>
    <comment ref="E344" authorId="1" shapeId="0" xr:uid="{00000000-0006-0000-0900-000046000000}">
      <text>
        <r>
          <rPr>
            <sz val="9"/>
            <color indexed="81"/>
            <rFont val="Tahoma"/>
            <family val="2"/>
          </rPr>
          <t>İlave Kurulu Güç 0,705 MWe olmuştur.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349" authorId="2" shapeId="0" xr:uid="{00000000-0006-0000-0900-000047000000}">
      <text>
        <r>
          <rPr>
            <sz val="9"/>
            <color indexed="81"/>
            <rFont val="Tahoma"/>
            <family val="2"/>
          </rPr>
          <t xml:space="preserve">İlave Kurulu Güç 19,992 MWe olmuştur.
</t>
        </r>
      </text>
    </comment>
    <comment ref="E355" authorId="1" shapeId="0" xr:uid="{00000000-0006-0000-0900-000048000000}">
      <text>
        <r>
          <rPr>
            <sz val="9"/>
            <color indexed="81"/>
            <rFont val="Tahoma"/>
            <family val="2"/>
          </rPr>
          <t xml:space="preserve">İlave Kurulu Güç 4,2 MWe olmuştur.
</t>
        </r>
      </text>
    </comment>
    <comment ref="E364" authorId="1" shapeId="0" xr:uid="{00000000-0006-0000-0900-000049000000}">
      <text>
        <r>
          <rPr>
            <sz val="9"/>
            <color indexed="81"/>
            <rFont val="Tahoma"/>
            <family val="2"/>
          </rPr>
          <t>Mevcut 19 ünitenin her birinde 0,21053 MWe elektriksel güç artışı olmuştur. Yeni ünite kabulü olmamıştır.</t>
        </r>
      </text>
    </comment>
    <comment ref="E367" authorId="2" shapeId="0" xr:uid="{00000000-0006-0000-0900-00004A000000}">
      <text>
        <r>
          <rPr>
            <sz val="9"/>
            <color indexed="81"/>
            <rFont val="Tahoma"/>
            <family val="2"/>
          </rPr>
          <t xml:space="preserve">İlave Kurulu Güç 2 MWe olmuştur.
</t>
        </r>
      </text>
    </comment>
    <comment ref="E374" authorId="2" shapeId="0" xr:uid="{00000000-0006-0000-0900-00004B000000}">
      <text>
        <r>
          <rPr>
            <sz val="9"/>
            <color indexed="81"/>
            <rFont val="Tahoma"/>
            <family val="2"/>
          </rPr>
          <t xml:space="preserve">Mevcut 1 ünitede elektriksel güç artışı olmuştur.
</t>
        </r>
      </text>
    </comment>
    <comment ref="E383" authorId="1" shapeId="0" xr:uid="{00000000-0006-0000-0900-00004C000000}">
      <text>
        <r>
          <rPr>
            <sz val="9"/>
            <color indexed="81"/>
            <rFont val="Tahoma"/>
            <family val="2"/>
          </rPr>
          <t xml:space="preserve">Mevcut 5 ünitenin her birinde elektriksel güç artışı olmuştur. Yeni ünite kabulü olmamıştır.
</t>
        </r>
      </text>
    </comment>
    <comment ref="E391" authorId="1" shapeId="0" xr:uid="{00000000-0006-0000-0900-00004D000000}">
      <text>
        <r>
          <rPr>
            <sz val="9"/>
            <color indexed="81"/>
            <rFont val="Tahoma"/>
            <family val="2"/>
          </rPr>
          <t>İlave Kurulu Güç 13 MWe olmuştur.</t>
        </r>
      </text>
    </comment>
    <comment ref="E392" authorId="1" shapeId="0" xr:uid="{00000000-0006-0000-0900-00004E000000}">
      <text>
        <r>
          <rPr>
            <sz val="9"/>
            <color indexed="81"/>
            <rFont val="Tahoma"/>
            <family val="2"/>
          </rPr>
          <t xml:space="preserve">Daha önce kabulü yapılmış olan santralde elektriksel güç artışı olmuştur.
</t>
        </r>
      </text>
    </comment>
    <comment ref="E400" authorId="2" shapeId="0" xr:uid="{00000000-0006-0000-0900-00004F000000}">
      <text>
        <r>
          <rPr>
            <sz val="9"/>
            <color indexed="81"/>
            <rFont val="Tahoma"/>
            <family val="2"/>
          </rPr>
          <t xml:space="preserve">İlave elektriksel güç artışı olmayıp yalnızca mekanik güç artışı olmuştur.
</t>
        </r>
      </text>
    </comment>
    <comment ref="E409" authorId="2" shapeId="0" xr:uid="{00000000-0006-0000-0900-000050000000}">
      <text>
        <r>
          <rPr>
            <sz val="9"/>
            <color indexed="81"/>
            <rFont val="Tahoma"/>
            <family val="2"/>
          </rPr>
          <t>Mevcut 7 adet türbinin her birinde 1,30857 MWe'lik güç artışı olmuştur.</t>
        </r>
      </text>
    </comment>
    <comment ref="E420" authorId="1" shapeId="0" xr:uid="{00000000-0006-0000-0900-000051000000}">
      <text>
        <r>
          <rPr>
            <sz val="9"/>
            <color indexed="81"/>
            <rFont val="Tahoma"/>
            <family val="2"/>
          </rPr>
          <t xml:space="preserve">Mevcut türbinlerde güç artışı olmuştur.
</t>
        </r>
      </text>
    </comment>
    <comment ref="E442" authorId="1" shapeId="0" xr:uid="{00000000-0006-0000-0900-000052000000}">
      <text>
        <r>
          <rPr>
            <sz val="9"/>
            <color indexed="81"/>
            <rFont val="Tahoma"/>
            <family val="2"/>
          </rPr>
          <t>İlave Kurulu Güç 20 MWe olmuştur.</t>
        </r>
      </text>
    </comment>
    <comment ref="E450" authorId="1" shapeId="0" xr:uid="{00000000-0006-0000-0900-000053000000}">
      <text>
        <r>
          <rPr>
            <sz val="9"/>
            <color indexed="81"/>
            <rFont val="Tahoma"/>
            <family val="2"/>
          </rPr>
          <t xml:space="preserve">İlave Kurulu Güç 8,8 MWe olmuştur.
</t>
        </r>
      </text>
    </comment>
    <comment ref="G459" authorId="0" shapeId="0" xr:uid="{00000000-0006-0000-0900-000054000000}">
      <text>
        <r>
          <rPr>
            <sz val="9"/>
            <color indexed="81"/>
            <rFont val="Calibri"/>
            <family val="2"/>
          </rPr>
          <t xml:space="preserve">"0" means VER
"1" means Not VER project 
</t>
        </r>
      </text>
    </comment>
    <comment ref="G678" authorId="0" shapeId="0" xr:uid="{00000000-0006-0000-0900-000055000000}">
      <text>
        <r>
          <rPr>
            <sz val="9"/>
            <color indexed="81"/>
            <rFont val="Calibri"/>
            <family val="2"/>
          </rPr>
          <t xml:space="preserve">"0" means VER
"1" means Not VER project 
</t>
        </r>
      </text>
    </comment>
    <comment ref="E686" authorId="1" shapeId="0" xr:uid="{00000000-0006-0000-0900-000056000000}">
      <text>
        <r>
          <rPr>
            <sz val="9"/>
            <color indexed="81"/>
            <rFont val="Tahoma"/>
            <family val="2"/>
          </rPr>
          <t>İlave kurulu güç 2,5MWe olmuştur.</t>
        </r>
      </text>
    </comment>
    <comment ref="E689" authorId="1" shapeId="0" xr:uid="{00000000-0006-0000-0900-000057000000}">
      <text>
        <r>
          <rPr>
            <sz val="9"/>
            <color indexed="81"/>
            <rFont val="Tahoma"/>
            <family val="2"/>
          </rPr>
          <t xml:space="preserve">İlave kurulu güç 5MWe olmuştur.
</t>
        </r>
      </text>
    </comment>
    <comment ref="E695" authorId="1" shapeId="0" xr:uid="{00000000-0006-0000-0900-000058000000}">
      <text>
        <r>
          <rPr>
            <sz val="9"/>
            <color indexed="81"/>
            <rFont val="Tahoma"/>
            <family val="2"/>
          </rPr>
          <t>İlave kurulu güç 11MWe olmuştur.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702" authorId="1" shapeId="0" xr:uid="{00000000-0006-0000-0900-000059000000}">
      <text>
        <r>
          <rPr>
            <sz val="9"/>
            <color indexed="81"/>
            <rFont val="Tahoma"/>
            <family val="2"/>
          </rPr>
          <t xml:space="preserve">İlave elektriksel kurulu güç olmamıştır.
</t>
        </r>
      </text>
    </comment>
    <comment ref="C715" authorId="1" shapeId="0" xr:uid="{00000000-0006-0000-0900-00005A000000}">
      <text>
        <r>
          <rPr>
            <sz val="9"/>
            <color indexed="81"/>
            <rFont val="Tahoma"/>
            <family val="2"/>
          </rPr>
          <t>Tuğra Regülatörü ve HES kapsamında Tuğra-2 HES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E725" authorId="1" shapeId="0" xr:uid="{00000000-0006-0000-0900-00005B000000}">
      <text>
        <r>
          <rPr>
            <sz val="9"/>
            <color indexed="81"/>
            <rFont val="Tahoma"/>
            <family val="2"/>
          </rPr>
          <t xml:space="preserve">İlave kurulu güç 10MWe olmuştur.
</t>
        </r>
      </text>
    </comment>
    <comment ref="E739" authorId="1" shapeId="0" xr:uid="{00000000-0006-0000-0900-00005C000000}">
      <text>
        <r>
          <rPr>
            <sz val="9"/>
            <color indexed="81"/>
            <rFont val="Tahoma"/>
            <family val="2"/>
          </rPr>
          <t>İlave kurulu güç 13.7MWe olmuştur.</t>
        </r>
      </text>
    </comment>
    <comment ref="C746" authorId="1" shapeId="0" xr:uid="{00000000-0006-0000-0900-00005D000000}">
      <text>
        <r>
          <rPr>
            <sz val="9"/>
            <color indexed="81"/>
            <rFont val="Tahoma"/>
            <family val="2"/>
          </rPr>
          <t>Garzan HES kapsamındaki Binek Regülatörü ve HES</t>
        </r>
      </text>
    </comment>
    <comment ref="C749" authorId="1" shapeId="0" xr:uid="{00000000-0006-0000-0900-00005E000000}">
      <text>
        <r>
          <rPr>
            <sz val="9"/>
            <color indexed="81"/>
            <rFont val="Tahoma"/>
            <family val="2"/>
          </rPr>
          <t>Doğançay HES kapsamındaki Doğançay I HES'in 3 adet, Doğançay II HES'in 1 adet ünitesi</t>
        </r>
      </text>
    </comment>
    <comment ref="E763" authorId="1" shapeId="0" xr:uid="{00000000-0006-0000-0900-00005F000000}">
      <text>
        <r>
          <rPr>
            <sz val="9"/>
            <color indexed="81"/>
            <rFont val="Tahoma"/>
            <family val="2"/>
          </rPr>
          <t>İlave kurulu güç 4,5MWe olmuştur.</t>
        </r>
      </text>
    </comment>
    <comment ref="E767" authorId="1" shapeId="0" xr:uid="{00000000-0006-0000-0900-000060000000}">
      <text>
        <r>
          <rPr>
            <sz val="9"/>
            <color indexed="81"/>
            <rFont val="Tahoma"/>
            <family val="2"/>
          </rPr>
          <t>İlave kurulu güç 24MWe olmuştur.</t>
        </r>
      </text>
    </comment>
    <comment ref="E780" authorId="1" shapeId="0" xr:uid="{00000000-0006-0000-0900-000061000000}">
      <text>
        <r>
          <rPr>
            <sz val="9"/>
            <color indexed="81"/>
            <rFont val="Tahoma"/>
            <family val="2"/>
          </rPr>
          <t>İlave kurulu güç 5,5MWe olmuştur.</t>
        </r>
      </text>
    </comment>
    <comment ref="E783" authorId="1" shapeId="0" xr:uid="{00000000-0006-0000-0900-000062000000}">
      <text>
        <r>
          <rPr>
            <sz val="9"/>
            <color indexed="81"/>
            <rFont val="Tahoma"/>
            <family val="2"/>
          </rPr>
          <t>İlave kurulu güç 15MWe olmuştur.</t>
        </r>
      </text>
    </comment>
    <comment ref="E785" authorId="1" shapeId="0" xr:uid="{00000000-0006-0000-0900-000063000000}">
      <text>
        <r>
          <rPr>
            <sz val="9"/>
            <color indexed="81"/>
            <rFont val="Tahoma"/>
            <family val="2"/>
          </rPr>
          <t xml:space="preserve">İlave kurulu güç 2,5MWe olmuştur.
</t>
        </r>
      </text>
    </comment>
    <comment ref="E811" authorId="1" shapeId="0" xr:uid="{00000000-0006-0000-0900-000064000000}">
      <text>
        <r>
          <rPr>
            <sz val="9"/>
            <color indexed="81"/>
            <rFont val="Tahoma"/>
            <family val="2"/>
          </rPr>
          <t xml:space="preserve">İLAVE KURULU GÜÇ 13,94 MWe OLMUŞTUR.
</t>
        </r>
      </text>
    </comment>
    <comment ref="E821" authorId="1" shapeId="0" xr:uid="{00000000-0006-0000-0900-000065000000}">
      <text>
        <r>
          <rPr>
            <sz val="9"/>
            <color indexed="81"/>
            <rFont val="Tahoma"/>
            <family val="2"/>
          </rPr>
          <t>46,5 MWe KURULU GÜCÜNDEKİ ÜNİTEDE 12,8 MWe GÜÇ ARTIRIMI YAPILMIŞTIR.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H7" authorId="0" shapeId="0" xr:uid="{00000000-0006-0000-0C00-000001000000}">
      <text>
        <r>
          <rPr>
            <b/>
            <sz val="8"/>
            <color indexed="81"/>
            <rFont val="Tahoma"/>
            <family val="2"/>
          </rPr>
          <t>Author:</t>
        </r>
        <r>
          <rPr>
            <sz val="8"/>
            <color indexed="81"/>
            <rFont val="Tahoma"/>
            <family val="2"/>
          </rPr>
          <t xml:space="preserve">
mean annual precipitation /potential evapotranspiration</t>
        </r>
      </text>
    </comment>
  </commentList>
</comments>
</file>

<file path=xl/sharedStrings.xml><?xml version="1.0" encoding="utf-8"?>
<sst xmlns="http://schemas.openxmlformats.org/spreadsheetml/2006/main" count="2114" uniqueCount="830">
  <si>
    <t>EUAS</t>
  </si>
  <si>
    <t>hard coal</t>
  </si>
  <si>
    <t>lignite</t>
  </si>
  <si>
    <t>fuel oil</t>
  </si>
  <si>
    <t>diesel oil</t>
  </si>
  <si>
    <t>natural gas</t>
  </si>
  <si>
    <t>hydro</t>
  </si>
  <si>
    <t>geothermal</t>
  </si>
  <si>
    <t>Autoproducers</t>
  </si>
  <si>
    <t>imported coal</t>
  </si>
  <si>
    <t>lpg</t>
  </si>
  <si>
    <t>naphta</t>
  </si>
  <si>
    <t>wind</t>
  </si>
  <si>
    <t>Affiliated partnerships</t>
  </si>
  <si>
    <t>Mobile producers</t>
  </si>
  <si>
    <t>TOOR</t>
  </si>
  <si>
    <t>GWh</t>
  </si>
  <si>
    <t>Gross electricity generation by sources</t>
  </si>
  <si>
    <t>Mobile</t>
  </si>
  <si>
    <t>Production companies</t>
  </si>
  <si>
    <t>Fuel consumption</t>
  </si>
  <si>
    <t>min</t>
  </si>
  <si>
    <t>mid</t>
  </si>
  <si>
    <t>max</t>
  </si>
  <si>
    <t>IPCC values, Energy section</t>
  </si>
  <si>
    <t xml:space="preserve">Imports </t>
  </si>
  <si>
    <t xml:space="preserve">Gross Electricity Production </t>
  </si>
  <si>
    <t>Net Electricity Production</t>
  </si>
  <si>
    <t>Net/Gross</t>
  </si>
  <si>
    <t>Net Electricity Production from Thermal Sources</t>
  </si>
  <si>
    <t>Net Generated + Imports</t>
  </si>
  <si>
    <t>Hard Coal</t>
  </si>
  <si>
    <t>Lignite</t>
  </si>
  <si>
    <t xml:space="preserve">Fuel Oil </t>
  </si>
  <si>
    <t>Natural Gas</t>
  </si>
  <si>
    <t>Total</t>
  </si>
  <si>
    <t>Hard Coal+Imported Coal</t>
  </si>
  <si>
    <t>TURKEY</t>
  </si>
  <si>
    <t>TOTAL</t>
  </si>
  <si>
    <t>Fuel Oil</t>
  </si>
  <si>
    <t>naphtha</t>
  </si>
  <si>
    <t>http://www.ipcc-nggip.iges.or.jp/public/2006gl/pdf/1_Volume1/V1_8x_Ch8_An1_Units_Index.pdf</t>
  </si>
  <si>
    <t>Diesel Oil</t>
  </si>
  <si>
    <t xml:space="preserve"> </t>
  </si>
  <si>
    <t>Solid Fuels</t>
  </si>
  <si>
    <t xml:space="preserve"> EUAS </t>
  </si>
  <si>
    <t xml:space="preserve">Main Fuel </t>
  </si>
  <si>
    <t>AND</t>
  </si>
  <si>
    <t>Auxiliary Fuel</t>
  </si>
  <si>
    <t>AFFILIATED</t>
  </si>
  <si>
    <t>PARTNERSHIPS OF EÜAŞ</t>
  </si>
  <si>
    <t>MOBIL POWER</t>
  </si>
  <si>
    <t xml:space="preserve">Fuel-Oil  </t>
  </si>
  <si>
    <t>PLANTS</t>
  </si>
  <si>
    <t>AUTOPRODUCERS</t>
  </si>
  <si>
    <t xml:space="preserve">PRODUCTION COMP. </t>
  </si>
  <si>
    <t>Liquid Fuels</t>
  </si>
  <si>
    <t>Lpg</t>
  </si>
  <si>
    <t>Naphta</t>
  </si>
  <si>
    <t xml:space="preserve"> The data can be accessed via :</t>
  </si>
  <si>
    <t>Parameter</t>
  </si>
  <si>
    <t>SI Unit</t>
  </si>
  <si>
    <t>Result</t>
  </si>
  <si>
    <t>tCO2/MWh</t>
  </si>
  <si>
    <t>Default Carbon Oxidation Factor</t>
  </si>
  <si>
    <t>http://www.ipcc-nggip.iges.or.jp/public/2006gl/pdf/2_Volume2/V2_1_Ch1_Introduction.pdf</t>
  </si>
  <si>
    <t>Electricity Generation</t>
  </si>
  <si>
    <t>Annual CO2 Emission Reductions</t>
  </si>
  <si>
    <t xml:space="preserve">Total CO2 Emission Reuctions </t>
  </si>
  <si>
    <t>Gross Electricity Production from Thermal Sources</t>
  </si>
  <si>
    <t>Gross Electricity Production (GWh)</t>
  </si>
  <si>
    <t>Net Electricity Production (GWh)</t>
  </si>
  <si>
    <t>Gross electricity Production from Thermal Sources (GWh)</t>
  </si>
  <si>
    <t>Net Electricity Production from Thermal Sources (GWh)</t>
  </si>
  <si>
    <t>Grid Power Plants</t>
  </si>
  <si>
    <t>Generation Technology</t>
  </si>
  <si>
    <t>Old Units 
(before and in 2000)</t>
  </si>
  <si>
    <t>New units
(after 2000)</t>
  </si>
  <si>
    <t>Coal</t>
  </si>
  <si>
    <t>-</t>
  </si>
  <si>
    <t>Subcritical</t>
  </si>
  <si>
    <t>Supercritical</t>
  </si>
  <si>
    <t>Ultra-upercritical</t>
  </si>
  <si>
    <t>IGCC</t>
  </si>
  <si>
    <t>FBS</t>
  </si>
  <si>
    <t>CFBS</t>
  </si>
  <si>
    <t>PFBS</t>
  </si>
  <si>
    <t>Steam turbine</t>
  </si>
  <si>
    <t>renew.+wastes</t>
  </si>
  <si>
    <t>biogas</t>
  </si>
  <si>
    <t>Source:</t>
  </si>
  <si>
    <t>EFGrid,OM,y [tCO2/MWh]</t>
  </si>
  <si>
    <t>Fuel Consumptions [t or m3 for natural gas]</t>
  </si>
  <si>
    <t>Net Calorific Values [GJ/t or GJ/m3 for natural gas]</t>
  </si>
  <si>
    <t>Electricity generation (EGy) [GWh]</t>
  </si>
  <si>
    <t>Fuel Consumption (FCi,y) [t or m3 for natural gas]</t>
  </si>
  <si>
    <t>Net Calorific Values (NCVi,y) [GJ/t or GJ/m3 for natural gas]</t>
  </si>
  <si>
    <t>CO2 Emission Factors (EFCO2i,y) [kgCO2/TJ]</t>
  </si>
  <si>
    <t>Net Electricity Generation (EGy) [GWh]</t>
  </si>
  <si>
    <t>EFgrid.OM,simple,y [tCO2/MWh]</t>
  </si>
  <si>
    <t>Total Emissions [tCO2]</t>
  </si>
  <si>
    <t xml:space="preserve"> HEATING VALUES OF FUELS CONSUMED IN THERMAL POWER PLANTS IN TURKEY BY THE ELECTRIC UTILITIES</t>
  </si>
  <si>
    <t>hydro &amp; geothermal &amp; wind</t>
  </si>
  <si>
    <t>hard coal &amp; imported coal</t>
  </si>
  <si>
    <t>Autoproducers &amp; Production Companies &amp; TOOR &amp; ADÜAŞ</t>
  </si>
  <si>
    <t>[t or m3 for natural gas]</t>
  </si>
  <si>
    <t>NOTE: The heating values of fuels are given in tCal in TEIAS website. This values are converted into tJoule by using the conversion factor of 4.1868 Joule/Cal.</t>
  </si>
  <si>
    <t xml:space="preserve">http://www.ipcc-nggip.iges.or.jp/public/2006gl/pdf/1_Volume1/V1_8x_Ch8_An1_Units_Index.pdf </t>
  </si>
  <si>
    <t xml:space="preserve"> TÜRKİYE TERMİK SANTRALLARINDA TÜKETİLEN YAKITLARIN KURULUŞLARA GÖRE ISI DEĞERLERİ</t>
  </si>
  <si>
    <t>(BİRLEŞİK ISI-ELEKTRİK SANTRALLARINDA  ISI ÜRETİMİ İÇİN KULLANILAN YAKITLAR DAHİL)</t>
  </si>
  <si>
    <t>(FUELS USED FOR HEAT PRODUCTION IN CHP PLANTS INCLUDED)</t>
  </si>
  <si>
    <t>The table above has been provided from TEIAS web site.</t>
  </si>
  <si>
    <t xml:space="preserve">ANNUAL DEVELOPMENT OF FUELS CONSUMED IN THERMAL POWER PLANTS IN TURKEY BY THE ELECTRIC UTILITIES </t>
  </si>
  <si>
    <t>SOMA RES</t>
  </si>
  <si>
    <t>ALİAĞA RES</t>
  </si>
  <si>
    <t>KELTEPE RES</t>
  </si>
  <si>
    <t>ZİYARET RES</t>
  </si>
  <si>
    <t>ŞENBÜK RES</t>
  </si>
  <si>
    <t>Net Electricity Generation+ Imports</t>
  </si>
  <si>
    <t>Baseline Emission</t>
  </si>
  <si>
    <t>Project Emission</t>
  </si>
  <si>
    <t>Leakage Emission</t>
  </si>
  <si>
    <t>SEBENOBA RES</t>
  </si>
  <si>
    <t>20% SET</t>
  </si>
  <si>
    <t>Conversion Factor:</t>
  </si>
  <si>
    <t>renewables+waste</t>
  </si>
  <si>
    <t>Total Gross Electricity Generation</t>
  </si>
  <si>
    <t>Heating Values (Joule/Cal)</t>
  </si>
  <si>
    <t>POYRAZ RES</t>
  </si>
  <si>
    <t>BM EF  (tCO2/MWh)</t>
  </si>
  <si>
    <t>HES</t>
  </si>
  <si>
    <t>DG</t>
  </si>
  <si>
    <t>RES</t>
  </si>
  <si>
    <t>DİNAR RES</t>
  </si>
  <si>
    <t>BİYOKÜTLE (ÇÖP GAZI)</t>
  </si>
  <si>
    <t>BİLECİK DOĞALGAZ ÇEVRİM SANTRALİ</t>
  </si>
  <si>
    <t>BİYOGAZ</t>
  </si>
  <si>
    <t>JEOTERMAL</t>
  </si>
  <si>
    <t>LİNYİT</t>
  </si>
  <si>
    <t>ATIK ISI</t>
  </si>
  <si>
    <t>ŞANLIURFA OSB ENERJİ SANTRALİ</t>
  </si>
  <si>
    <t>KÖMÜR</t>
  </si>
  <si>
    <t>BİYOKÜTLE</t>
  </si>
  <si>
    <t>TERMİK-KOJENERASYON SANTRALİ</t>
  </si>
  <si>
    <t>LIGNITE MWe</t>
  </si>
  <si>
    <t>HARD COAL / IMPORT COAL Mwe</t>
  </si>
  <si>
    <t>NATURAL GAS Mwe</t>
  </si>
  <si>
    <t>BM INCLUDED CAPACITY</t>
  </si>
  <si>
    <t xml:space="preserve">  TEMP. ACCEPTANCE DATE</t>
  </si>
  <si>
    <t>FUEL TYPE</t>
  </si>
  <si>
    <t>SANTRAL ADI</t>
  </si>
  <si>
    <t>NO</t>
  </si>
  <si>
    <t>GEYCEK RES</t>
  </si>
  <si>
    <t>SAYALAR RES</t>
  </si>
  <si>
    <t>KAVŞAK BENDİ HES</t>
  </si>
  <si>
    <t>KİRAZLIK REGÜLATÖRÜ VE HES</t>
  </si>
  <si>
    <t>PAMUKÖREN JES</t>
  </si>
  <si>
    <t>MORDOĞAN RES</t>
  </si>
  <si>
    <t>ATİK RES</t>
  </si>
  <si>
    <t>AKSARAY OSB BİYOGAZ SANTRALİ</t>
  </si>
  <si>
    <t>EDİNCİK RES</t>
  </si>
  <si>
    <t>SUSURLUK RES</t>
  </si>
  <si>
    <t>SAMURLU RES</t>
  </si>
  <si>
    <t>FLORANCE NIGHTINGALE HASTANESİ KOJENERASYON SANTRALİ</t>
  </si>
  <si>
    <t>KÖPRÜBAŞI HES</t>
  </si>
  <si>
    <t>GEBZE KOJENERASYON TESİSİ</t>
  </si>
  <si>
    <t>TERMİK KOJENERASYON SANTRALİ</t>
  </si>
  <si>
    <t>HAMZABEY HES</t>
  </si>
  <si>
    <t>TEKİRDAĞ ENERJİ ÜRETİM SANTRALİ</t>
  </si>
  <si>
    <t>M.KEMALPAŞA-SUUÇTU HES</t>
  </si>
  <si>
    <t>PET CİPS RESİN VE KOJ. TESİSİ</t>
  </si>
  <si>
    <t>YEŞİLKÖY REG. VE HES</t>
  </si>
  <si>
    <t>TEKSMAK TERMİK KOJENERASYON SANTRALİ</t>
  </si>
  <si>
    <t>GÜNAYDIN RES</t>
  </si>
  <si>
    <t>YAZILI I-II-III HES</t>
  </si>
  <si>
    <t>İTHAL KÖMÜR</t>
  </si>
  <si>
    <t>ATLAS TERMİK SANTRALİ</t>
  </si>
  <si>
    <t>ÇAĞLAYAN REGÜLATÖRÜ VE HES</t>
  </si>
  <si>
    <t>BANDIRMA RES</t>
  </si>
  <si>
    <t>ARAKLI 3 HES</t>
  </si>
  <si>
    <t>ŞADILLI RES</t>
  </si>
  <si>
    <t>CENGİZ 240MW DGKÇS</t>
  </si>
  <si>
    <t>EREN HES</t>
  </si>
  <si>
    <t>MURAT HES</t>
  </si>
  <si>
    <t>MENTAŞ HES</t>
  </si>
  <si>
    <t>EKİNCİK HES</t>
  </si>
  <si>
    <t>GÖNEN BİYOGAZ TESİSİ PROJESİ</t>
  </si>
  <si>
    <t>PİRİNÇLİK HES</t>
  </si>
  <si>
    <t>YÜCE HES</t>
  </si>
  <si>
    <t>YAKINCA REGÜLATÖRÜ VE HES</t>
  </si>
  <si>
    <t>ÜÇGEN HES</t>
  </si>
  <si>
    <t>MERNİOS HALI KOJENERASYON SANTRALİ</t>
  </si>
  <si>
    <t xml:space="preserve">CANAN TEKSTİL
KOJENERASYON SANTRALI
</t>
  </si>
  <si>
    <t xml:space="preserve">BEYPAZARI BİYOGAZ TESİSİ BİYOKÜTLE PROJESİ </t>
  </si>
  <si>
    <t>AMASYA ÇÖP GAZ ELEKTRİK ÜRETİM TESİSİ</t>
  </si>
  <si>
    <t>GÖKBOYUN REGÜLATÖRÜ VE HES</t>
  </si>
  <si>
    <t>TUĞRA REGÜLATÖRÜ VE HES</t>
  </si>
  <si>
    <t>KOCABEY-2 BİYOGAZ SANTRALİ</t>
  </si>
  <si>
    <t xml:space="preserve">TERMİK-KOJENERASYON SANTRALI </t>
  </si>
  <si>
    <t xml:space="preserve">POLATLI BES  </t>
  </si>
  <si>
    <t>ALBE-I BİYOGAZ SANTRALİ</t>
  </si>
  <si>
    <t>TUANA HES</t>
  </si>
  <si>
    <t>ADANA DOĞU ATIKSU SANTRALİ</t>
  </si>
  <si>
    <t>TURKOL OTEL SANTRALİ (TERMİK KOJENERASYON)</t>
  </si>
  <si>
    <t>AFYON BİYOGAZ ENERJİ SANTRALİ BİYOKÜTLE PROJESİ</t>
  </si>
  <si>
    <t>İNCESU RES</t>
  </si>
  <si>
    <t>SİGMA SULUOVA BİYOGAZ TESİSİ</t>
  </si>
  <si>
    <t>DG/FO/LİNYİT</t>
  </si>
  <si>
    <t>BURDUR ŞEKER FABRİKASI ÜRETİM TESİSİ (TERMİK KOJENERASYON)</t>
  </si>
  <si>
    <t>ZEKERE HES</t>
  </si>
  <si>
    <t>KEREM JES</t>
  </si>
  <si>
    <t>GÜRGEN REGÜLATÖRÜ VE HES</t>
  </si>
  <si>
    <t>PİRO REGÜLATÖRÜ VE HES</t>
  </si>
  <si>
    <t>EFELER JES</t>
  </si>
  <si>
    <t>UMURLAR RES</t>
  </si>
  <si>
    <t>MODERN BİYOKÜTLE ENERJİ SANTRALİ</t>
  </si>
  <si>
    <t>SAMSUN AVDAN BİYOGAZ TESİSİ BİYOKÜTLE PROJESİ</t>
  </si>
  <si>
    <t>KOJEN</t>
  </si>
  <si>
    <t>KAVAKLI RES</t>
  </si>
  <si>
    <t>ALAŞEHİR JES</t>
  </si>
  <si>
    <t>SERAP HES</t>
  </si>
  <si>
    <t>KANGAL RES</t>
  </si>
  <si>
    <t>AYVASIL REGÜLATÖRÜ VE HES</t>
  </si>
  <si>
    <t>DORUK HES</t>
  </si>
  <si>
    <t>SİLİVRİ RES</t>
  </si>
  <si>
    <t>GARZAN HES</t>
  </si>
  <si>
    <t>ASLANCIK HES</t>
  </si>
  <si>
    <t>HAYAT KİMYA KOJENERASYON SANTRALİ</t>
  </si>
  <si>
    <t>DOĞANÇAY HES</t>
  </si>
  <si>
    <t>KAYSERİ KATI ATIK DEPONİ SAHASI ELEKTRİK ÜRETİM SANTRALİ</t>
  </si>
  <si>
    <t>KORKMAZ RES</t>
  </si>
  <si>
    <t>KÖRFEZ ENERJİ SAN. VE TİC. A.Ş. TERMİK KOJENERASYON SANTRALİ</t>
  </si>
  <si>
    <t>AK NİŞASTA SAN. VE TİC. A.Ş. KOJENERASYON SANTRALİ</t>
  </si>
  <si>
    <t>ALADEREÇAM HES</t>
  </si>
  <si>
    <t>ŞENKÖY RES</t>
  </si>
  <si>
    <t>KIYIKÖY RES</t>
  </si>
  <si>
    <t>TERMİK-AKIŞKAN YATAKLI KOJENERASYON SANTRALİ</t>
  </si>
  <si>
    <t>GÖKRES-2 RES</t>
  </si>
  <si>
    <t>GENERAL REGÜLATÖRÜ VE HES</t>
  </si>
  <si>
    <t>ÇANTA RES</t>
  </si>
  <si>
    <t>ÜÇGEN 2 REGÜLATÖRÜ VE HES</t>
  </si>
  <si>
    <t>PANER KOJENERASYON SANTRALİ</t>
  </si>
  <si>
    <t>SARAY REGÜLATÖRÜ VE HES</t>
  </si>
  <si>
    <t>AKDERE HES</t>
  </si>
  <si>
    <t>BALABANLI RES</t>
  </si>
  <si>
    <t>HASANBEYLİ RES</t>
  </si>
  <si>
    <t>BEKİRLİ TERMİK SANTRALİ</t>
  </si>
  <si>
    <t>KOÇLU HES</t>
  </si>
  <si>
    <t>AŞKALE ÇİMENTO TERMİK KOJENERASYON SANTRALİ</t>
  </si>
  <si>
    <t>UŞAK RES</t>
  </si>
  <si>
    <t>KARADERE RES</t>
  </si>
  <si>
    <t>ALTINSU TEKSTİL KOJENERASYON TESİSİ</t>
  </si>
  <si>
    <t>BERKE REGÜLATÖRÜ VE HES</t>
  </si>
  <si>
    <t>KÖROĞLU HES</t>
  </si>
  <si>
    <t>GÖKRES 2 RES</t>
  </si>
  <si>
    <t>ITC AKSARAY ÜRETİM TESİSİ</t>
  </si>
  <si>
    <t>GÖKBEL I-II HES</t>
  </si>
  <si>
    <t>SENTETİK-2 KOJENERASYON TESİSİ</t>
  </si>
  <si>
    <t>BÜKOR II HES</t>
  </si>
  <si>
    <t>TOKMADİN HES</t>
  </si>
  <si>
    <t>ARKUN BARAJI VE HES</t>
  </si>
  <si>
    <t>EDİNCİK BES</t>
  </si>
  <si>
    <t>ÇİNE HES</t>
  </si>
  <si>
    <t>SALMAN RES</t>
  </si>
  <si>
    <t>ERZİN DGKÇS</t>
  </si>
  <si>
    <t>DORA 3 JES</t>
  </si>
  <si>
    <t>DERHAN TEKSTİL TERMİK KOJENERASYON SANTRALİ</t>
  </si>
  <si>
    <t>GÜLLE TEKSTİL TERMİK KOJENERASYON SANTRALİ</t>
  </si>
  <si>
    <t>ZALA REGÜLATÖRÜ VE HES</t>
  </si>
  <si>
    <t>PİROLİTİK YAĞ</t>
  </si>
  <si>
    <t>PROKOM PİROLİTİK YAĞ VE GAZ TAKITLI ELEKTRİK ÜRETİM TESİSİ</t>
  </si>
  <si>
    <t>GÜVEN GIDA TETMİK KOJENERASYON SANTRALİ</t>
  </si>
  <si>
    <t>GERES RES</t>
  </si>
  <si>
    <t>HAVVA HES</t>
  </si>
  <si>
    <t>DÜZOVA RES</t>
  </si>
  <si>
    <t>SARES RES</t>
  </si>
  <si>
    <t>ASLANCIK BARAJI VE HES</t>
  </si>
  <si>
    <t>KOZBEYLİ RES</t>
  </si>
  <si>
    <t>BARAN REGÜLATÖRÜ VE HES (BARAN-I)</t>
  </si>
  <si>
    <t>ITC-KA BİYOKÜTLE GAZLAŞTIRMA TESİSİ</t>
  </si>
  <si>
    <t>İNTEPE RES</t>
  </si>
  <si>
    <t>Net Capacity Exc. VERs (MWe)</t>
  </si>
  <si>
    <t>Total Capacity exc. VERs (MWe)</t>
  </si>
  <si>
    <t>Total Capacity Addition (MWe)</t>
  </si>
  <si>
    <t>SEKİYAKA II HES</t>
  </si>
  <si>
    <t>Total Emission Coefficient (MW * tCO2/MWh)</t>
  </si>
  <si>
    <t>Emission Addition of Lignite (MW * tCO2/MWh)</t>
  </si>
  <si>
    <t>Total Lignite Capacity Addition (MWe)</t>
  </si>
  <si>
    <t>Emission Addition of Coal (MW * tCO2/MWh)</t>
  </si>
  <si>
    <t>Total Import Coal Capacity Addition (MWe)</t>
  </si>
  <si>
    <t>Emission Addition of NG (MW * tCO2/MWh)</t>
  </si>
  <si>
    <t>Total NG Capacity Addition (MWe)</t>
  </si>
  <si>
    <t>DG/FO</t>
  </si>
  <si>
    <t>Import Coal</t>
  </si>
  <si>
    <t>EF-EL Values for Fuel Types in Set Sample (t CO2/MWh)</t>
  </si>
  <si>
    <t>η Values (Ratio)</t>
  </si>
  <si>
    <t xml:space="preserve">BM Emission Factor [tCO2/MWh] : </t>
  </si>
  <si>
    <t>t CO2/MWh</t>
  </si>
  <si>
    <t>20 % of Total Capacity</t>
  </si>
  <si>
    <t xml:space="preserve">http://www.ipcc-nggip.iges.or.jp/public/2006gl/pdf/2_Volume2/V2_1_Ch1_Introduction.pdf </t>
  </si>
  <si>
    <t>PLANT NAME</t>
  </si>
  <si>
    <t>VER STATUS</t>
  </si>
  <si>
    <t>VER PROJECT CAPACITY</t>
  </si>
  <si>
    <t>emission factor electric</t>
  </si>
  <si>
    <t>İÇDAŞ BİGA RES</t>
  </si>
  <si>
    <t>UMURLU JES</t>
  </si>
  <si>
    <t>ITC-KA ELAZIĞ ÜRETİM TESİSİ</t>
  </si>
  <si>
    <t>HANAK HES</t>
  </si>
  <si>
    <t>ALPERTEKS SANTRALİ</t>
  </si>
  <si>
    <t>KALEKÖY HES</t>
  </si>
  <si>
    <t>FUATRES RES</t>
  </si>
  <si>
    <t>TUĞRA REG. VE HES</t>
  </si>
  <si>
    <t>YAHYALI RES</t>
  </si>
  <si>
    <t>SİLOPİ TERMİK SANTRALİ</t>
  </si>
  <si>
    <t>YERLİ ASFALTİT</t>
  </si>
  <si>
    <t>BAĞBAŞI REG. VE HES</t>
  </si>
  <si>
    <t>İSKENDERUN ÇÖP GAZ ELEKTRİK ÜRETİM TESİSİ</t>
  </si>
  <si>
    <t>ATAKÖY HES</t>
  </si>
  <si>
    <t>ŞANLIURFA BİYOKÜTLE ENERJİ SANTRALİ</t>
  </si>
  <si>
    <t>SÖKE RES</t>
  </si>
  <si>
    <t>TÜPRAŞ İZMİT RAFİNERİSİ TERMİK KOJENERASYON SANTRALİ</t>
  </si>
  <si>
    <t>ARTVİN BARAJI VE HES</t>
  </si>
  <si>
    <t>HASANLAR HES</t>
  </si>
  <si>
    <t>TUFANBEYLİ ÜRETİM TESİSİ</t>
  </si>
  <si>
    <t>KOÇAK REG. VE HES</t>
  </si>
  <si>
    <t>KANDİL REG. VE HES</t>
  </si>
  <si>
    <t>OSB ÜRETİM SANTRALİ</t>
  </si>
  <si>
    <t>SÜLOĞLU RES</t>
  </si>
  <si>
    <t>KANİJE RES</t>
  </si>
  <si>
    <t>AKBÜK RES</t>
  </si>
  <si>
    <t>ASLAN ÇİMENTO ATIK ISIDAN ENERJİ ÜRETİM TESİSİ</t>
  </si>
  <si>
    <t>TEPEKIŞLA BARAJI VE HES</t>
  </si>
  <si>
    <t>ÇİLEHANE HES</t>
  </si>
  <si>
    <t>PAMUKÖREN JES 2</t>
  </si>
  <si>
    <t>HIZIR REGÜLATÖRÜ VE HES</t>
  </si>
  <si>
    <t>BAĞARASI RES</t>
  </si>
  <si>
    <t>HAYMEANA I-II HES (HAYMEANA I HES)</t>
  </si>
  <si>
    <t>KARAMAN BİYOGAZ TESİSİ</t>
  </si>
  <si>
    <t>ÇAY REGÜLATÖRÜ VE HES</t>
  </si>
  <si>
    <t>OVACIK BİYOGAZ ENERJİ SANTRALİ</t>
  </si>
  <si>
    <t>PAKMİL BİYOKÜTLE SANTRALİ</t>
  </si>
  <si>
    <t>KARAKAYA REG. VE HES</t>
  </si>
  <si>
    <t>KARADUVAR ATIKSU ARITMA TESİSİ BİYOGAZ SANTRALİ</t>
  </si>
  <si>
    <t>TRABZON RİZE ÇÖP GAZI SANTRALİ</t>
  </si>
  <si>
    <t>PAŞALI REGÜLATÖRÜ VE HES</t>
  </si>
  <si>
    <t>BABADERE JES</t>
  </si>
  <si>
    <t>DİLOVASI ÇÖP BİYOGAZ SANTRALİ</t>
  </si>
  <si>
    <t>SERHAT REGÜLATÖRÜ VE HES</t>
  </si>
  <si>
    <t>SİVAS BİYOKÜTLEDEN (ÇÖP GAZI) ELEKTRİK ENERJİSİ ÜRETİM TESİSİ</t>
  </si>
  <si>
    <t>SEBİL REG. VE HES</t>
  </si>
  <si>
    <t>POYRAZGÖLÜ RES</t>
  </si>
  <si>
    <t>HİLAL-2 RES</t>
  </si>
  <si>
    <t>ADA 2 RES</t>
  </si>
  <si>
    <t>ka</t>
  </si>
  <si>
    <t>GÜNAYŞE REG. VE HES</t>
  </si>
  <si>
    <t>ANGUTLU HES</t>
  </si>
  <si>
    <t>DEMİRCİ REG. VE HES</t>
  </si>
  <si>
    <t>EGE RES</t>
  </si>
  <si>
    <t>ARPACIK REGÜLATÖRÜ VE HES</t>
  </si>
  <si>
    <t>ÇİLEKLİTEPE HES</t>
  </si>
  <si>
    <t>ADARES RES</t>
  </si>
  <si>
    <t>GÖKTAŞ HES (GÖKTAŞ-2 HES)</t>
  </si>
  <si>
    <t>KARACABEY-2 BİYOGAZ TESİSİ</t>
  </si>
  <si>
    <t>KEN KİPAŞ JES</t>
  </si>
  <si>
    <t>İZNİK DEREKÖY HES</t>
  </si>
  <si>
    <t>DİLEK RES</t>
  </si>
  <si>
    <t>KUYUCAK RES</t>
  </si>
  <si>
    <t>ORİON ÜRETİM SANTRALİ</t>
  </si>
  <si>
    <t>EĞERCİ REGÜLATÖRÜ VE HES</t>
  </si>
  <si>
    <t>AYVALI (ÇORUH) BARAJI VE HES</t>
  </si>
  <si>
    <t>KOCADAĞ 2 RES</t>
  </si>
  <si>
    <t>SUÇATI-I HES</t>
  </si>
  <si>
    <t>AKÇAKOYUN HES</t>
  </si>
  <si>
    <t>MUT RES</t>
  </si>
  <si>
    <t>AKINCI (KAYABEYİ) HES</t>
  </si>
  <si>
    <t>GÖKSU HES</t>
  </si>
  <si>
    <t>BOLU-GÖYNÜK ENERJİ SANTRALİ</t>
  </si>
  <si>
    <t>DOĞU HES</t>
  </si>
  <si>
    <t>KARAKUZ BARAJI VE HES</t>
  </si>
  <si>
    <t>MANAHOZ HES</t>
  </si>
  <si>
    <t>TELLİ 1-2 HES</t>
  </si>
  <si>
    <t>AVANOS REGÜLATÖRÜ VE CEMEL HES</t>
  </si>
  <si>
    <t>ALÇE HES</t>
  </si>
  <si>
    <t>SÖĞÜTLÜ HES</t>
  </si>
  <si>
    <t>ÖDEMİŞ RES</t>
  </si>
  <si>
    <t>ÇEŞME RES</t>
  </si>
  <si>
    <t>TOSUNLAR-1 JES</t>
  </si>
  <si>
    <t>ÇAYKARA HES</t>
  </si>
  <si>
    <t>BOLU ÇİMENTO ATIK ISIDAN ENERJİ ÜRETME TESİSİ</t>
  </si>
  <si>
    <t>EKOTEN TEKSTİL SAN. VE TİC. A.Ş. KOJEN. SANTRALİ</t>
  </si>
  <si>
    <t>BEYHAN I BARAJI VE HES</t>
  </si>
  <si>
    <t>ANGUTLU 2 HES</t>
  </si>
  <si>
    <t>KORU RES</t>
  </si>
  <si>
    <t>POLATLI BES</t>
  </si>
  <si>
    <t>GÜNEYYAKA HES</t>
  </si>
  <si>
    <t>SEMA REGÜLATÖRÜ VE HES</t>
  </si>
  <si>
    <t>KARGI (KIZILIRMAK) HES</t>
  </si>
  <si>
    <t>YALNIZARDIÇ HES</t>
  </si>
  <si>
    <t>ORTAMANDIRA RES</t>
  </si>
  <si>
    <t>HARMANLIK RES</t>
  </si>
  <si>
    <t>KIZILÇAM REGÜLATÖRÜ VE HES</t>
  </si>
  <si>
    <t>KİPAŞ KAĞIT SANAYİ İŞLETMELERİ A.Ş. TERMİK-KOJENERASYON SANTRALİ</t>
  </si>
  <si>
    <t>YANBOLU HES</t>
  </si>
  <si>
    <t>DURKAR 1 TERMİK-KOJENERASYON SANTRALİ</t>
  </si>
  <si>
    <t>STS-1 HES</t>
  </si>
  <si>
    <t>YUNUSLAR HES</t>
  </si>
  <si>
    <t>BOREAS I ENEZ RES</t>
  </si>
  <si>
    <t>GARZAN BARAJI VE HES</t>
  </si>
  <si>
    <t>İNCEBEL HES</t>
  </si>
  <si>
    <t>SEYİTALİ RES</t>
  </si>
  <si>
    <t>BAĞIŞTAŞ I BARAJI VE HES</t>
  </si>
  <si>
    <t>ÇAKMAK REGÜLATÖRÜ VE HES</t>
  </si>
  <si>
    <t>ONUR REGÜLATÖRÜ VE HES</t>
  </si>
  <si>
    <t>ÇERÇİKAYA RES</t>
  </si>
  <si>
    <t>SÜTLÜCE HES VE REGÜLATÖRÜ</t>
  </si>
  <si>
    <t>ALAKÖPRÜ BARAJI VE HES</t>
  </si>
  <si>
    <t>PEMBELİK BARAJI VE HES</t>
  </si>
  <si>
    <t>MODERN ENERJİ TERMİK SANTRALİ</t>
  </si>
  <si>
    <t>DG+ORMAN ÜRÜN.</t>
  </si>
  <si>
    <t>BÜYÜKBAHÇE REGÜLATÖRÜ VE HES</t>
  </si>
  <si>
    <t xml:space="preserve">TÜPRAŞ İZMİT RAFİNERİSİ TERMİK KOJENERASYON SANTRALI </t>
  </si>
  <si>
    <t>YAMANLI II HES</t>
  </si>
  <si>
    <t>SİNCAN ÇADIRTEPE BİYOKÜTLE ENERJİ SANTRALİ</t>
  </si>
  <si>
    <t>MEREK REGÜLATÖRÜ VE HES</t>
  </si>
  <si>
    <t>DEMİRER KOJENERASYON TESİSİ</t>
  </si>
  <si>
    <t>PİTANE RES</t>
  </si>
  <si>
    <t>KADAHOR REGÜLATÖRÜ VE HES</t>
  </si>
  <si>
    <t>KÖPRÜYANI REGÜLATÖRÜ VE HES</t>
  </si>
  <si>
    <t>ADIGÜZEL II HES</t>
  </si>
  <si>
    <t>MMK METALURJİ SAN. TİC. VE LİMAN İŞLETMECİLİĞİ A.Ş KOJENERASYON TESİSİ</t>
  </si>
  <si>
    <t>HAYAT  BİYOKÜTLE PROJESİ</t>
  </si>
  <si>
    <t>KARDEMİR KARABÜK DEMİR ÇELİK SAN. VE TİC. A.Ş. TERMİK-KOJENERASYON SANTRALI</t>
  </si>
  <si>
    <t>KÖMÜR+DİĞER</t>
  </si>
  <si>
    <t>BUCAKKIŞLA HES</t>
  </si>
  <si>
    <t>http://www.teias.gov.tr/sites/default/files/2017-10/66%2806-16%29.xls</t>
  </si>
  <si>
    <t>http://www.teias.gov.tr/sites/default/files/2017-10/52%282006-2016%29.xls</t>
  </si>
  <si>
    <t>SIRA NO</t>
  </si>
  <si>
    <t>YAKIT CİNSİ</t>
  </si>
  <si>
    <t xml:space="preserve">  GEÇİCİ KABUL TARİHİ</t>
  </si>
  <si>
    <t>SARPINCIK RES</t>
  </si>
  <si>
    <t>KUBİLAY JES</t>
  </si>
  <si>
    <t>ÇATALCA RES</t>
  </si>
  <si>
    <t>GÖKTAŞ HES (GÖKTAŞ-1 HES)</t>
  </si>
  <si>
    <t>ÇİĞDEM REG. VE HES (ÇİĞDEM 3 HES)</t>
  </si>
  <si>
    <t>OVARES RES</t>
  </si>
  <si>
    <t>SAMATLAR REGÜLATÖRÜ VE HES</t>
  </si>
  <si>
    <t>KIRKAĞAÇ RES</t>
  </si>
  <si>
    <t>FATMA RES</t>
  </si>
  <si>
    <t>MELİKOM REGÜLATÖRÜ VE HES</t>
  </si>
  <si>
    <t>MEHMETHAN JES</t>
  </si>
  <si>
    <t>TOPÇAM HES</t>
  </si>
  <si>
    <t>KEBAN DERESİ HES</t>
  </si>
  <si>
    <t>AKNİŞASTA TERMİK KOJENERASYON SANTRALİ</t>
  </si>
  <si>
    <t>KURTEKS ÜRETİM TESİSİ</t>
  </si>
  <si>
    <t>OMMER OTEL TRİJENERASYON TESİSİ</t>
  </si>
  <si>
    <t>YALOVA RES</t>
  </si>
  <si>
    <t>ERAK GİYİM KOJENERASYON SANTRALİ</t>
  </si>
  <si>
    <t>BANDIRMA-3 RES</t>
  </si>
  <si>
    <t>KOCAELİ ÇÖP BİYOGAZ SANTRALİ</t>
  </si>
  <si>
    <t>URLA RES</t>
  </si>
  <si>
    <t>BALIKLI I-II-III HES</t>
  </si>
  <si>
    <t>KARACABEY RES</t>
  </si>
  <si>
    <t>KARADAĞ RES</t>
  </si>
  <si>
    <t>SENKRON EFELER BİYOGAZ SANTRALİ</t>
  </si>
  <si>
    <t>ZELİHA RES</t>
  </si>
  <si>
    <t>SEFERİHİSAR RES</t>
  </si>
  <si>
    <t>KINIK RES</t>
  </si>
  <si>
    <t>MAZI I RES</t>
  </si>
  <si>
    <t>MEŞELİ HES</t>
  </si>
  <si>
    <t>KOZBÜKÜ HES</t>
  </si>
  <si>
    <t>ELMALI RES</t>
  </si>
  <si>
    <t>KONAKPINAR RES</t>
  </si>
  <si>
    <t>ERİK REGÜLATÖRÜ VE HES</t>
  </si>
  <si>
    <t>AHMETLİ HES</t>
  </si>
  <si>
    <t>ATLAS İNŞAAT OSMANİYE ÇÖP GAZI ELEKTRİK ÜRETİM TESİSİ</t>
  </si>
  <si>
    <t>KEN 3 JES</t>
  </si>
  <si>
    <t>SULTANHİSAR JES</t>
  </si>
  <si>
    <t>YUMRUTEPE REGÜLATÖRÜ VE HES</t>
  </si>
  <si>
    <t>DEREİÇİ HES</t>
  </si>
  <si>
    <t>HALK ENERJİ ERZURUM GES</t>
  </si>
  <si>
    <t>GES</t>
  </si>
  <si>
    <t>UMURLU-2 JES</t>
  </si>
  <si>
    <t>KARGI REGÜLATÖRÜ VE HES</t>
  </si>
  <si>
    <t>KASIMLAR BARAJI VE HES</t>
  </si>
  <si>
    <t>MUTLULAR BES</t>
  </si>
  <si>
    <t>BİYOKÜTLE (ORMAN ATIĞI)</t>
  </si>
  <si>
    <t>MALATYA-1 ÇÖP GAZ ELEKTRİK ÜRETİM TESİSİ</t>
  </si>
  <si>
    <t>HATAY GÖKÇEGÖZ ÇÖP SANTRALİ</t>
  </si>
  <si>
    <t>KILCAN HES</t>
  </si>
  <si>
    <t>MAS 1 YENİLENEBİLİR ENERJİ ÜRETİM TESİSİ</t>
  </si>
  <si>
    <t>ZEUS BİYOKÜTLE ENERJİSİNE DAYALI ELK. ÜRT. TESİSİ</t>
  </si>
  <si>
    <t>MARAŞ BİYOKÜTLE TESİSİ</t>
  </si>
  <si>
    <t>GÜVERCİN REG. VE HES</t>
  </si>
  <si>
    <t>AFYONKARAHİSAR SANDIKLI BİYOKÜTLE ÜRETİM TESİSİ</t>
  </si>
  <si>
    <t>NAZAR ÜRETİM TESİSİ</t>
  </si>
  <si>
    <t>BURSA ÇİMENTO KOJENERASYON TESİSİ</t>
  </si>
  <si>
    <t>TİRE BİYOGAZ TESİSİ</t>
  </si>
  <si>
    <t>SOLENTEGRE GES</t>
  </si>
  <si>
    <t>OKKAYASI REG. VE ŞEHİTLİK HES</t>
  </si>
  <si>
    <t>İZMİT RAFİNERİ TERMİK-KOJENERASYON</t>
  </si>
  <si>
    <t>NAMNAM HES</t>
  </si>
  <si>
    <t>KARABEL RES</t>
  </si>
  <si>
    <t>KUZEY I-II REG. VE HES</t>
  </si>
  <si>
    <t>TÜFEKÇİKONAĞI HES</t>
  </si>
  <si>
    <t>AKYURT RES</t>
  </si>
  <si>
    <t>AREL YENİLENEBİLİR ENERJİ ISPARTA BİYOKÜTLE TESİSİ</t>
  </si>
  <si>
    <t>BOZYAKA RES</t>
  </si>
  <si>
    <t>KARAÇAYIR RES</t>
  </si>
  <si>
    <t>ALAŞEHİR JES 2</t>
  </si>
  <si>
    <t>GREENECO JES</t>
  </si>
  <si>
    <t>SİVAS ÇÖP GAZ ELEKTRİK ÜRETİM TESİSİ</t>
  </si>
  <si>
    <t>BALKODU II HES</t>
  </si>
  <si>
    <t>DEMİRCİLİ RES</t>
  </si>
  <si>
    <t>GÜNDOĞDU RES</t>
  </si>
  <si>
    <t>ITC-KA ÇARŞAMBA ÜRETİM TESİSİ</t>
  </si>
  <si>
    <t>ATİLLA REGÜLATÖRÜ VE HES</t>
  </si>
  <si>
    <t>ÇARIKLI HES</t>
  </si>
  <si>
    <t>DEMİRCİLER RES</t>
  </si>
  <si>
    <t>SARITEPE RES</t>
  </si>
  <si>
    <t>ZONGULDAK EREN ENERJİ ELEKTRİK ÜR. A.Ş. ÜRETİM TESİSİ (ZETES III)</t>
  </si>
  <si>
    <t>YERLİ/İTHAL TAŞKÖMÜRÜ VEYA LİNYİT</t>
  </si>
  <si>
    <t>BEREKETLİ RES</t>
  </si>
  <si>
    <t>DEMİR REGÜLATÖRÜ VE HES</t>
  </si>
  <si>
    <t>AFYON-I BİYOGAZ SANTRALİ</t>
  </si>
  <si>
    <t>BİYOKÜTLE (HAYVANSAL ATIK)</t>
  </si>
  <si>
    <t>ZİNCİRLİ RES</t>
  </si>
  <si>
    <t>ULUBORLU RES</t>
  </si>
  <si>
    <t>EBRU REG. VE HES</t>
  </si>
  <si>
    <t>İÇ ANADOLU DGKÇS</t>
  </si>
  <si>
    <t>AMASYA RES</t>
  </si>
  <si>
    <t xml:space="preserve">GEP KARAMAN OSB
KOJENERASYON SANTRALİ
</t>
  </si>
  <si>
    <t>DORA-4 JES</t>
  </si>
  <si>
    <t>YANIKKÖPRÜ HES</t>
  </si>
  <si>
    <t>ABALIOĞLU KOJENERASYON TESİSİ</t>
  </si>
  <si>
    <t>ÇAYALTI REGÜLATÖRÜ VE HES (2. SANTRAL)</t>
  </si>
  <si>
    <t>ODAYERİ BİYOGAZ</t>
  </si>
  <si>
    <t>TAHA DGKÇS</t>
  </si>
  <si>
    <t>ÇATALTEPE RES</t>
  </si>
  <si>
    <t>TERMİK (KOJENERASYON) SANTRALİ</t>
  </si>
  <si>
    <t>ALAÇATI RES</t>
  </si>
  <si>
    <t>TEKAS ELEKTRİK ÜRETİM SANTRALİ</t>
  </si>
  <si>
    <t>PAMUKÖREN JES 3</t>
  </si>
  <si>
    <t>ENERJEO KEMALİYE SANTRALİ</t>
  </si>
  <si>
    <t>AKPINAR HES</t>
  </si>
  <si>
    <t>MARTEKS ÜRETİM TESİSİ</t>
  </si>
  <si>
    <t>KURTKAYASI RES</t>
  </si>
  <si>
    <t>İNEGÖL-CERRAH HES</t>
  </si>
  <si>
    <t>İKİLER HES</t>
  </si>
  <si>
    <t>DOĞANŞAR REG. VE HES</t>
  </si>
  <si>
    <t>BANDIRMA II DGKÇS</t>
  </si>
  <si>
    <t>GERMİYAN RES</t>
  </si>
  <si>
    <t>VANAZİT HES</t>
  </si>
  <si>
    <t>UMUTLU HES</t>
  </si>
  <si>
    <t>TAV EGE ADNAN MENDERES HAVALİMANI OTOPRODÜKTÖR TESİSİ</t>
  </si>
  <si>
    <t>KOJENERASYON TESİSİ</t>
  </si>
  <si>
    <t>ARISU REGÜLATÖRÜ VE HES</t>
  </si>
  <si>
    <t>ÇANDIR-1 REG. VE HES</t>
  </si>
  <si>
    <t>TOROS TARIM SAMSUN SANTRALİ</t>
  </si>
  <si>
    <t>YAMANLI II HES (1. KADEME ÜNİTE 3)</t>
  </si>
  <si>
    <t>ARIKAN ÜRETİM TESİSİ</t>
  </si>
  <si>
    <t>YAYLAKÖY RES</t>
  </si>
  <si>
    <t>BAYRA HES</t>
  </si>
  <si>
    <t>GÖKBÖĞET HES</t>
  </si>
  <si>
    <t>ANI BİSKÜVİ KOJENERASYON SANTRALİ</t>
  </si>
  <si>
    <t>SUSUZ REGÜLATÖRÜ VE HES</t>
  </si>
  <si>
    <t>YUNUS EMRE TERMİK SANTRALİ</t>
  </si>
  <si>
    <t>AKBÜK II RES</t>
  </si>
  <si>
    <t>YAMANLI II HES (1. KADEME ÜNİTE 1 VE 2)</t>
  </si>
  <si>
    <t>KÖROĞLU BARAJI VE KOTANLI HES</t>
  </si>
  <si>
    <t>BEYPİ A.Ş. BOLU YEM FABRİKASI KOJEN. SAN.</t>
  </si>
  <si>
    <t>TARABYA OTELİ KOJENERASYON</t>
  </si>
  <si>
    <t>http://www.eigm.gov.tr/File/?path=ROOT%2f4%2fDocuments%2fSayfalar%2f2016+Yılı+Enerji+Yatırımları.xlsx</t>
  </si>
  <si>
    <t>http://www.eigm.gov.tr/File/?path=ROOT%2f4%2fDocuments%2fSayfalar%2f2015+Yılı+Enerjii+Yatırımları.xlsx</t>
  </si>
  <si>
    <t>http://www.eigm.gov.tr/File/?path=ROOT%2f4%2fDocuments%2fSayfalar%2f2014+Yılı+Enerji+Yatırımları.xlsx</t>
  </si>
  <si>
    <t>http://www.eigm.gov.tr/File/?path=ROOT%2f4%2fDocuments%2fRapor%2f2013_Yili_Enerji_Yatirimlari.xls</t>
  </si>
  <si>
    <t>http://www.teias.gov.tr/sites/default/files/2019-03/56%2893-2017%29.xls</t>
  </si>
  <si>
    <t>http://www.teias.gov.tr/sites/default/files/2018-10/66%2806-17%29.xls</t>
  </si>
  <si>
    <t>hydro &amp; geothermal &amp; wind &amp; solar</t>
  </si>
  <si>
    <t>http://www.teias.gov.tr/sites/default/files/2018-10/73.xls</t>
  </si>
  <si>
    <t>http://www.teias.gov.tr/sites/default/files/2018-10/75.xls</t>
  </si>
  <si>
    <t>The below data was provided from TEIAS web site from 2017 statistics.</t>
  </si>
  <si>
    <t>Unit: tcal</t>
  </si>
  <si>
    <t>http://www.eigm.gov.tr/File/?path=ROOT%2f4%2fDocuments%2fSayfalar%2f2017+Yılı+Enerji+Yatırımları.xlsx</t>
  </si>
  <si>
    <t>Cap Add. Total</t>
  </si>
  <si>
    <t>W/O VER</t>
  </si>
  <si>
    <t>VER</t>
  </si>
  <si>
    <t>MELİH JES</t>
  </si>
  <si>
    <t>MAVİBAYRAK-1 BİYOKÜTLE ENERJİ SANTRALİ</t>
  </si>
  <si>
    <t>CENAL TERMİK ENERJİ SANTRALİ</t>
  </si>
  <si>
    <t>ZİYARET HES</t>
  </si>
  <si>
    <t>ÇAMLICA HES</t>
  </si>
  <si>
    <t>KİĞI BARAJI VE HES</t>
  </si>
  <si>
    <t>DATÇA RES</t>
  </si>
  <si>
    <t>MERSİN RES</t>
  </si>
  <si>
    <t>SANKO JES</t>
  </si>
  <si>
    <t>HAMİTABAT DGKÇS</t>
  </si>
  <si>
    <t>DEREBAŞI HES</t>
  </si>
  <si>
    <t>DURUCASU HES</t>
  </si>
  <si>
    <t>KÜREKDAĞI RES</t>
  </si>
  <si>
    <t>RENOE ACIPAYAM GES</t>
  </si>
  <si>
    <t>KUYUCAK JES</t>
  </si>
  <si>
    <t>DARICA II HES</t>
  </si>
  <si>
    <t>KARTALDAĞI RES</t>
  </si>
  <si>
    <t>ÇUMRA ŞEKER FABRİKASI KOJENERASYON SANTRALİ</t>
  </si>
  <si>
    <t>LİNYİT/DG/FO/BİYOGAZ</t>
  </si>
  <si>
    <t>GÖKDAĞ RES</t>
  </si>
  <si>
    <t>MANASTIR-ESENKÖY RES</t>
  </si>
  <si>
    <t>TÜPRAŞ KIRIKKALE RAFİNERİ TESİSİ</t>
  </si>
  <si>
    <t>SOĞUKSU HES</t>
  </si>
  <si>
    <t>KAROVA RES</t>
  </si>
  <si>
    <t>VESMEC KIRK-KAB 1 ÇÖP BİYOGAZ SANTRALİ</t>
  </si>
  <si>
    <t>TİRE BİYOGAZ ELEKTRİK SANTRALİ</t>
  </si>
  <si>
    <t>BİYOKÜTLE (TAR./HAYV. ATIK)</t>
  </si>
  <si>
    <t>KALECİK HES</t>
  </si>
  <si>
    <t>MALATYA ÇÖP GAZLAŞTIRMA-YAKMA TESİSİ</t>
  </si>
  <si>
    <t>DOĞAL ENERJİ BİYOKÜTLE ENERJİ SANTRALİ</t>
  </si>
  <si>
    <t>KARATAŞ 1 HES</t>
  </si>
  <si>
    <t>PİR ENERJİ ÜRETİM TESİSİ</t>
  </si>
  <si>
    <t>BİYOKÜTLE (PİROLİTİK GAZ VE YAĞ)</t>
  </si>
  <si>
    <t>DELİCE-1 HES</t>
  </si>
  <si>
    <t>KARTEPE BİYOKÜTLE-PİROLİZ SIVISI VE GAZI ENERJİ SANTRALİ</t>
  </si>
  <si>
    <t>BİYOKÜTLE (PİROLİTİK YAĞ)</t>
  </si>
  <si>
    <t>YAPILCANLAR-2 BİYOGAZ ENERJİ SANTRALİ</t>
  </si>
  <si>
    <t>BİYOKÜTLE (HAYV./BİTKİSEL ATIK)</t>
  </si>
  <si>
    <t>HAMZABEYLİ RES</t>
  </si>
  <si>
    <t>ŞAVŞAT HES</t>
  </si>
  <si>
    <t>GERİŞ RES</t>
  </si>
  <si>
    <t>EGE II-III-IV HES</t>
  </si>
  <si>
    <t>KAYADİBİ HES</t>
  </si>
  <si>
    <t>DEREKÖY HES</t>
  </si>
  <si>
    <t>KAZAN DOĞAL GAZ KOJENERASYON SANTRALİ</t>
  </si>
  <si>
    <t>KİPAŞ KAĞIT BİYOKÜTLE ENERJİ ÜRETİM TESİSİ</t>
  </si>
  <si>
    <t>ÇORUM-MECİTÖZÜ BES</t>
  </si>
  <si>
    <t>BİYOKÜTLE (TAR./ORMAN ATIK)</t>
  </si>
  <si>
    <t>KORUMA KLOR ALKALİ KOJENERASYON SANTRALİ</t>
  </si>
  <si>
    <t>GREENECO JES-3</t>
  </si>
  <si>
    <t>PINARBAŞI KOJENERASYON SANTRALİ</t>
  </si>
  <si>
    <t>ITC ANTALYA BİYOKÜTLE TESİSİ</t>
  </si>
  <si>
    <t>NİSA BİYOKÜTLE ELEKTRİK ÜRETİM TESİSİ</t>
  </si>
  <si>
    <t>KUMRULAR BİYOGAZ TESİSİ</t>
  </si>
  <si>
    <t>KAYADÜZÜ RES</t>
  </si>
  <si>
    <t>KOS ENERJİ SANTRALİ</t>
  </si>
  <si>
    <t>MARATON HES</t>
  </si>
  <si>
    <t>KİLLİK RES</t>
  </si>
  <si>
    <t>ARSLANBEY-OSB İZMİT</t>
  </si>
  <si>
    <t>DEVECİKONAĞI BARAJI VE HES</t>
  </si>
  <si>
    <t>ACWA POWER KIRIKKALE DGKÇS</t>
  </si>
  <si>
    <t>EFE-6 JES</t>
  </si>
  <si>
    <t>KARAMENDERES HES</t>
  </si>
  <si>
    <t>KIZILDERE-3 JES</t>
  </si>
  <si>
    <t>AFJES</t>
  </si>
  <si>
    <t>ABATEKS TEKSTİL DOĞALGAZ KOJENERASYON TESİSİ</t>
  </si>
  <si>
    <t>BİNATOM GEDİZ ELEKTRİK ÜRETİM TESİSİ</t>
  </si>
  <si>
    <t>PETKİM RES</t>
  </si>
  <si>
    <t>İSKENDERUN DEMİR VE ÇELİK TERMİK KUVVET SANTRALİ</t>
  </si>
  <si>
    <t>FO/KG/YFG</t>
  </si>
  <si>
    <t>BARBAROS RES</t>
  </si>
  <si>
    <t>KARGI BARAJI VE HES</t>
  </si>
  <si>
    <t>ÇARDAKLI REGÜLATÖRÜ VE HES</t>
  </si>
  <si>
    <t>GENERJİ HES</t>
  </si>
  <si>
    <t>MASPO JEOTERMAL ENERJİ TESİSİ IV</t>
  </si>
  <si>
    <t>ÇALIKOBASI HES</t>
  </si>
  <si>
    <t>DİZAYN TEKNİK ÇORLU TRİJENERASYON SANTRALİ</t>
  </si>
  <si>
    <t>BERGRES RES</t>
  </si>
  <si>
    <t>AİRRES-4 RES</t>
  </si>
  <si>
    <t>TİRE RES</t>
  </si>
  <si>
    <t>SEYDİOĞLU REGÜLATÖRÜ VE HES</t>
  </si>
  <si>
    <t>ÇAYIRHAN SODYUM SÜLFAT TESİSLERİ KOJENERASYON PROJESİ</t>
  </si>
  <si>
    <t>ÇAYHAN 2 HES</t>
  </si>
  <si>
    <t>AREL ENERJİ MANAVGAT BİYOKÜTLE TESİSİ</t>
  </si>
  <si>
    <t>MUŞ-DOĞAN REGÜLATÖRÜ VE HES</t>
  </si>
  <si>
    <t>ALAPLI KOJENERASYON TESİSİ</t>
  </si>
  <si>
    <t>DOĞANÇAY REGÜLATÖRÜ VE HES</t>
  </si>
  <si>
    <t>ETİ KROM PROSES ISISI KOJENERASYON SANTRALİ</t>
  </si>
  <si>
    <t>GEMCİLER KOJENERASYON TESİSİ</t>
  </si>
  <si>
    <t>GÜLLE ENTEGRE TEKSTİL İŞLETMELERİ EMLAK DAN. SAN. VE TİC. A.Ş. ÜRETİM TESİSİ</t>
  </si>
  <si>
    <t>ÖZMEN-1 JES</t>
  </si>
  <si>
    <t>AYBİGE REGÜLATÖRÜ VE HES</t>
  </si>
  <si>
    <t>ABS ALÇI YENİCE OTOPRODÜKTÖR SANTRALİ</t>
  </si>
  <si>
    <t>ÇAYALTI REGÜLATÖRÜ VE HES (1. SANTRAL)</t>
  </si>
  <si>
    <t>DELTA TERMİK KOMBİNE ÇEVRİM SANTRALİ</t>
  </si>
  <si>
    <t>GÜNEŞ HES</t>
  </si>
  <si>
    <t>TEPE RES</t>
  </si>
  <si>
    <t>KMK PAPER KÜTAHYA KAĞIT FABRİKASI KOJENERASYON SANTRALİ</t>
  </si>
  <si>
    <t>KASIMLAR BARAJI VE HES (KASIMLAR II HES)</t>
  </si>
  <si>
    <t>ANKAMALL AVM TRİJENERASYON TESİSİ</t>
  </si>
  <si>
    <t>ALES DOĞAL GAZ KOMBİNE ÇEVRİM SANTRALİ</t>
  </si>
  <si>
    <t>AYYILDIZ RES</t>
  </si>
  <si>
    <t>BUPİLİÇ SANTRALİ</t>
  </si>
  <si>
    <t>UZUNDERE II REGÜLATÖRÜ VE HES (ÇATALDERE III HES)</t>
  </si>
  <si>
    <t>KARDEMİR TERMİK-KOJENERASYON SANTRALİ</t>
  </si>
  <si>
    <t>Year</t>
    <phoneticPr fontId="5" type="noConversion"/>
  </si>
  <si>
    <t>Baseline Emission (tCO2e/y)</t>
  </si>
  <si>
    <t>Project Emission (tCo2e/y)</t>
  </si>
  <si>
    <t>Leakage     (tCo2e/y)</t>
  </si>
  <si>
    <t>Captured and destroyed  Methane by Project Activity (tCO2e/y)</t>
  </si>
  <si>
    <t>Average</t>
  </si>
  <si>
    <t>Years</t>
    <phoneticPr fontId="5" type="noConversion"/>
  </si>
  <si>
    <t>average</t>
    <phoneticPr fontId="5" type="noConversion"/>
  </si>
  <si>
    <r>
      <t>BE</t>
    </r>
    <r>
      <rPr>
        <b/>
        <vertAlign val="subscript"/>
        <sz val="12"/>
        <rFont val="Avenir Book"/>
        <family val="2"/>
      </rPr>
      <t>CH4,SWDS,y</t>
    </r>
  </si>
  <si>
    <r>
      <t>= φ*(1-f)*GWP</t>
    </r>
    <r>
      <rPr>
        <b/>
        <vertAlign val="subscript"/>
        <sz val="12"/>
        <rFont val="Avenir Book"/>
        <family val="2"/>
      </rPr>
      <t>CH4</t>
    </r>
    <r>
      <rPr>
        <b/>
        <sz val="12"/>
        <rFont val="Avenir Book"/>
        <family val="2"/>
      </rPr>
      <t>*(1-OX)*16/12*F*DOC</t>
    </r>
    <r>
      <rPr>
        <b/>
        <vertAlign val="subscript"/>
        <sz val="12"/>
        <rFont val="Avenir Book"/>
        <family val="2"/>
      </rPr>
      <t>f</t>
    </r>
    <r>
      <rPr>
        <b/>
        <sz val="12"/>
        <rFont val="Avenir Book"/>
        <family val="2"/>
      </rPr>
      <t>*MCF*</t>
    </r>
    <r>
      <rPr>
        <b/>
        <sz val="12"/>
        <color indexed="12"/>
        <rFont val="Avenir Book"/>
        <family val="2"/>
      </rPr>
      <t xml:space="preserve">∑x=1,y∑j </t>
    </r>
    <r>
      <rPr>
        <b/>
        <sz val="12"/>
        <rFont val="Avenir Book"/>
        <family val="2"/>
      </rPr>
      <t>W</t>
    </r>
    <r>
      <rPr>
        <b/>
        <vertAlign val="subscript"/>
        <sz val="12"/>
        <rFont val="Avenir Book"/>
        <family val="2"/>
      </rPr>
      <t>j,x</t>
    </r>
    <r>
      <rPr>
        <b/>
        <sz val="12"/>
        <rFont val="Avenir Book"/>
        <family val="2"/>
      </rPr>
      <t>*DOC</t>
    </r>
    <r>
      <rPr>
        <b/>
        <vertAlign val="subscript"/>
        <sz val="12"/>
        <rFont val="Avenir Book"/>
        <family val="2"/>
      </rPr>
      <t>j</t>
    </r>
    <r>
      <rPr>
        <b/>
        <sz val="12"/>
        <rFont val="Avenir Book"/>
        <family val="2"/>
      </rPr>
      <t>*e</t>
    </r>
    <r>
      <rPr>
        <b/>
        <vertAlign val="superscript"/>
        <sz val="12"/>
        <rFont val="Avenir Book"/>
        <family val="2"/>
      </rPr>
      <t>-kj*(y-x)</t>
    </r>
    <r>
      <rPr>
        <b/>
        <sz val="12"/>
        <rFont val="Avenir Book"/>
        <family val="2"/>
      </rPr>
      <t>*(1-e</t>
    </r>
    <r>
      <rPr>
        <b/>
        <vertAlign val="superscript"/>
        <sz val="12"/>
        <rFont val="Avenir Book"/>
        <family val="2"/>
      </rPr>
      <t>-kj</t>
    </r>
    <r>
      <rPr>
        <b/>
        <sz val="12"/>
        <rFont val="Avenir Book"/>
        <family val="2"/>
      </rPr>
      <t xml:space="preserve">) </t>
    </r>
  </si>
  <si>
    <r>
      <t>φ*(1-f)*GWP</t>
    </r>
    <r>
      <rPr>
        <b/>
        <vertAlign val="subscript"/>
        <sz val="12"/>
        <rFont val="Avenir Book"/>
        <family val="2"/>
      </rPr>
      <t>CH4</t>
    </r>
    <r>
      <rPr>
        <b/>
        <sz val="12"/>
        <rFont val="Avenir Book"/>
        <family val="2"/>
      </rPr>
      <t>*(1-OX)*16/12*F*DOC</t>
    </r>
    <r>
      <rPr>
        <b/>
        <vertAlign val="subscript"/>
        <sz val="12"/>
        <rFont val="Avenir Book"/>
        <family val="2"/>
      </rPr>
      <t>f</t>
    </r>
    <r>
      <rPr>
        <b/>
        <sz val="12"/>
        <rFont val="Avenir Book"/>
        <family val="2"/>
      </rPr>
      <t>*MCF</t>
    </r>
  </si>
  <si>
    <r>
      <t>W</t>
    </r>
    <r>
      <rPr>
        <b/>
        <vertAlign val="subscript"/>
        <sz val="12"/>
        <rFont val="Avenir Book"/>
        <family val="2"/>
      </rPr>
      <t>j,x</t>
    </r>
    <r>
      <rPr>
        <b/>
        <sz val="12"/>
        <rFont val="Avenir Book"/>
        <family val="2"/>
      </rPr>
      <t>*DOC</t>
    </r>
    <r>
      <rPr>
        <b/>
        <vertAlign val="subscript"/>
        <sz val="12"/>
        <rFont val="Avenir Book"/>
        <family val="2"/>
      </rPr>
      <t>j</t>
    </r>
  </si>
  <si>
    <t>2nd Crediting Period</t>
  </si>
  <si>
    <t>Baseline Emission of the Grid which will be subsituted by Samsun Landfill Project</t>
  </si>
  <si>
    <t>Years</t>
  </si>
  <si>
    <t>Capacity Of the electrict engine (MWe)</t>
  </si>
  <si>
    <t>Number of Working Hours (h)</t>
  </si>
  <si>
    <t>Electricity to be generated (MWh)</t>
  </si>
  <si>
    <t>Baseline Emissions</t>
  </si>
  <si>
    <t>EFgrid from PDD</t>
  </si>
  <si>
    <t>Year</t>
  </si>
  <si>
    <t>Samsun Landfill Gas Recovery and Power Generation Project</t>
  </si>
  <si>
    <t>Samsun, Turkey</t>
  </si>
  <si>
    <t>Basic Parameters to calculate methane production</t>
  </si>
  <si>
    <t>Default value as per "Emission from solid waste disposal sites" Ver.08.0</t>
  </si>
  <si>
    <t>MAT</t>
    <phoneticPr fontId="5" type="noConversion"/>
  </si>
  <si>
    <t>℃</t>
  </si>
  <si>
    <t>https://www.mgm.gov.tr/veridegerlendirme/il-ve-ilceler-istatistik.aspx?k=A&amp;m=SAMSUN</t>
  </si>
  <si>
    <t>MAP/PET</t>
    <phoneticPr fontId="5" type="noConversion"/>
  </si>
  <si>
    <t>a</t>
    <phoneticPr fontId="5" type="noConversion"/>
  </si>
  <si>
    <t>b</t>
    <phoneticPr fontId="5" type="noConversion"/>
  </si>
  <si>
    <t>c</t>
    <phoneticPr fontId="5" type="noConversion"/>
  </si>
  <si>
    <t xml:space="preserve">d </t>
    <phoneticPr fontId="5" type="noConversion"/>
  </si>
  <si>
    <t>e</t>
    <phoneticPr fontId="5" type="noConversion"/>
  </si>
  <si>
    <t>f</t>
    <phoneticPr fontId="5" type="noConversion"/>
  </si>
  <si>
    <t>j</t>
    <phoneticPr fontId="5" type="noConversion"/>
  </si>
  <si>
    <t>Wood and wood products</t>
    <phoneticPr fontId="5" type="noConversion"/>
  </si>
  <si>
    <t>Pulp, paper and cardborad</t>
    <phoneticPr fontId="5" type="noConversion"/>
  </si>
  <si>
    <t>Food,food waste,beverages and tobacco</t>
    <phoneticPr fontId="5" type="noConversion"/>
  </si>
  <si>
    <t>Textiles</t>
    <phoneticPr fontId="5" type="noConversion"/>
  </si>
  <si>
    <t>Methane Capture Efficiency</t>
  </si>
  <si>
    <t>per prefeasibility study of Samsun landfill gas project</t>
  </si>
  <si>
    <t>Activity Report</t>
  </si>
  <si>
    <t>Total Capacity by the end of 2017 (MW)=</t>
  </si>
  <si>
    <t>https://cdm.unfccc.int/methodologies/PAmethodologies/tools/am-tool-09-v2.0.pdf</t>
  </si>
  <si>
    <t xml:space="preserve">Reciprocal gas engine </t>
  </si>
  <si>
    <t>New units
(after 2012)</t>
  </si>
  <si>
    <t>Oil/Natural Gas</t>
  </si>
  <si>
    <t>Open cycle gas turbine</t>
  </si>
  <si>
    <t>Combined cycle gas turbine</t>
  </si>
  <si>
    <t>Biomass</t>
  </si>
  <si>
    <t>Wom</t>
  </si>
  <si>
    <t>Wbm</t>
  </si>
  <si>
    <t>https://unfccc.int/sites/default/files/7_edited__ghg_inv_guidelines_cleared_dv_lg_ks_dv.pdf</t>
  </si>
  <si>
    <t>Where</t>
    <phoneticPr fontId="1" type="noConversion"/>
  </si>
  <si>
    <t>=</t>
    <phoneticPr fontId="2" type="noConversion"/>
  </si>
  <si>
    <t>x</t>
    <phoneticPr fontId="2" type="noConversion"/>
  </si>
  <si>
    <t>Total</t>
    <phoneticPr fontId="1" type="noConversion"/>
  </si>
  <si>
    <t>Year</t>
    <phoneticPr fontId="2" type="noConversion"/>
  </si>
  <si>
    <t>Annual Waste dumped (t/y)</t>
    <phoneticPr fontId="2" type="noConversion"/>
  </si>
  <si>
    <t>Wa,x*DOCa</t>
    <phoneticPr fontId="2" type="noConversion"/>
  </si>
  <si>
    <t>Wb,x*DOCb</t>
    <phoneticPr fontId="2" type="noConversion"/>
  </si>
  <si>
    <t>Wc,x*DOCc</t>
    <phoneticPr fontId="2" type="noConversion"/>
  </si>
  <si>
    <t>Wd,x*DOCd</t>
    <phoneticPr fontId="2" type="noConversion"/>
  </si>
  <si>
    <t>We,x*DOCe</t>
    <phoneticPr fontId="2" type="noConversion"/>
  </si>
  <si>
    <t>Wf,x*DOCf</t>
    <phoneticPr fontId="2" type="noConversion"/>
  </si>
  <si>
    <t>y</t>
    <phoneticPr fontId="2" type="noConversion"/>
  </si>
  <si>
    <t>Period</t>
  </si>
  <si>
    <t>Project Name</t>
    <phoneticPr fontId="2" type="noConversion"/>
  </si>
  <si>
    <t>Project  Location</t>
    <phoneticPr fontId="2" type="noConversion"/>
  </si>
  <si>
    <t>Parameter</t>
    <phoneticPr fontId="2" type="noConversion"/>
  </si>
  <si>
    <t>Value</t>
    <phoneticPr fontId="2" type="noConversion"/>
  </si>
  <si>
    <t>Unit</t>
    <phoneticPr fontId="2" type="noConversion"/>
  </si>
  <si>
    <t>Source/reference</t>
    <phoneticPr fontId="2" type="noConversion"/>
  </si>
  <si>
    <t>φ</t>
    <phoneticPr fontId="2" type="noConversion"/>
  </si>
  <si>
    <t>N/A</t>
    <phoneticPr fontId="2" type="noConversion"/>
  </si>
  <si>
    <t>f</t>
    <phoneticPr fontId="2" type="noConversion"/>
  </si>
  <si>
    <t>OX</t>
    <phoneticPr fontId="2" type="noConversion"/>
  </si>
  <si>
    <t>F</t>
    <phoneticPr fontId="2" type="noConversion"/>
  </si>
  <si>
    <t>MCF</t>
    <phoneticPr fontId="2" type="noConversion"/>
  </si>
  <si>
    <t>%</t>
    <phoneticPr fontId="2" type="noConversion"/>
  </si>
  <si>
    <t>Annual waste dumped</t>
    <phoneticPr fontId="2" type="noConversion"/>
  </si>
  <si>
    <t>t/y</t>
    <phoneticPr fontId="2" type="noConversion"/>
  </si>
  <si>
    <t>Annual Biogas Amount (m3)*</t>
  </si>
  <si>
    <t>Annual Total LFG generation on site, as m3**</t>
  </si>
  <si>
    <t>*,** : Reference: These amounts have taken from Samsun Avdan Environmental and Tecnical Report.</t>
  </si>
  <si>
    <t>&gt;1, wet</t>
  </si>
  <si>
    <t>Source: Waste characterization study of Samsun landfill gas project</t>
  </si>
  <si>
    <t xml:space="preserve">Garden,yard and park waste </t>
  </si>
  <si>
    <t>Glass,plastic, metal,etc</t>
  </si>
  <si>
    <t>**</t>
  </si>
  <si>
    <t xml:space="preserve"> ** Source Explanation</t>
  </si>
  <si>
    <t>Source explanation :</t>
  </si>
  <si>
    <t>a)Wood and wood products: 12 (0.6 wwod+ other categories 11.4 according to Table 5</t>
  </si>
  <si>
    <t>b) Pulp, paper and cardboard:13.7  (papercardboard 13.7 according to table 5)</t>
  </si>
  <si>
    <t>c) Food, food waste, beverages and tobacco: 39.5 (32- Biogdegradable Kitchen/canteen Waste+ 0.1 other biodegradable waste + 7.4 Fine fraction according to table 5)</t>
  </si>
  <si>
    <t>d) Textile: 7 (table 5 and table 14)</t>
  </si>
  <si>
    <t>e) Garden,yard and park waste: 9.2 (2.3 park waste + 3.7 composites+ 3.2  inert materials according to table 5)</t>
  </si>
  <si>
    <t>f) Glass,plastic, metal,etc: 18.6  (4 glass+13.5 plastic+metal 1.1 according to table 5)</t>
  </si>
  <si>
    <t>Mass faction (dry)</t>
  </si>
  <si>
    <t>^</t>
  </si>
  <si>
    <t>1/01/2025-08/02/2025</t>
  </si>
  <si>
    <t>01/01/2025-08/02/2025</t>
  </si>
  <si>
    <t>Biogas Percentage (%)</t>
  </si>
  <si>
    <t>*</t>
  </si>
  <si>
    <t>DOCj (dry)^</t>
  </si>
  <si>
    <r>
      <t>EF</t>
    </r>
    <r>
      <rPr>
        <b/>
        <vertAlign val="subscript"/>
        <sz val="12"/>
        <color indexed="8"/>
        <rFont val="Avenir Book"/>
        <family val="2"/>
      </rPr>
      <t xml:space="preserve">CO2 </t>
    </r>
    <r>
      <rPr>
        <b/>
        <sz val="12"/>
        <color indexed="8"/>
        <rFont val="Avenir Book"/>
        <family val="2"/>
      </rPr>
      <t>Values (</t>
    </r>
    <r>
      <rPr>
        <sz val="12"/>
        <color indexed="8"/>
        <rFont val="Avenir Book"/>
        <family val="2"/>
      </rPr>
      <t>t CO2/GJ)</t>
    </r>
  </si>
  <si>
    <r>
      <rPr>
        <b/>
        <i/>
        <sz val="12"/>
        <rFont val="Avenir Book"/>
        <family val="2"/>
      </rPr>
      <t xml:space="preserve">NOTE: </t>
    </r>
    <r>
      <rPr>
        <sz val="12"/>
        <rFont val="Avenir Book"/>
        <family val="2"/>
      </rPr>
      <t xml:space="preserve">Simple OM, Option B has been chosen as the OM calculation method. OM Emission Factor value has been calculated based on the </t>
    </r>
    <r>
      <rPr>
        <b/>
        <i/>
        <sz val="12"/>
        <rFont val="Avenir Book"/>
        <family val="2"/>
      </rPr>
      <t>Formula #2</t>
    </r>
    <r>
      <rPr>
        <sz val="12"/>
        <rFont val="Avenir Book"/>
        <family val="2"/>
      </rPr>
      <t xml:space="preserve"> of the methodology.</t>
    </r>
  </si>
  <si>
    <t>kg CO2/GJ</t>
  </si>
  <si>
    <r>
      <rPr>
        <b/>
        <i/>
        <sz val="12"/>
        <rFont val="Avenir Book"/>
        <family val="2"/>
      </rPr>
      <t>NOTE:</t>
    </r>
    <r>
      <rPr>
        <i/>
        <sz val="12"/>
        <rFont val="Avenir Book"/>
        <family val="2"/>
      </rPr>
      <t xml:space="preserve"> The heating values of fuels are given in tCal in TEIAS website. This values are converted into tJoule by using the conversion factor of 4.1868 Joule/Cal. Please see the following sheet.</t>
    </r>
  </si>
  <si>
    <r>
      <t>EF</t>
    </r>
    <r>
      <rPr>
        <sz val="7"/>
        <rFont val="Avenir Book"/>
        <family val="2"/>
      </rPr>
      <t>Grid,OM,y</t>
    </r>
  </si>
  <si>
    <r>
      <t>EF</t>
    </r>
    <r>
      <rPr>
        <sz val="7"/>
        <rFont val="Avenir Book"/>
        <family val="2"/>
      </rPr>
      <t>Grid,BM,y</t>
    </r>
  </si>
  <si>
    <r>
      <t>EF</t>
    </r>
    <r>
      <rPr>
        <sz val="7"/>
        <rFont val="Avenir Book"/>
        <family val="2"/>
      </rPr>
      <t>Grid,CM,y</t>
    </r>
  </si>
  <si>
    <r>
      <rPr>
        <b/>
        <i/>
        <sz val="12"/>
        <rFont val="Avenir Book"/>
        <family val="2"/>
      </rPr>
      <t xml:space="preserve">Source: </t>
    </r>
    <r>
      <rPr>
        <i/>
        <sz val="12"/>
        <rFont val="Avenir Book"/>
        <family val="2"/>
      </rPr>
      <t>2006 IPCC Guidelines for National Greenhouse Gas Inventories, Volume 2 Energy, Chapter 1 Introduction, Table 1.4</t>
    </r>
  </si>
  <si>
    <r>
      <t>Captured methane = (BE</t>
    </r>
    <r>
      <rPr>
        <b/>
        <vertAlign val="subscript"/>
        <sz val="12"/>
        <rFont val="Avenir Book"/>
        <family val="2"/>
      </rPr>
      <t xml:space="preserve">CH4,SWDS,y </t>
    </r>
    <r>
      <rPr>
        <b/>
        <sz val="12"/>
        <rFont val="Avenir Book"/>
        <family val="2"/>
      </rPr>
      <t>* Capture Efficiency</t>
    </r>
    <r>
      <rPr>
        <b/>
        <vertAlign val="subscript"/>
        <sz val="12"/>
        <rFont val="Avenir Book"/>
        <family val="2"/>
      </rPr>
      <t>)</t>
    </r>
  </si>
  <si>
    <r>
      <t>Emission Reductions (tCO</t>
    </r>
    <r>
      <rPr>
        <b/>
        <vertAlign val="subscript"/>
        <sz val="12"/>
        <color indexed="8"/>
        <rFont val="Avenir Book"/>
        <family val="2"/>
      </rPr>
      <t>2</t>
    </r>
    <r>
      <rPr>
        <b/>
        <sz val="12"/>
        <color indexed="8"/>
        <rFont val="Avenir Book"/>
        <family val="2"/>
      </rPr>
      <t>e/y)</t>
    </r>
  </si>
  <si>
    <r>
      <t>MD</t>
    </r>
    <r>
      <rPr>
        <b/>
        <vertAlign val="subscript"/>
        <sz val="12"/>
        <color indexed="8"/>
        <rFont val="Avenir Book"/>
        <family val="2"/>
      </rPr>
      <t>project,y</t>
    </r>
    <r>
      <rPr>
        <b/>
        <sz val="12"/>
        <color indexed="8"/>
        <rFont val="Avenir Book"/>
        <family val="2"/>
      </rPr>
      <t xml:space="preserve"> (tCO2e/y)  </t>
    </r>
  </si>
  <si>
    <r>
      <t>BE</t>
    </r>
    <r>
      <rPr>
        <b/>
        <vertAlign val="subscript"/>
        <sz val="12"/>
        <color indexed="8"/>
        <rFont val="Avenir Book"/>
        <family val="2"/>
      </rPr>
      <t>electricity</t>
    </r>
    <r>
      <rPr>
        <b/>
        <sz val="12"/>
        <color indexed="8"/>
        <rFont val="Avenir Book"/>
        <family val="2"/>
      </rPr>
      <t xml:space="preserve"> (tCO2e/y)</t>
    </r>
  </si>
  <si>
    <r>
      <t>Annual emission reductions (tCO</t>
    </r>
    <r>
      <rPr>
        <b/>
        <vertAlign val="subscript"/>
        <sz val="12"/>
        <rFont val="Avenir Book"/>
        <family val="2"/>
      </rPr>
      <t>2</t>
    </r>
    <r>
      <rPr>
        <b/>
        <sz val="12"/>
        <rFont val="Avenir Book"/>
        <family val="2"/>
      </rPr>
      <t>e)</t>
    </r>
  </si>
  <si>
    <r>
      <t>İLAVE KURULU GÜÇ MW</t>
    </r>
    <r>
      <rPr>
        <b/>
        <vertAlign val="subscript"/>
        <sz val="12"/>
        <rFont val="Avenir Book"/>
        <family val="2"/>
      </rPr>
      <t>e</t>
    </r>
  </si>
  <si>
    <r>
      <t>ADDITIONAL INSTALLED CAPACITY MW</t>
    </r>
    <r>
      <rPr>
        <b/>
        <vertAlign val="subscript"/>
        <sz val="12"/>
        <rFont val="Avenir Book"/>
        <family val="2"/>
      </rPr>
      <t>e</t>
    </r>
  </si>
  <si>
    <r>
      <t>GWP</t>
    </r>
    <r>
      <rPr>
        <vertAlign val="subscript"/>
        <sz val="12"/>
        <rFont val="Avenir Book"/>
        <family val="2"/>
      </rPr>
      <t>CH4</t>
    </r>
  </si>
  <si>
    <r>
      <t>tCO</t>
    </r>
    <r>
      <rPr>
        <vertAlign val="subscript"/>
        <sz val="12"/>
        <rFont val="Avenir Book"/>
        <family val="2"/>
      </rPr>
      <t>2</t>
    </r>
    <r>
      <rPr>
        <sz val="12"/>
        <rFont val="Avenir Book"/>
        <family val="2"/>
      </rPr>
      <t>e/tCH</t>
    </r>
    <r>
      <rPr>
        <vertAlign val="subscript"/>
        <sz val="12"/>
        <rFont val="Avenir Book"/>
        <family val="2"/>
      </rPr>
      <t>4</t>
    </r>
  </si>
  <si>
    <r>
      <t>DOC</t>
    </r>
    <r>
      <rPr>
        <vertAlign val="subscript"/>
        <sz val="12"/>
        <rFont val="Avenir Book"/>
        <family val="2"/>
      </rPr>
      <t>f</t>
    </r>
  </si>
  <si>
    <r>
      <rPr>
        <sz val="12"/>
        <color rgb="FFFF0000"/>
        <rFont val="Avenir Book"/>
        <family val="2"/>
      </rPr>
      <t>*</t>
    </r>
    <r>
      <rPr>
        <sz val="12"/>
        <rFont val="Avenir Book"/>
        <family val="2"/>
      </rPr>
      <t>Kj (MAT&lt;=20,MAP/PET&gt;1)</t>
    </r>
  </si>
  <si>
    <t>2019*</t>
  </si>
  <si>
    <t xml:space="preserve"> (PP has only use this amount for 2019)</t>
  </si>
  <si>
    <t>09/02/2018-31/12/2018</t>
  </si>
  <si>
    <t>(PP can produce this volume for 2019)</t>
  </si>
  <si>
    <t xml:space="preserve">2019* </t>
  </si>
  <si>
    <t>PP can only produce credits  between these dates for 2019</t>
  </si>
  <si>
    <t>Total (2018-2025)</t>
  </si>
  <si>
    <t>Historical data average of Samsun LFG</t>
  </si>
  <si>
    <t>* The selection of appropriate kj values are made according to a “boreal and temperate” and “wet” climate.</t>
  </si>
  <si>
    <t xml:space="preserve">Wet Basis is used. </t>
  </si>
  <si>
    <t>* 05.09.2019-31.12.2019</t>
  </si>
  <si>
    <t>* 05/09/2019-31/12/2019</t>
  </si>
  <si>
    <t>*05/09/2019-31/12/2019</t>
  </si>
  <si>
    <t>05/09/2019-31/12/2019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</si>
</sst>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7">
    <numFmt numFmtId="164" formatCode="_-* #,##0.00_-;\-* #,##0.00_-;_-* &quot;-&quot;??_-;_-@_-"/>
    <numFmt numFmtId="165" formatCode="_-* #,##0.00\ _T_R_Y_-;\-* #,##0.00\ _T_R_Y_-;_-* &quot;-&quot;??\ _T_R_Y_-;_-@_-"/>
    <numFmt numFmtId="166" formatCode="_-* #,##0.00\ _₺_-;\-* #,##0.00\ _₺_-;_-* &quot;-&quot;??\ _₺_-;_-@_-"/>
    <numFmt numFmtId="167" formatCode="_-* #,##0.00\ _Y_T_L_-;\-* #,##0.00\ _Y_T_L_-;_-* &quot;-&quot;??\ _Y_T_L_-;_-@_-"/>
    <numFmt numFmtId="168" formatCode="_-* #,##0.00\ _л_в_-;\-* #,##0.00\ _л_в_-;_-* &quot;-&quot;??\ _л_в_-;_-@_-"/>
    <numFmt numFmtId="169" formatCode="0.0"/>
    <numFmt numFmtId="170" formatCode="#,##0.0"/>
    <numFmt numFmtId="171" formatCode="0.0000"/>
    <numFmt numFmtId="172" formatCode="#,##0.000"/>
    <numFmt numFmtId="173" formatCode="0.0%"/>
    <numFmt numFmtId="174" formatCode="#,##0.0000"/>
    <numFmt numFmtId="175" formatCode="0.000"/>
    <numFmt numFmtId="176" formatCode="0.00000"/>
    <numFmt numFmtId="177" formatCode="dd/mm/yyyy;@"/>
    <numFmt numFmtId="178" formatCode="#,##0.0000_ ;\-#,##0.0000\ "/>
    <numFmt numFmtId="179" formatCode="_-* #,##0.000\ _T_R_Y_-;\-* #,##0.000\ _T_R_Y_-;_-* &quot;-&quot;???\ _T_R_Y_-;_-@_-"/>
    <numFmt numFmtId="180" formatCode="#,##0_ "/>
  </numFmts>
  <fonts count="44">
    <font>
      <sz val="10"/>
      <name val="Arial"/>
      <family val="2"/>
    </font>
    <font>
      <sz val="10"/>
      <name val="Arial"/>
      <family val="2"/>
    </font>
    <font>
      <sz val="12"/>
      <color indexed="8"/>
      <name val="Times New Roman"/>
      <family val="1"/>
    </font>
    <font>
      <u/>
      <sz val="10"/>
      <color indexed="12"/>
      <name val="Arial"/>
      <family val="2"/>
    </font>
    <font>
      <sz val="8"/>
      <name val="Arial"/>
      <family val="2"/>
    </font>
    <font>
      <sz val="12"/>
      <name val="Arial Tur"/>
      <family val="2"/>
    </font>
    <font>
      <sz val="10"/>
      <name val="Arial"/>
      <family val="2"/>
    </font>
    <font>
      <sz val="10"/>
      <name val="Arial"/>
      <family val="2"/>
    </font>
    <font>
      <sz val="9"/>
      <color indexed="81"/>
      <name val="Tahoma"/>
      <family val="2"/>
    </font>
    <font>
      <sz val="9"/>
      <color indexed="81"/>
      <name val="Calibri"/>
      <family val="2"/>
    </font>
    <font>
      <b/>
      <sz val="9"/>
      <color indexed="81"/>
      <name val="Tahoma"/>
      <family val="2"/>
    </font>
    <font>
      <sz val="9"/>
      <color indexed="8"/>
      <name val="Tahoma"/>
      <family val="2"/>
    </font>
    <font>
      <b/>
      <sz val="12"/>
      <name val="Avenir Book"/>
      <family val="2"/>
    </font>
    <font>
      <b/>
      <vertAlign val="subscript"/>
      <sz val="12"/>
      <name val="Avenir Book"/>
      <family val="2"/>
    </font>
    <font>
      <b/>
      <sz val="12"/>
      <color indexed="12"/>
      <name val="Avenir Book"/>
      <family val="2"/>
    </font>
    <font>
      <b/>
      <vertAlign val="superscript"/>
      <sz val="12"/>
      <name val="Avenir Book"/>
      <family val="2"/>
    </font>
    <font>
      <sz val="9"/>
      <color indexed="81"/>
      <name val="Arial"/>
      <family val="2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2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venir Book"/>
      <family val="2"/>
    </font>
    <font>
      <sz val="9"/>
      <color rgb="FF000000"/>
      <name val="Tahoma"/>
      <family val="2"/>
      <charset val="162"/>
    </font>
    <font>
      <b/>
      <sz val="12"/>
      <color rgb="FFFF0000"/>
      <name val="Avenir Book"/>
      <family val="2"/>
    </font>
    <font>
      <b/>
      <sz val="10"/>
      <color rgb="FF000000"/>
      <name val="Tahoma"/>
      <family val="2"/>
      <charset val="162"/>
    </font>
    <font>
      <sz val="10"/>
      <color rgb="FF000000"/>
      <name val="Tahoma"/>
      <family val="2"/>
      <charset val="162"/>
    </font>
    <font>
      <u/>
      <sz val="10"/>
      <color indexed="12"/>
      <name val="Avenir Book"/>
      <family val="2"/>
    </font>
    <font>
      <sz val="12"/>
      <color theme="1"/>
      <name val="Avenir Book"/>
      <family val="2"/>
    </font>
    <font>
      <b/>
      <vertAlign val="subscript"/>
      <sz val="12"/>
      <color indexed="8"/>
      <name val="Avenir Book"/>
      <family val="2"/>
    </font>
    <font>
      <b/>
      <sz val="12"/>
      <color indexed="8"/>
      <name val="Avenir Book"/>
      <family val="2"/>
    </font>
    <font>
      <sz val="12"/>
      <color indexed="8"/>
      <name val="Avenir Book"/>
      <family val="2"/>
    </font>
    <font>
      <b/>
      <sz val="12"/>
      <color theme="1"/>
      <name val="Avenir Book"/>
      <family val="2"/>
    </font>
    <font>
      <sz val="12"/>
      <name val="Avenir Book"/>
      <family val="2"/>
    </font>
    <font>
      <sz val="12"/>
      <color rgb="FF000000"/>
      <name val="Avenir Book"/>
      <family val="2"/>
    </font>
    <font>
      <b/>
      <i/>
      <sz val="12"/>
      <name val="Avenir Book"/>
      <family val="2"/>
    </font>
    <font>
      <sz val="12"/>
      <color rgb="FFFF0000"/>
      <name val="Avenir Book"/>
      <family val="2"/>
    </font>
    <font>
      <i/>
      <sz val="12"/>
      <name val="Avenir Book"/>
      <family val="2"/>
    </font>
    <font>
      <u/>
      <sz val="12"/>
      <color indexed="12"/>
      <name val="Avenir Book"/>
      <family val="2"/>
    </font>
    <font>
      <sz val="7"/>
      <name val="Avenir Book"/>
      <family val="2"/>
    </font>
    <font>
      <i/>
      <u/>
      <sz val="12"/>
      <color indexed="12"/>
      <name val="Avenir Book"/>
      <family val="2"/>
    </font>
    <font>
      <b/>
      <i/>
      <u/>
      <sz val="12"/>
      <name val="Avenir Book"/>
      <family val="2"/>
    </font>
    <font>
      <vertAlign val="subscript"/>
      <sz val="12"/>
      <name val="Avenir Book"/>
      <family val="2"/>
    </font>
    <font>
      <b/>
      <i/>
      <sz val="12"/>
      <color theme="1"/>
      <name val="Avenir Book"/>
      <family val="2"/>
    </font>
  </fonts>
  <fills count="1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4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</borders>
  <cellStyleXfs count="18">
    <xf numFmtId="0" fontId="0" fillId="0" borderId="0"/>
    <xf numFmtId="168" fontId="7" fillId="0" borderId="0" applyFont="0" applyFill="0" applyBorder="0" applyAlignment="0" applyProtection="0"/>
    <xf numFmtId="168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7" fillId="0" borderId="0" applyFont="0" applyFill="0" applyBorder="0" applyAlignment="0" applyProtection="0"/>
    <xf numFmtId="165" fontId="20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9" fillId="0" borderId="0"/>
    <xf numFmtId="0" fontId="21" fillId="0" borderId="0"/>
    <xf numFmtId="0" fontId="6" fillId="0" borderId="0"/>
    <xf numFmtId="0" fontId="20" fillId="0" borderId="0"/>
    <xf numFmtId="9" fontId="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556">
    <xf numFmtId="0" fontId="0" fillId="0" borderId="0" xfId="0"/>
    <xf numFmtId="0" fontId="12" fillId="10" borderId="0" xfId="0" applyFont="1" applyFill="1"/>
    <xf numFmtId="0" fontId="12" fillId="10" borderId="0" xfId="0" quotePrefix="1" applyFont="1" applyFill="1"/>
    <xf numFmtId="0" fontId="12" fillId="0" borderId="0" xfId="0" applyFont="1"/>
    <xf numFmtId="0" fontId="12" fillId="10" borderId="0" xfId="0" applyFont="1" applyFill="1" applyAlignment="1">
      <alignment horizontal="center"/>
    </xf>
    <xf numFmtId="0" fontId="24" fillId="10" borderId="0" xfId="0" applyFont="1" applyFill="1" applyAlignment="1">
      <alignment horizontal="left"/>
    </xf>
    <xf numFmtId="0" fontId="28" fillId="0" borderId="0" xfId="13" applyFont="1"/>
    <xf numFmtId="0" fontId="28" fillId="2" borderId="0" xfId="13" applyFont="1" applyFill="1"/>
    <xf numFmtId="175" fontId="28" fillId="0" borderId="0" xfId="13" applyNumberFormat="1" applyFont="1"/>
    <xf numFmtId="0" fontId="27" fillId="0" borderId="0" xfId="9" applyFont="1" applyAlignment="1" applyProtection="1"/>
    <xf numFmtId="2" fontId="28" fillId="0" borderId="0" xfId="13" applyNumberFormat="1" applyFont="1"/>
    <xf numFmtId="165" fontId="12" fillId="2" borderId="14" xfId="8" applyFont="1" applyFill="1" applyBorder="1" applyAlignment="1">
      <alignment vertical="center"/>
    </xf>
    <xf numFmtId="0" fontId="28" fillId="0" borderId="14" xfId="13" applyFont="1" applyBorder="1"/>
    <xf numFmtId="0" fontId="12" fillId="0" borderId="14" xfId="10" applyFont="1" applyBorder="1" applyAlignment="1">
      <alignment horizontal="center" wrapText="1"/>
    </xf>
    <xf numFmtId="0" fontId="32" fillId="0" borderId="14" xfId="13" applyFont="1" applyBorder="1" applyAlignment="1">
      <alignment vertical="center" wrapText="1"/>
    </xf>
    <xf numFmtId="171" fontId="28" fillId="0" borderId="14" xfId="13" applyNumberFormat="1" applyFont="1" applyBorder="1"/>
    <xf numFmtId="0" fontId="28" fillId="7" borderId="14" xfId="13" applyFont="1" applyFill="1" applyBorder="1"/>
    <xf numFmtId="0" fontId="12" fillId="0" borderId="14" xfId="10" applyFont="1" applyBorder="1" applyAlignment="1">
      <alignment horizontal="center"/>
    </xf>
    <xf numFmtId="2" fontId="28" fillId="0" borderId="14" xfId="13" applyNumberFormat="1" applyFont="1" applyBorder="1"/>
    <xf numFmtId="175" fontId="28" fillId="0" borderId="14" xfId="13" applyNumberFormat="1" applyFont="1" applyBorder="1"/>
    <xf numFmtId="2" fontId="33" fillId="0" borderId="14" xfId="10" applyNumberFormat="1" applyFont="1" applyBorder="1" applyAlignment="1">
      <alignment horizontal="right" wrapText="1"/>
    </xf>
    <xf numFmtId="0" fontId="32" fillId="0" borderId="14" xfId="13" applyFont="1" applyBorder="1" applyAlignment="1">
      <alignment horizontal="center"/>
    </xf>
    <xf numFmtId="0" fontId="33" fillId="0" borderId="0" xfId="10" applyFont="1"/>
    <xf numFmtId="2" fontId="33" fillId="0" borderId="14" xfId="10" applyNumberFormat="1" applyFont="1" applyBorder="1" applyAlignment="1">
      <alignment horizontal="right" vertical="center" wrapText="1"/>
    </xf>
    <xf numFmtId="2" fontId="33" fillId="0" borderId="14" xfId="10" applyNumberFormat="1" applyFont="1" applyBorder="1" applyAlignment="1">
      <alignment horizontal="center" vertical="center" wrapText="1"/>
    </xf>
    <xf numFmtId="2" fontId="33" fillId="0" borderId="14" xfId="10" applyNumberFormat="1" applyFont="1" applyBorder="1" applyAlignment="1">
      <alignment horizontal="right" vertical="center"/>
    </xf>
    <xf numFmtId="0" fontId="28" fillId="0" borderId="38" xfId="13" applyFont="1" applyBorder="1"/>
    <xf numFmtId="175" fontId="28" fillId="7" borderId="14" xfId="13" applyNumberFormat="1" applyFont="1" applyFill="1" applyBorder="1"/>
    <xf numFmtId="0" fontId="28" fillId="2" borderId="14" xfId="13" applyFont="1" applyFill="1" applyBorder="1"/>
    <xf numFmtId="0" fontId="34" fillId="8" borderId="14" xfId="0" applyFont="1" applyFill="1" applyBorder="1"/>
    <xf numFmtId="0" fontId="34" fillId="0" borderId="14" xfId="0" applyFont="1" applyBorder="1"/>
    <xf numFmtId="0" fontId="34" fillId="7" borderId="14" xfId="0" applyFont="1" applyFill="1" applyBorder="1"/>
    <xf numFmtId="0" fontId="34" fillId="0" borderId="0" xfId="0" applyFont="1"/>
    <xf numFmtId="0" fontId="12" fillId="0" borderId="0" xfId="10" applyFont="1"/>
    <xf numFmtId="0" fontId="33" fillId="0" borderId="0" xfId="0" applyFont="1"/>
    <xf numFmtId="0" fontId="12" fillId="4" borderId="14" xfId="0" applyFont="1" applyFill="1" applyBorder="1"/>
    <xf numFmtId="0" fontId="31" fillId="0" borderId="14" xfId="0" applyFont="1" applyBorder="1"/>
    <xf numFmtId="170" fontId="33" fillId="0" borderId="14" xfId="0" applyNumberFormat="1" applyFont="1" applyBorder="1"/>
    <xf numFmtId="174" fontId="33" fillId="0" borderId="14" xfId="0" applyNumberFormat="1" applyFont="1" applyBorder="1"/>
    <xf numFmtId="10" fontId="33" fillId="0" borderId="0" xfId="14" applyNumberFormat="1" applyFont="1"/>
    <xf numFmtId="3" fontId="33" fillId="0" borderId="14" xfId="0" applyNumberFormat="1" applyFont="1" applyBorder="1"/>
    <xf numFmtId="0" fontId="33" fillId="0" borderId="14" xfId="0" applyFont="1" applyBorder="1"/>
    <xf numFmtId="0" fontId="31" fillId="0" borderId="0" xfId="0" applyFont="1"/>
    <xf numFmtId="3" fontId="33" fillId="0" borderId="0" xfId="0" applyNumberFormat="1" applyFont="1"/>
    <xf numFmtId="3" fontId="33" fillId="0" borderId="15" xfId="0" applyNumberFormat="1" applyFont="1" applyBorder="1"/>
    <xf numFmtId="0" fontId="12" fillId="0" borderId="14" xfId="0" applyFont="1" applyBorder="1"/>
    <xf numFmtId="3" fontId="12" fillId="0" borderId="14" xfId="0" applyNumberFormat="1" applyFont="1" applyBorder="1"/>
    <xf numFmtId="0" fontId="12" fillId="4" borderId="29" xfId="0" applyFont="1" applyFill="1" applyBorder="1"/>
    <xf numFmtId="0" fontId="12" fillId="0" borderId="0" xfId="0" applyFont="1" applyAlignment="1">
      <alignment horizontal="center" vertical="center"/>
    </xf>
    <xf numFmtId="0" fontId="33" fillId="0" borderId="0" xfId="0" applyFont="1" applyAlignment="1">
      <alignment horizontal="center"/>
    </xf>
    <xf numFmtId="9" fontId="33" fillId="0" borderId="0" xfId="14" applyFont="1" applyFill="1" applyBorder="1" applyAlignment="1">
      <alignment horizontal="center"/>
    </xf>
    <xf numFmtId="0" fontId="33" fillId="4" borderId="4" xfId="0" applyFont="1" applyFill="1" applyBorder="1"/>
    <xf numFmtId="0" fontId="33" fillId="4" borderId="1" xfId="0" applyFont="1" applyFill="1" applyBorder="1"/>
    <xf numFmtId="0" fontId="33" fillId="4" borderId="2" xfId="0" applyFont="1" applyFill="1" applyBorder="1"/>
    <xf numFmtId="0" fontId="33" fillId="4" borderId="3" xfId="0" applyFont="1" applyFill="1" applyBorder="1"/>
    <xf numFmtId="0" fontId="33" fillId="4" borderId="11" xfId="0" applyFont="1" applyFill="1" applyBorder="1"/>
    <xf numFmtId="0" fontId="33" fillId="4" borderId="26" xfId="0" applyFont="1" applyFill="1" applyBorder="1"/>
    <xf numFmtId="0" fontId="33" fillId="4" borderId="27" xfId="0" applyFont="1" applyFill="1" applyBorder="1"/>
    <xf numFmtId="0" fontId="33" fillId="4" borderId="28" xfId="0" applyFont="1" applyFill="1" applyBorder="1"/>
    <xf numFmtId="0" fontId="36" fillId="0" borderId="0" xfId="0" applyFont="1"/>
    <xf numFmtId="0" fontId="33" fillId="2" borderId="0" xfId="0" applyFont="1" applyFill="1"/>
    <xf numFmtId="0" fontId="33" fillId="2" borderId="1" xfId="0" applyFont="1" applyFill="1" applyBorder="1"/>
    <xf numFmtId="169" fontId="33" fillId="2" borderId="1" xfId="0" applyNumberFormat="1" applyFont="1" applyFill="1" applyBorder="1"/>
    <xf numFmtId="169" fontId="33" fillId="2" borderId="2" xfId="0" applyNumberFormat="1" applyFont="1" applyFill="1" applyBorder="1"/>
    <xf numFmtId="169" fontId="33" fillId="2" borderId="3" xfId="0" applyNumberFormat="1" applyFont="1" applyFill="1" applyBorder="1"/>
    <xf numFmtId="169" fontId="33" fillId="2" borderId="4" xfId="0" applyNumberFormat="1" applyFont="1" applyFill="1" applyBorder="1" applyAlignment="1">
      <alignment horizontal="center"/>
    </xf>
    <xf numFmtId="169" fontId="33" fillId="0" borderId="0" xfId="0" applyNumberFormat="1" applyFont="1"/>
    <xf numFmtId="0" fontId="33" fillId="2" borderId="5" xfId="0" applyFont="1" applyFill="1" applyBorder="1"/>
    <xf numFmtId="169" fontId="33" fillId="2" borderId="5" xfId="0" applyNumberFormat="1" applyFont="1" applyFill="1" applyBorder="1"/>
    <xf numFmtId="169" fontId="33" fillId="2" borderId="0" xfId="0" applyNumberFormat="1" applyFont="1" applyFill="1"/>
    <xf numFmtId="169" fontId="33" fillId="2" borderId="6" xfId="0" applyNumberFormat="1" applyFont="1" applyFill="1" applyBorder="1"/>
    <xf numFmtId="169" fontId="33" fillId="2" borderId="7" xfId="0" applyNumberFormat="1" applyFont="1" applyFill="1" applyBorder="1" applyAlignment="1">
      <alignment horizontal="center"/>
    </xf>
    <xf numFmtId="0" fontId="33" fillId="2" borderId="8" xfId="0" applyFont="1" applyFill="1" applyBorder="1"/>
    <xf numFmtId="169" fontId="33" fillId="2" borderId="8" xfId="0" applyNumberFormat="1" applyFont="1" applyFill="1" applyBorder="1"/>
    <xf numFmtId="169" fontId="33" fillId="2" borderId="9" xfId="0" applyNumberFormat="1" applyFont="1" applyFill="1" applyBorder="1"/>
    <xf numFmtId="169" fontId="33" fillId="2" borderId="10" xfId="0" applyNumberFormat="1" applyFont="1" applyFill="1" applyBorder="1"/>
    <xf numFmtId="169" fontId="33" fillId="2" borderId="11" xfId="0" applyNumberFormat="1" applyFont="1" applyFill="1" applyBorder="1" applyAlignment="1">
      <alignment horizontal="center"/>
    </xf>
    <xf numFmtId="169" fontId="33" fillId="2" borderId="3" xfId="0" applyNumberFormat="1" applyFont="1" applyFill="1" applyBorder="1" applyAlignment="1">
      <alignment horizontal="center"/>
    </xf>
    <xf numFmtId="169" fontId="33" fillId="2" borderId="6" xfId="0" applyNumberFormat="1" applyFont="1" applyFill="1" applyBorder="1" applyAlignment="1">
      <alignment horizontal="center"/>
    </xf>
    <xf numFmtId="169" fontId="33" fillId="2" borderId="10" xfId="0" applyNumberFormat="1" applyFont="1" applyFill="1" applyBorder="1" applyAlignment="1">
      <alignment horizontal="center"/>
    </xf>
    <xf numFmtId="0" fontId="33" fillId="4" borderId="0" xfId="0" applyFont="1" applyFill="1"/>
    <xf numFmtId="0" fontId="12" fillId="4" borderId="32" xfId="0" applyFont="1" applyFill="1" applyBorder="1"/>
    <xf numFmtId="0" fontId="12" fillId="6" borderId="32" xfId="0" applyFont="1" applyFill="1" applyBorder="1"/>
    <xf numFmtId="0" fontId="12" fillId="6" borderId="9" xfId="0" applyFont="1" applyFill="1" applyBorder="1"/>
    <xf numFmtId="0" fontId="12" fillId="7" borderId="37" xfId="0" applyFont="1" applyFill="1" applyBorder="1"/>
    <xf numFmtId="3" fontId="12" fillId="4" borderId="16" xfId="0" applyNumberFormat="1" applyFont="1" applyFill="1" applyBorder="1" applyAlignment="1">
      <alignment horizontal="left"/>
    </xf>
    <xf numFmtId="3" fontId="33" fillId="4" borderId="21" xfId="0" applyNumberFormat="1" applyFont="1" applyFill="1" applyBorder="1"/>
    <xf numFmtId="0" fontId="33" fillId="6" borderId="33" xfId="0" applyFont="1" applyFill="1" applyBorder="1"/>
    <xf numFmtId="0" fontId="33" fillId="7" borderId="36" xfId="0" applyFont="1" applyFill="1" applyBorder="1"/>
    <xf numFmtId="3" fontId="33" fillId="0" borderId="16" xfId="0" applyNumberFormat="1" applyFont="1" applyBorder="1"/>
    <xf numFmtId="3" fontId="33" fillId="0" borderId="13" xfId="0" applyNumberFormat="1" applyFont="1" applyBorder="1"/>
    <xf numFmtId="169" fontId="33" fillId="0" borderId="18" xfId="0" applyNumberFormat="1" applyFont="1" applyBorder="1"/>
    <xf numFmtId="0" fontId="33" fillId="0" borderId="16" xfId="0" applyFont="1" applyBorder="1"/>
    <xf numFmtId="3" fontId="33" fillId="4" borderId="13" xfId="0" applyNumberFormat="1" applyFont="1" applyFill="1" applyBorder="1"/>
    <xf numFmtId="0" fontId="33" fillId="6" borderId="14" xfId="0" applyFont="1" applyFill="1" applyBorder="1"/>
    <xf numFmtId="0" fontId="33" fillId="7" borderId="35" xfId="0" applyFont="1" applyFill="1" applyBorder="1"/>
    <xf numFmtId="0" fontId="33" fillId="6" borderId="34" xfId="0" applyFont="1" applyFill="1" applyBorder="1"/>
    <xf numFmtId="0" fontId="33" fillId="0" borderId="18" xfId="0" applyFont="1" applyBorder="1"/>
    <xf numFmtId="0" fontId="33" fillId="7" borderId="18" xfId="0" applyFont="1" applyFill="1" applyBorder="1"/>
    <xf numFmtId="175" fontId="33" fillId="0" borderId="18" xfId="0" applyNumberFormat="1" applyFont="1" applyBorder="1"/>
    <xf numFmtId="3" fontId="33" fillId="0" borderId="17" xfId="0" applyNumberFormat="1" applyFont="1" applyBorder="1"/>
    <xf numFmtId="3" fontId="33" fillId="0" borderId="31" xfId="0" applyNumberFormat="1" applyFont="1" applyBorder="1"/>
    <xf numFmtId="3" fontId="33" fillId="0" borderId="9" xfId="0" applyNumberFormat="1" applyFont="1" applyBorder="1"/>
    <xf numFmtId="3" fontId="33" fillId="0" borderId="39" xfId="0" applyNumberFormat="1" applyFont="1" applyBorder="1"/>
    <xf numFmtId="175" fontId="33" fillId="0" borderId="30" xfId="0" applyNumberFormat="1" applyFont="1" applyBorder="1"/>
    <xf numFmtId="0" fontId="24" fillId="0" borderId="0" xfId="10" applyFont="1"/>
    <xf numFmtId="0" fontId="12" fillId="0" borderId="0" xfId="9" applyFont="1" applyAlignment="1" applyProtection="1"/>
    <xf numFmtId="0" fontId="12" fillId="0" borderId="0" xfId="0" applyFont="1" applyAlignment="1">
      <alignment horizontal="right"/>
    </xf>
    <xf numFmtId="0" fontId="12" fillId="4" borderId="24" xfId="0" applyFont="1" applyFill="1" applyBorder="1"/>
    <xf numFmtId="0" fontId="37" fillId="4" borderId="13" xfId="0" applyFont="1" applyFill="1" applyBorder="1"/>
    <xf numFmtId="0" fontId="12" fillId="4" borderId="25" xfId="0" applyFont="1" applyFill="1" applyBorder="1"/>
    <xf numFmtId="0" fontId="12" fillId="4" borderId="5" xfId="0" applyFont="1" applyFill="1" applyBorder="1" applyAlignment="1">
      <alignment horizontal="center"/>
    </xf>
    <xf numFmtId="0" fontId="12" fillId="4" borderId="19" xfId="0" applyFont="1" applyFill="1" applyBorder="1"/>
    <xf numFmtId="0" fontId="37" fillId="4" borderId="20" xfId="0" applyFont="1" applyFill="1" applyBorder="1"/>
    <xf numFmtId="0" fontId="37" fillId="4" borderId="19" xfId="0" applyFont="1" applyFill="1" applyBorder="1"/>
    <xf numFmtId="0" fontId="12" fillId="4" borderId="21" xfId="0" applyFont="1" applyFill="1" applyBorder="1"/>
    <xf numFmtId="0" fontId="37" fillId="4" borderId="21" xfId="0" applyFont="1" applyFill="1" applyBorder="1"/>
    <xf numFmtId="0" fontId="35" fillId="4" borderId="5" xfId="0" applyFont="1" applyFill="1" applyBorder="1" applyAlignment="1">
      <alignment horizontal="center"/>
    </xf>
    <xf numFmtId="0" fontId="35" fillId="4" borderId="19" xfId="0" applyFont="1" applyFill="1" applyBorder="1"/>
    <xf numFmtId="0" fontId="33" fillId="4" borderId="15" xfId="0" applyFont="1" applyFill="1" applyBorder="1"/>
    <xf numFmtId="0" fontId="33" fillId="4" borderId="5" xfId="0" applyFont="1" applyFill="1" applyBorder="1"/>
    <xf numFmtId="0" fontId="12" fillId="4" borderId="13" xfId="0" applyFont="1" applyFill="1" applyBorder="1"/>
    <xf numFmtId="0" fontId="12" fillId="4" borderId="5" xfId="0" applyFont="1" applyFill="1" applyBorder="1"/>
    <xf numFmtId="0" fontId="12" fillId="4" borderId="12" xfId="0" applyFont="1" applyFill="1" applyBorder="1"/>
    <xf numFmtId="0" fontId="12" fillId="4" borderId="20" xfId="0" applyFont="1" applyFill="1" applyBorder="1"/>
    <xf numFmtId="0" fontId="35" fillId="4" borderId="22" xfId="0" applyFont="1" applyFill="1" applyBorder="1" applyAlignment="1">
      <alignment horizontal="center"/>
    </xf>
    <xf numFmtId="0" fontId="33" fillId="4" borderId="23" xfId="0" applyFont="1" applyFill="1" applyBorder="1"/>
    <xf numFmtId="0" fontId="37" fillId="4" borderId="5" xfId="0" applyFont="1" applyFill="1" applyBorder="1"/>
    <xf numFmtId="0" fontId="12" fillId="4" borderId="23" xfId="0" applyFont="1" applyFill="1" applyBorder="1"/>
    <xf numFmtId="0" fontId="37" fillId="4" borderId="5" xfId="0" applyFont="1" applyFill="1" applyBorder="1" applyAlignment="1">
      <alignment horizontal="center"/>
    </xf>
    <xf numFmtId="0" fontId="12" fillId="3" borderId="12" xfId="0" applyFont="1" applyFill="1" applyBorder="1"/>
    <xf numFmtId="0" fontId="12" fillId="3" borderId="13" xfId="0" applyFont="1" applyFill="1" applyBorder="1"/>
    <xf numFmtId="0" fontId="37" fillId="3" borderId="14" xfId="0" applyFont="1" applyFill="1" applyBorder="1"/>
    <xf numFmtId="0" fontId="37" fillId="0" borderId="0" xfId="0" applyFont="1"/>
    <xf numFmtId="0" fontId="12" fillId="4" borderId="27" xfId="0" applyFont="1" applyFill="1" applyBorder="1" applyAlignment="1">
      <alignment horizontal="right"/>
    </xf>
    <xf numFmtId="0" fontId="12" fillId="4" borderId="28" xfId="0" applyFont="1" applyFill="1" applyBorder="1" applyAlignment="1">
      <alignment horizontal="right"/>
    </xf>
    <xf numFmtId="1" fontId="33" fillId="0" borderId="27" xfId="0" applyNumberFormat="1" applyFont="1" applyBorder="1"/>
    <xf numFmtId="1" fontId="33" fillId="0" borderId="10" xfId="0" applyNumberFormat="1" applyFont="1" applyBorder="1"/>
    <xf numFmtId="3" fontId="33" fillId="2" borderId="5" xfId="0" applyNumberFormat="1" applyFont="1" applyFill="1" applyBorder="1"/>
    <xf numFmtId="1" fontId="33" fillId="0" borderId="2" xfId="0" applyNumberFormat="1" applyFont="1" applyBorder="1" applyAlignment="1">
      <alignment horizontal="center"/>
    </xf>
    <xf numFmtId="3" fontId="33" fillId="0" borderId="2" xfId="0" applyNumberFormat="1" applyFont="1" applyBorder="1" applyAlignment="1">
      <alignment horizontal="center"/>
    </xf>
    <xf numFmtId="3" fontId="33" fillId="0" borderId="6" xfId="0" applyNumberFormat="1" applyFont="1" applyBorder="1" applyAlignment="1">
      <alignment horizontal="center"/>
    </xf>
    <xf numFmtId="3" fontId="33" fillId="0" borderId="0" xfId="0" applyNumberFormat="1" applyFont="1" applyAlignment="1">
      <alignment horizontal="center"/>
    </xf>
    <xf numFmtId="3" fontId="33" fillId="0" borderId="5" xfId="0" applyNumberFormat="1" applyFont="1" applyBorder="1"/>
    <xf numFmtId="3" fontId="33" fillId="2" borderId="8" xfId="0" applyNumberFormat="1" applyFont="1" applyFill="1" applyBorder="1"/>
    <xf numFmtId="0" fontId="33" fillId="2" borderId="9" xfId="0" applyFont="1" applyFill="1" applyBorder="1"/>
    <xf numFmtId="3" fontId="33" fillId="0" borderId="9" xfId="0" applyNumberFormat="1" applyFont="1" applyBorder="1" applyAlignment="1">
      <alignment horizontal="center"/>
    </xf>
    <xf numFmtId="3" fontId="12" fillId="4" borderId="27" xfId="0" applyNumberFormat="1" applyFont="1" applyFill="1" applyBorder="1" applyAlignment="1">
      <alignment horizontal="center"/>
    </xf>
    <xf numFmtId="3" fontId="12" fillId="4" borderId="28" xfId="0" applyNumberFormat="1" applyFont="1" applyFill="1" applyBorder="1" applyAlignment="1">
      <alignment horizontal="center"/>
    </xf>
    <xf numFmtId="0" fontId="33" fillId="0" borderId="5" xfId="0" applyFont="1" applyBorder="1"/>
    <xf numFmtId="0" fontId="12" fillId="4" borderId="2" xfId="0" applyFont="1" applyFill="1" applyBorder="1" applyAlignment="1">
      <alignment horizontal="center"/>
    </xf>
    <xf numFmtId="0" fontId="12" fillId="4" borderId="28" xfId="0" applyFont="1" applyFill="1" applyBorder="1" applyAlignment="1">
      <alignment horizontal="center"/>
    </xf>
    <xf numFmtId="0" fontId="33" fillId="0" borderId="2" xfId="0" applyFont="1" applyBorder="1" applyAlignment="1">
      <alignment horizontal="center"/>
    </xf>
    <xf numFmtId="0" fontId="33" fillId="0" borderId="3" xfId="0" applyFont="1" applyBorder="1" applyAlignment="1">
      <alignment horizontal="center"/>
    </xf>
    <xf numFmtId="3" fontId="33" fillId="0" borderId="8" xfId="0" applyNumberFormat="1" applyFont="1" applyBorder="1"/>
    <xf numFmtId="0" fontId="33" fillId="0" borderId="9" xfId="0" applyFont="1" applyBorder="1"/>
    <xf numFmtId="0" fontId="33" fillId="0" borderId="9" xfId="0" applyFont="1" applyBorder="1" applyAlignment="1">
      <alignment horizontal="center"/>
    </xf>
    <xf numFmtId="0" fontId="33" fillId="0" borderId="10" xfId="0" applyFont="1" applyBorder="1" applyAlignment="1">
      <alignment horizontal="center"/>
    </xf>
    <xf numFmtId="0" fontId="12" fillId="4" borderId="27" xfId="0" applyFont="1" applyFill="1" applyBorder="1" applyAlignment="1">
      <alignment horizontal="center"/>
    </xf>
    <xf numFmtId="0" fontId="12" fillId="4" borderId="6" xfId="0" applyFont="1" applyFill="1" applyBorder="1" applyAlignment="1">
      <alignment horizontal="center"/>
    </xf>
    <xf numFmtId="3" fontId="33" fillId="2" borderId="1" xfId="0" applyNumberFormat="1" applyFont="1" applyFill="1" applyBorder="1"/>
    <xf numFmtId="0" fontId="33" fillId="2" borderId="3" xfId="0" applyFont="1" applyFill="1" applyBorder="1"/>
    <xf numFmtId="3" fontId="33" fillId="2" borderId="2" xfId="0" applyNumberFormat="1" applyFont="1" applyFill="1" applyBorder="1" applyAlignment="1">
      <alignment horizontal="center"/>
    </xf>
    <xf numFmtId="3" fontId="33" fillId="2" borderId="3" xfId="0" applyNumberFormat="1" applyFont="1" applyFill="1" applyBorder="1" applyAlignment="1">
      <alignment horizontal="center"/>
    </xf>
    <xf numFmtId="0" fontId="33" fillId="2" borderId="6" xfId="0" applyFont="1" applyFill="1" applyBorder="1"/>
    <xf numFmtId="3" fontId="33" fillId="2" borderId="0" xfId="0" applyNumberFormat="1" applyFont="1" applyFill="1" applyAlignment="1">
      <alignment horizontal="center"/>
    </xf>
    <xf numFmtId="3" fontId="33" fillId="2" borderId="6" xfId="0" applyNumberFormat="1" applyFont="1" applyFill="1" applyBorder="1" applyAlignment="1">
      <alignment horizontal="center"/>
    </xf>
    <xf numFmtId="0" fontId="33" fillId="0" borderId="6" xfId="0" applyFont="1" applyBorder="1"/>
    <xf numFmtId="0" fontId="33" fillId="2" borderId="10" xfId="0" applyFont="1" applyFill="1" applyBorder="1"/>
    <xf numFmtId="3" fontId="33" fillId="2" borderId="9" xfId="0" applyNumberFormat="1" applyFont="1" applyFill="1" applyBorder="1" applyAlignment="1">
      <alignment horizontal="center"/>
    </xf>
    <xf numFmtId="3" fontId="33" fillId="2" borderId="10" xfId="0" applyNumberFormat="1" applyFont="1" applyFill="1" applyBorder="1" applyAlignment="1">
      <alignment horizontal="center"/>
    </xf>
    <xf numFmtId="3" fontId="12" fillId="0" borderId="0" xfId="0" applyNumberFormat="1" applyFont="1"/>
    <xf numFmtId="0" fontId="38" fillId="0" borderId="0" xfId="9" applyFont="1" applyAlignment="1" applyProtection="1"/>
    <xf numFmtId="166" fontId="33" fillId="0" borderId="0" xfId="0" applyNumberFormat="1" applyFont="1"/>
    <xf numFmtId="0" fontId="12" fillId="4" borderId="14" xfId="0" applyFont="1" applyFill="1" applyBorder="1" applyAlignment="1">
      <alignment horizontal="right"/>
    </xf>
    <xf numFmtId="0" fontId="33" fillId="2" borderId="14" xfId="0" applyFont="1" applyFill="1" applyBorder="1"/>
    <xf numFmtId="0" fontId="33" fillId="4" borderId="14" xfId="0" applyFont="1" applyFill="1" applyBorder="1" applyAlignment="1">
      <alignment horizontal="right"/>
    </xf>
    <xf numFmtId="168" fontId="31" fillId="2" borderId="14" xfId="3" applyFont="1" applyFill="1" applyBorder="1" applyAlignment="1"/>
    <xf numFmtId="168" fontId="33" fillId="0" borderId="14" xfId="3" applyFont="1" applyBorder="1" applyAlignment="1"/>
    <xf numFmtId="168" fontId="33" fillId="0" borderId="14" xfId="3" applyFont="1" applyBorder="1" applyAlignment="1">
      <alignment horizontal="center"/>
    </xf>
    <xf numFmtId="168" fontId="33" fillId="0" borderId="14" xfId="3" applyFont="1" applyBorder="1" applyAlignment="1">
      <alignment horizontal="center" vertical="center"/>
    </xf>
    <xf numFmtId="168" fontId="31" fillId="2" borderId="14" xfId="3" applyFont="1" applyFill="1" applyBorder="1" applyAlignment="1">
      <alignment horizontal="center"/>
    </xf>
    <xf numFmtId="4" fontId="33" fillId="0" borderId="14" xfId="0" applyNumberFormat="1" applyFont="1" applyBorder="1" applyAlignment="1">
      <alignment horizontal="center"/>
    </xf>
    <xf numFmtId="2" fontId="33" fillId="0" borderId="14" xfId="0" applyNumberFormat="1" applyFont="1" applyBorder="1" applyAlignment="1">
      <alignment horizontal="center"/>
    </xf>
    <xf numFmtId="0" fontId="33" fillId="0" borderId="14" xfId="0" applyFont="1" applyBorder="1" applyAlignment="1">
      <alignment horizontal="center"/>
    </xf>
    <xf numFmtId="3" fontId="33" fillId="0" borderId="14" xfId="0" applyNumberFormat="1" applyFont="1" applyBorder="1" applyAlignment="1">
      <alignment horizontal="center"/>
    </xf>
    <xf numFmtId="170" fontId="33" fillId="0" borderId="14" xfId="0" applyNumberFormat="1" applyFont="1" applyBorder="1" applyAlignment="1">
      <alignment horizontal="center"/>
    </xf>
    <xf numFmtId="0" fontId="33" fillId="4" borderId="14" xfId="0" applyFont="1" applyFill="1" applyBorder="1" applyAlignment="1">
      <alignment horizontal="center"/>
    </xf>
    <xf numFmtId="170" fontId="33" fillId="0" borderId="0" xfId="0" applyNumberFormat="1" applyFont="1"/>
    <xf numFmtId="0" fontId="22" fillId="0" borderId="0" xfId="10" applyFont="1"/>
    <xf numFmtId="0" fontId="32" fillId="4" borderId="14" xfId="10" applyFont="1" applyFill="1" applyBorder="1"/>
    <xf numFmtId="170" fontId="12" fillId="0" borderId="14" xfId="10" applyNumberFormat="1" applyFont="1" applyBorder="1"/>
    <xf numFmtId="172" fontId="12" fillId="0" borderId="14" xfId="10" applyNumberFormat="1" applyFont="1" applyBorder="1"/>
    <xf numFmtId="0" fontId="32" fillId="4" borderId="14" xfId="10" applyFont="1" applyFill="1" applyBorder="1" applyAlignment="1">
      <alignment wrapText="1"/>
    </xf>
    <xf numFmtId="170" fontId="12" fillId="0" borderId="14" xfId="10" applyNumberFormat="1" applyFont="1" applyBorder="1" applyAlignment="1">
      <alignment vertical="center"/>
    </xf>
    <xf numFmtId="0" fontId="33" fillId="4" borderId="14" xfId="0" applyFont="1" applyFill="1" applyBorder="1"/>
    <xf numFmtId="171" fontId="33" fillId="0" borderId="14" xfId="0" applyNumberFormat="1" applyFont="1" applyBorder="1"/>
    <xf numFmtId="0" fontId="33" fillId="0" borderId="13" xfId="0" applyFont="1" applyBorder="1" applyAlignment="1">
      <alignment horizontal="left" vertical="center"/>
    </xf>
    <xf numFmtId="0" fontId="33" fillId="0" borderId="34" xfId="0" applyFont="1" applyBorder="1" applyAlignment="1">
      <alignment horizontal="right"/>
    </xf>
    <xf numFmtId="0" fontId="33" fillId="0" borderId="21" xfId="0" applyFont="1" applyBorder="1"/>
    <xf numFmtId="0" fontId="33" fillId="0" borderId="33" xfId="0" applyFont="1" applyBorder="1"/>
    <xf numFmtId="3" fontId="33" fillId="5" borderId="14" xfId="0" applyNumberFormat="1" applyFont="1" applyFill="1" applyBorder="1"/>
    <xf numFmtId="4" fontId="33" fillId="0" borderId="14" xfId="0" applyNumberFormat="1" applyFont="1" applyBorder="1"/>
    <xf numFmtId="175" fontId="33" fillId="0" borderId="0" xfId="0" applyNumberFormat="1" applyFont="1"/>
    <xf numFmtId="0" fontId="38" fillId="0" borderId="0" xfId="9" applyFont="1" applyBorder="1" applyAlignment="1" applyProtection="1"/>
    <xf numFmtId="0" fontId="28" fillId="2" borderId="0" xfId="0" applyFont="1" applyFill="1"/>
    <xf numFmtId="0" fontId="32" fillId="4" borderId="14" xfId="0" applyFont="1" applyFill="1" applyBorder="1"/>
    <xf numFmtId="0" fontId="32" fillId="4" borderId="14" xfId="0" applyFont="1" applyFill="1" applyBorder="1" applyAlignment="1">
      <alignment horizontal="center" wrapText="1"/>
    </xf>
    <xf numFmtId="0" fontId="32" fillId="0" borderId="14" xfId="0" applyFont="1" applyBorder="1"/>
    <xf numFmtId="9" fontId="28" fillId="0" borderId="14" xfId="14" applyFont="1" applyBorder="1" applyAlignment="1">
      <alignment horizontal="center"/>
    </xf>
    <xf numFmtId="0" fontId="28" fillId="0" borderId="14" xfId="0" applyFont="1" applyBorder="1" applyAlignment="1">
      <alignment horizontal="left" indent="2"/>
    </xf>
    <xf numFmtId="9" fontId="28" fillId="0" borderId="14" xfId="14" applyFont="1" applyFill="1" applyBorder="1" applyAlignment="1">
      <alignment horizontal="center"/>
    </xf>
    <xf numFmtId="173" fontId="28" fillId="0" borderId="14" xfId="14" applyNumberFormat="1" applyFont="1" applyBorder="1" applyAlignment="1">
      <alignment horizontal="center"/>
    </xf>
    <xf numFmtId="10" fontId="33" fillId="0" borderId="0" xfId="14" applyNumberFormat="1" applyFont="1" applyFill="1" applyBorder="1"/>
    <xf numFmtId="0" fontId="32" fillId="0" borderId="14" xfId="0" applyFont="1" applyBorder="1" applyAlignment="1">
      <alignment horizontal="left"/>
    </xf>
    <xf numFmtId="0" fontId="35" fillId="0" borderId="0" xfId="0" applyFont="1"/>
    <xf numFmtId="0" fontId="40" fillId="0" borderId="0" xfId="9" applyFont="1" applyAlignment="1" applyProtection="1"/>
    <xf numFmtId="0" fontId="28" fillId="0" borderId="0" xfId="0" applyFont="1"/>
    <xf numFmtId="166" fontId="38" fillId="0" borderId="0" xfId="9" applyNumberFormat="1" applyFont="1" applyAlignment="1" applyProtection="1"/>
    <xf numFmtId="2" fontId="33" fillId="0" borderId="14" xfId="0" applyNumberFormat="1" applyFont="1" applyBorder="1"/>
    <xf numFmtId="0" fontId="33" fillId="2" borderId="4" xfId="0" applyFont="1" applyFill="1" applyBorder="1"/>
    <xf numFmtId="0" fontId="33" fillId="2" borderId="7" xfId="0" applyFont="1" applyFill="1" applyBorder="1"/>
    <xf numFmtId="0" fontId="33" fillId="2" borderId="11" xfId="0" applyFont="1" applyFill="1" applyBorder="1"/>
    <xf numFmtId="0" fontId="28" fillId="0" borderId="0" xfId="0" applyFont="1" applyAlignment="1">
      <alignment vertical="center"/>
    </xf>
    <xf numFmtId="0" fontId="31" fillId="0" borderId="0" xfId="0" applyFont="1" applyAlignment="1">
      <alignment vertical="center"/>
    </xf>
    <xf numFmtId="0" fontId="12" fillId="0" borderId="0" xfId="0" applyFont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33" fillId="0" borderId="2" xfId="0" applyFont="1" applyBorder="1" applyAlignment="1">
      <alignment horizontal="center" wrapText="1"/>
    </xf>
    <xf numFmtId="0" fontId="33" fillId="12" borderId="38" xfId="0" applyFont="1" applyFill="1" applyBorder="1" applyAlignment="1">
      <alignment horizontal="center" wrapText="1"/>
    </xf>
    <xf numFmtId="0" fontId="33" fillId="12" borderId="21" xfId="0" applyFont="1" applyFill="1" applyBorder="1" applyAlignment="1">
      <alignment horizontal="center" wrapText="1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 wrapText="1"/>
    </xf>
    <xf numFmtId="0" fontId="12" fillId="0" borderId="0" xfId="0" applyFont="1" applyAlignment="1">
      <alignment horizontal="center"/>
    </xf>
    <xf numFmtId="0" fontId="12" fillId="12" borderId="14" xfId="0" applyFont="1" applyFill="1" applyBorder="1" applyAlignment="1">
      <alignment horizontal="center" wrapText="1"/>
    </xf>
    <xf numFmtId="0" fontId="12" fillId="12" borderId="13" xfId="0" applyFont="1" applyFill="1" applyBorder="1" applyAlignment="1">
      <alignment horizontal="center" wrapText="1"/>
    </xf>
    <xf numFmtId="0" fontId="28" fillId="0" borderId="6" xfId="0" applyFont="1" applyBorder="1" applyAlignment="1">
      <alignment vertical="center"/>
    </xf>
    <xf numFmtId="0" fontId="12" fillId="0" borderId="5" xfId="0" applyFont="1" applyBorder="1" applyAlignment="1">
      <alignment horizontal="center" vertical="center" wrapText="1"/>
    </xf>
    <xf numFmtId="3" fontId="33" fillId="0" borderId="0" xfId="0" applyNumberFormat="1" applyFont="1" applyAlignment="1">
      <alignment horizontal="center" vertical="center"/>
    </xf>
    <xf numFmtId="3" fontId="24" fillId="12" borderId="14" xfId="0" applyNumberFormat="1" applyFont="1" applyFill="1" applyBorder="1" applyAlignment="1">
      <alignment horizontal="center" vertical="center"/>
    </xf>
    <xf numFmtId="3" fontId="12" fillId="12" borderId="14" xfId="0" applyNumberFormat="1" applyFont="1" applyFill="1" applyBorder="1" applyAlignment="1">
      <alignment horizontal="center" vertical="center"/>
    </xf>
    <xf numFmtId="3" fontId="12" fillId="0" borderId="5" xfId="0" applyNumberFormat="1" applyFont="1" applyBorder="1" applyAlignment="1">
      <alignment horizontal="center"/>
    </xf>
    <xf numFmtId="3" fontId="33" fillId="12" borderId="14" xfId="0" applyNumberFormat="1" applyFont="1" applyFill="1" applyBorder="1" applyAlignment="1">
      <alignment horizontal="center" vertical="center"/>
    </xf>
    <xf numFmtId="3" fontId="33" fillId="0" borderId="6" xfId="0" applyNumberFormat="1" applyFont="1" applyBorder="1" applyAlignment="1">
      <alignment horizontal="center" vertical="center"/>
    </xf>
    <xf numFmtId="3" fontId="12" fillId="0" borderId="8" xfId="0" applyNumberFormat="1" applyFont="1" applyBorder="1" applyAlignment="1">
      <alignment horizontal="center"/>
    </xf>
    <xf numFmtId="3" fontId="33" fillId="0" borderId="9" xfId="0" applyNumberFormat="1" applyFont="1" applyBorder="1" applyAlignment="1">
      <alignment horizontal="center" vertical="center"/>
    </xf>
    <xf numFmtId="3" fontId="33" fillId="12" borderId="39" xfId="0" applyNumberFormat="1" applyFont="1" applyFill="1" applyBorder="1" applyAlignment="1">
      <alignment horizontal="center" vertical="center"/>
    </xf>
    <xf numFmtId="3" fontId="33" fillId="0" borderId="21" xfId="0" applyNumberFormat="1" applyFont="1" applyBorder="1" applyAlignment="1">
      <alignment horizontal="center" vertical="center"/>
    </xf>
    <xf numFmtId="3" fontId="33" fillId="0" borderId="10" xfId="0" applyNumberFormat="1" applyFont="1" applyBorder="1" applyAlignment="1">
      <alignment horizontal="center" vertical="center"/>
    </xf>
    <xf numFmtId="3" fontId="12" fillId="0" borderId="0" xfId="0" applyNumberFormat="1" applyFont="1" applyAlignment="1">
      <alignment horizontal="center"/>
    </xf>
    <xf numFmtId="3" fontId="36" fillId="0" borderId="0" xfId="0" applyNumberFormat="1" applyFont="1" applyAlignment="1">
      <alignment horizontal="center" vertical="center"/>
    </xf>
    <xf numFmtId="3" fontId="36" fillId="0" borderId="0" xfId="0" applyNumberFormat="1" applyFont="1" applyAlignment="1">
      <alignment horizontal="right" vertical="center"/>
    </xf>
    <xf numFmtId="0" fontId="12" fillId="10" borderId="1" xfId="0" applyFont="1" applyFill="1" applyBorder="1" applyAlignment="1">
      <alignment wrapText="1"/>
    </xf>
    <xf numFmtId="0" fontId="12" fillId="0" borderId="2" xfId="0" applyFont="1" applyBorder="1" applyAlignment="1">
      <alignment horizontal="center" vertical="center" wrapText="1"/>
    </xf>
    <xf numFmtId="3" fontId="12" fillId="0" borderId="2" xfId="0" applyNumberFormat="1" applyFont="1" applyBorder="1" applyAlignment="1">
      <alignment horizontal="center" vertical="center"/>
    </xf>
    <xf numFmtId="0" fontId="33" fillId="0" borderId="2" xfId="0" applyFont="1" applyBorder="1"/>
    <xf numFmtId="0" fontId="28" fillId="0" borderId="2" xfId="0" applyFont="1" applyBorder="1" applyAlignment="1">
      <alignment vertical="center"/>
    </xf>
    <xf numFmtId="0" fontId="28" fillId="0" borderId="3" xfId="0" applyFont="1" applyBorder="1" applyAlignment="1">
      <alignment vertical="center"/>
    </xf>
    <xf numFmtId="180" fontId="12" fillId="0" borderId="5" xfId="0" applyNumberFormat="1" applyFont="1" applyBorder="1" applyAlignment="1">
      <alignment horizontal="center" wrapText="1"/>
    </xf>
    <xf numFmtId="0" fontId="33" fillId="0" borderId="14" xfId="0" applyFont="1" applyBorder="1" applyAlignment="1">
      <alignment horizontal="center" wrapText="1"/>
    </xf>
    <xf numFmtId="4" fontId="33" fillId="0" borderId="0" xfId="0" applyNumberFormat="1" applyFont="1" applyAlignment="1">
      <alignment horizontal="center"/>
    </xf>
    <xf numFmtId="4" fontId="28" fillId="0" borderId="0" xfId="0" applyNumberFormat="1" applyFont="1" applyAlignment="1">
      <alignment horizontal="center" vertical="center"/>
    </xf>
    <xf numFmtId="4" fontId="28" fillId="0" borderId="6" xfId="0" applyNumberFormat="1" applyFont="1" applyBorder="1" applyAlignment="1">
      <alignment horizontal="center" vertical="center"/>
    </xf>
    <xf numFmtId="180" fontId="12" fillId="12" borderId="5" xfId="0" applyNumberFormat="1" applyFont="1" applyFill="1" applyBorder="1" applyAlignment="1">
      <alignment horizontal="center" wrapText="1"/>
    </xf>
    <xf numFmtId="0" fontId="33" fillId="12" borderId="14" xfId="0" applyFont="1" applyFill="1" applyBorder="1" applyAlignment="1">
      <alignment horizontal="center" wrapText="1"/>
    </xf>
    <xf numFmtId="4" fontId="33" fillId="12" borderId="14" xfId="0" applyNumberFormat="1" applyFont="1" applyFill="1" applyBorder="1" applyAlignment="1">
      <alignment horizontal="center" wrapText="1"/>
    </xf>
    <xf numFmtId="4" fontId="33" fillId="0" borderId="14" xfId="0" applyNumberFormat="1" applyFont="1" applyBorder="1" applyAlignment="1">
      <alignment horizontal="center" wrapText="1"/>
    </xf>
    <xf numFmtId="0" fontId="33" fillId="0" borderId="15" xfId="0" applyFont="1" applyBorder="1" applyAlignment="1">
      <alignment horizontal="center"/>
    </xf>
    <xf numFmtId="0" fontId="33" fillId="0" borderId="15" xfId="0" applyFont="1" applyBorder="1" applyAlignment="1">
      <alignment horizontal="center" wrapText="1"/>
    </xf>
    <xf numFmtId="180" fontId="12" fillId="0" borderId="8" xfId="0" applyNumberFormat="1" applyFont="1" applyBorder="1" applyAlignment="1">
      <alignment horizontal="center" wrapText="1"/>
    </xf>
    <xf numFmtId="0" fontId="33" fillId="0" borderId="39" xfId="0" applyFont="1" applyBorder="1" applyAlignment="1">
      <alignment horizontal="center"/>
    </xf>
    <xf numFmtId="0" fontId="33" fillId="0" borderId="39" xfId="0" applyFont="1" applyBorder="1" applyAlignment="1">
      <alignment horizontal="center" wrapText="1"/>
    </xf>
    <xf numFmtId="0" fontId="30" fillId="10" borderId="14" xfId="0" applyFont="1" applyFill="1" applyBorder="1" applyAlignment="1">
      <alignment horizontal="center" vertical="center" wrapText="1"/>
    </xf>
    <xf numFmtId="0" fontId="30" fillId="10" borderId="14" xfId="0" applyFont="1" applyFill="1" applyBorder="1" applyAlignment="1">
      <alignment horizontal="center" vertical="center"/>
    </xf>
    <xf numFmtId="0" fontId="31" fillId="10" borderId="14" xfId="0" applyFont="1" applyFill="1" applyBorder="1" applyAlignment="1">
      <alignment horizontal="center" vertical="center" wrapText="1"/>
    </xf>
    <xf numFmtId="0" fontId="12" fillId="0" borderId="14" xfId="0" applyFont="1" applyBorder="1" applyAlignment="1">
      <alignment horizontal="center"/>
    </xf>
    <xf numFmtId="180" fontId="12" fillId="0" borderId="14" xfId="0" applyNumberFormat="1" applyFont="1" applyBorder="1" applyAlignment="1">
      <alignment horizontal="center" wrapText="1"/>
    </xf>
    <xf numFmtId="180" fontId="33" fillId="0" borderId="14" xfId="0" applyNumberFormat="1" applyFont="1" applyBorder="1" applyAlignment="1">
      <alignment horizontal="center" wrapText="1"/>
    </xf>
    <xf numFmtId="180" fontId="28" fillId="0" borderId="14" xfId="0" applyNumberFormat="1" applyFont="1" applyBorder="1" applyAlignment="1">
      <alignment horizontal="center" wrapText="1"/>
    </xf>
    <xf numFmtId="180" fontId="28" fillId="0" borderId="0" xfId="0" applyNumberFormat="1" applyFont="1" applyAlignment="1">
      <alignment vertical="center"/>
    </xf>
    <xf numFmtId="180" fontId="33" fillId="0" borderId="0" xfId="0" applyNumberFormat="1" applyFont="1" applyAlignment="1">
      <alignment horizontal="center" wrapText="1"/>
    </xf>
    <xf numFmtId="14" fontId="12" fillId="0" borderId="14" xfId="0" applyNumberFormat="1" applyFont="1" applyBorder="1" applyAlignment="1">
      <alignment horizontal="center"/>
    </xf>
    <xf numFmtId="0" fontId="12" fillId="11" borderId="14" xfId="0" applyFont="1" applyFill="1" applyBorder="1" applyAlignment="1">
      <alignment horizontal="center"/>
    </xf>
    <xf numFmtId="180" fontId="12" fillId="11" borderId="14" xfId="0" applyNumberFormat="1" applyFont="1" applyFill="1" applyBorder="1" applyAlignment="1">
      <alignment horizontal="center" wrapText="1"/>
    </xf>
    <xf numFmtId="180" fontId="32" fillId="11" borderId="14" xfId="0" applyNumberFormat="1" applyFont="1" applyFill="1" applyBorder="1" applyAlignment="1">
      <alignment horizontal="center" wrapText="1"/>
    </xf>
    <xf numFmtId="0" fontId="38" fillId="2" borderId="0" xfId="9" applyFont="1" applyFill="1" applyAlignment="1" applyProtection="1"/>
    <xf numFmtId="175" fontId="38" fillId="0" borderId="0" xfId="9" applyNumberFormat="1" applyFont="1" applyAlignment="1" applyProtection="1">
      <alignment vertical="center"/>
    </xf>
    <xf numFmtId="0" fontId="33" fillId="0" borderId="0" xfId="13" applyFont="1"/>
    <xf numFmtId="179" fontId="33" fillId="0" borderId="0" xfId="0" applyNumberFormat="1" applyFont="1"/>
    <xf numFmtId="15" fontId="38" fillId="0" borderId="0" xfId="9" applyNumberFormat="1" applyFont="1" applyAlignment="1" applyProtection="1"/>
    <xf numFmtId="0" fontId="12" fillId="2" borderId="14" xfId="0" applyFont="1" applyFill="1" applyBorder="1" applyAlignment="1">
      <alignment horizontal="center" vertical="center" wrapText="1" shrinkToFit="1"/>
    </xf>
    <xf numFmtId="175" fontId="12" fillId="2" borderId="14" xfId="0" applyNumberFormat="1" applyFont="1" applyFill="1" applyBorder="1" applyAlignment="1">
      <alignment horizontal="center" vertical="center" wrapText="1" shrinkToFit="1"/>
    </xf>
    <xf numFmtId="0" fontId="12" fillId="2" borderId="14" xfId="13" applyFont="1" applyFill="1" applyBorder="1" applyAlignment="1">
      <alignment horizontal="center" vertical="center" wrapText="1" shrinkToFit="1"/>
    </xf>
    <xf numFmtId="175" fontId="12" fillId="2" borderId="14" xfId="13" applyNumberFormat="1" applyFont="1" applyFill="1" applyBorder="1" applyAlignment="1">
      <alignment horizontal="center" vertical="center" wrapText="1" shrinkToFit="1"/>
    </xf>
    <xf numFmtId="0" fontId="33" fillId="2" borderId="14" xfId="0" applyFont="1" applyFill="1" applyBorder="1" applyAlignment="1">
      <alignment horizontal="center" vertical="center" wrapText="1" shrinkToFit="1"/>
    </xf>
    <xf numFmtId="0" fontId="33" fillId="2" borderId="14" xfId="0" applyFont="1" applyFill="1" applyBorder="1" applyAlignment="1">
      <alignment vertical="center" wrapText="1"/>
    </xf>
    <xf numFmtId="0" fontId="33" fillId="2" borderId="14" xfId="0" applyFont="1" applyFill="1" applyBorder="1" applyAlignment="1">
      <alignment horizontal="center" vertical="center" wrapText="1"/>
    </xf>
    <xf numFmtId="2" fontId="33" fillId="2" borderId="14" xfId="0" applyNumberFormat="1" applyFont="1" applyFill="1" applyBorder="1" applyAlignment="1">
      <alignment horizontal="center" vertical="center"/>
    </xf>
    <xf numFmtId="14" fontId="34" fillId="2" borderId="14" xfId="0" applyNumberFormat="1" applyFont="1" applyFill="1" applyBorder="1" applyAlignment="1">
      <alignment horizontal="center" vertical="center"/>
    </xf>
    <xf numFmtId="0" fontId="33" fillId="0" borderId="0" xfId="13" applyFont="1" applyAlignment="1">
      <alignment vertical="center"/>
    </xf>
    <xf numFmtId="0" fontId="12" fillId="0" borderId="0" xfId="13" applyFont="1" applyAlignment="1">
      <alignment vertical="center"/>
    </xf>
    <xf numFmtId="0" fontId="33" fillId="7" borderId="14" xfId="0" applyFont="1" applyFill="1" applyBorder="1" applyAlignment="1">
      <alignment horizontal="center" vertical="center" wrapText="1" shrinkToFit="1"/>
    </xf>
    <xf numFmtId="0" fontId="33" fillId="7" borderId="14" xfId="0" applyFont="1" applyFill="1" applyBorder="1" applyAlignment="1">
      <alignment vertical="center" wrapText="1"/>
    </xf>
    <xf numFmtId="0" fontId="33" fillId="7" borderId="14" xfId="0" applyFont="1" applyFill="1" applyBorder="1" applyAlignment="1">
      <alignment horizontal="center" vertical="center" wrapText="1"/>
    </xf>
    <xf numFmtId="175" fontId="33" fillId="7" borderId="14" xfId="0" applyNumberFormat="1" applyFont="1" applyFill="1" applyBorder="1" applyAlignment="1">
      <alignment horizontal="center" vertical="center"/>
    </xf>
    <xf numFmtId="14" fontId="34" fillId="7" borderId="14" xfId="0" applyNumberFormat="1" applyFont="1" applyFill="1" applyBorder="1" applyAlignment="1">
      <alignment horizontal="center" vertical="center"/>
    </xf>
    <xf numFmtId="0" fontId="33" fillId="7" borderId="14" xfId="0" applyFont="1" applyFill="1" applyBorder="1"/>
    <xf numFmtId="2" fontId="33" fillId="7" borderId="14" xfId="0" applyNumberFormat="1" applyFont="1" applyFill="1" applyBorder="1"/>
    <xf numFmtId="0" fontId="32" fillId="0" borderId="14" xfId="13" applyFont="1" applyBorder="1" applyAlignment="1">
      <alignment horizontal="center" wrapText="1"/>
    </xf>
    <xf numFmtId="2" fontId="33" fillId="7" borderId="14" xfId="0" applyNumberFormat="1" applyFont="1" applyFill="1" applyBorder="1" applyAlignment="1">
      <alignment horizontal="center" vertical="center"/>
    </xf>
    <xf numFmtId="0" fontId="33" fillId="2" borderId="14" xfId="0" applyFont="1" applyFill="1" applyBorder="1" applyAlignment="1">
      <alignment horizontal="center" vertical="center"/>
    </xf>
    <xf numFmtId="2" fontId="33" fillId="2" borderId="14" xfId="0" applyNumberFormat="1" applyFont="1" applyFill="1" applyBorder="1" applyAlignment="1">
      <alignment horizontal="center" vertical="center" wrapText="1"/>
    </xf>
    <xf numFmtId="175" fontId="33" fillId="2" borderId="14" xfId="0" applyNumberFormat="1" applyFont="1" applyFill="1" applyBorder="1" applyAlignment="1">
      <alignment horizontal="center" vertical="center" wrapText="1"/>
    </xf>
    <xf numFmtId="2" fontId="12" fillId="0" borderId="14" xfId="10" applyNumberFormat="1" applyFont="1" applyBorder="1" applyAlignment="1">
      <alignment horizontal="center" wrapText="1"/>
    </xf>
    <xf numFmtId="175" fontId="12" fillId="0" borderId="14" xfId="10" applyNumberFormat="1" applyFont="1" applyBorder="1" applyAlignment="1">
      <alignment horizontal="center" wrapText="1"/>
    </xf>
    <xf numFmtId="175" fontId="33" fillId="2" borderId="14" xfId="0" applyNumberFormat="1" applyFont="1" applyFill="1" applyBorder="1" applyAlignment="1">
      <alignment horizontal="center" vertical="center"/>
    </xf>
    <xf numFmtId="167" fontId="32" fillId="0" borderId="26" xfId="12" applyNumberFormat="1" applyFont="1" applyBorder="1"/>
    <xf numFmtId="167" fontId="32" fillId="0" borderId="28" xfId="12" applyNumberFormat="1" applyFont="1" applyBorder="1" applyAlignment="1">
      <alignment horizontal="center"/>
    </xf>
    <xf numFmtId="178" fontId="32" fillId="0" borderId="37" xfId="12" applyNumberFormat="1" applyFont="1" applyBorder="1" applyAlignment="1">
      <alignment horizontal="center"/>
    </xf>
    <xf numFmtId="0" fontId="33" fillId="7" borderId="14" xfId="0" applyFont="1" applyFill="1" applyBorder="1" applyAlignment="1">
      <alignment horizontal="center" vertical="center"/>
    </xf>
    <xf numFmtId="0" fontId="33" fillId="0" borderId="14" xfId="0" applyFont="1" applyBorder="1" applyAlignment="1">
      <alignment horizontal="center" vertical="center" wrapText="1" shrinkToFit="1"/>
    </xf>
    <xf numFmtId="0" fontId="33" fillId="0" borderId="14" xfId="0" applyFont="1" applyBorder="1" applyAlignment="1">
      <alignment vertical="center" wrapText="1"/>
    </xf>
    <xf numFmtId="0" fontId="33" fillId="0" borderId="14" xfId="0" applyFont="1" applyBorder="1" applyAlignment="1">
      <alignment horizontal="center" vertical="center" wrapText="1"/>
    </xf>
    <xf numFmtId="175" fontId="33" fillId="0" borderId="14" xfId="0" applyNumberFormat="1" applyFont="1" applyBorder="1" applyAlignment="1">
      <alignment horizontal="center" vertical="center"/>
    </xf>
    <xf numFmtId="14" fontId="34" fillId="0" borderId="14" xfId="0" applyNumberFormat="1" applyFont="1" applyBorder="1" applyAlignment="1">
      <alignment horizontal="center" vertical="center"/>
    </xf>
    <xf numFmtId="0" fontId="33" fillId="7" borderId="38" xfId="0" applyFont="1" applyFill="1" applyBorder="1"/>
    <xf numFmtId="2" fontId="33" fillId="7" borderId="38" xfId="0" applyNumberFormat="1" applyFont="1" applyFill="1" applyBorder="1"/>
    <xf numFmtId="2" fontId="33" fillId="7" borderId="14" xfId="0" applyNumberFormat="1" applyFont="1" applyFill="1" applyBorder="1" applyAlignment="1">
      <alignment horizontal="center" vertical="center" wrapText="1"/>
    </xf>
    <xf numFmtId="175" fontId="33" fillId="7" borderId="14" xfId="0" applyNumberFormat="1" applyFont="1" applyFill="1" applyBorder="1" applyAlignment="1">
      <alignment horizontal="center" vertical="center" wrapText="1"/>
    </xf>
    <xf numFmtId="0" fontId="33" fillId="0" borderId="15" xfId="0" applyFont="1" applyBorder="1" applyAlignment="1">
      <alignment horizontal="center" vertical="center" wrapText="1" shrinkToFit="1"/>
    </xf>
    <xf numFmtId="0" fontId="33" fillId="0" borderId="15" xfId="0" applyFont="1" applyBorder="1" applyAlignment="1">
      <alignment vertical="center" wrapText="1"/>
    </xf>
    <xf numFmtId="0" fontId="33" fillId="0" borderId="15" xfId="0" applyFont="1" applyBorder="1" applyAlignment="1">
      <alignment horizontal="center" vertical="center"/>
    </xf>
    <xf numFmtId="2" fontId="33" fillId="0" borderId="15" xfId="0" applyNumberFormat="1" applyFont="1" applyBorder="1" applyAlignment="1">
      <alignment horizontal="center" vertical="center"/>
    </xf>
    <xf numFmtId="14" fontId="34" fillId="0" borderId="15" xfId="0" applyNumberFormat="1" applyFont="1" applyBorder="1" applyAlignment="1">
      <alignment horizontal="center" vertical="center"/>
    </xf>
    <xf numFmtId="0" fontId="33" fillId="0" borderId="15" xfId="0" applyFont="1" applyBorder="1"/>
    <xf numFmtId="0" fontId="33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2" fontId="33" fillId="0" borderId="0" xfId="0" applyNumberFormat="1" applyFont="1" applyAlignment="1">
      <alignment horizontal="center" vertical="center"/>
    </xf>
    <xf numFmtId="14" fontId="34" fillId="0" borderId="0" xfId="0" applyNumberFormat="1" applyFont="1" applyAlignment="1">
      <alignment horizontal="center" vertical="center"/>
    </xf>
    <xf numFmtId="2" fontId="33" fillId="0" borderId="0" xfId="0" applyNumberFormat="1" applyFont="1"/>
    <xf numFmtId="0" fontId="12" fillId="2" borderId="0" xfId="0" applyFont="1" applyFill="1" applyAlignment="1">
      <alignment horizontal="center" vertical="center" wrapText="1" shrinkToFit="1"/>
    </xf>
    <xf numFmtId="175" fontId="12" fillId="2" borderId="0" xfId="0" applyNumberFormat="1" applyFont="1" applyFill="1" applyAlignment="1">
      <alignment horizontal="center" vertical="center" wrapText="1" shrinkToFit="1"/>
    </xf>
    <xf numFmtId="0" fontId="12" fillId="2" borderId="0" xfId="13" applyFont="1" applyFill="1" applyAlignment="1">
      <alignment horizontal="center" vertical="center" wrapText="1" shrinkToFit="1"/>
    </xf>
    <xf numFmtId="175" fontId="12" fillId="2" borderId="0" xfId="13" applyNumberFormat="1" applyFont="1" applyFill="1" applyAlignment="1">
      <alignment horizontal="center" vertical="center" wrapText="1" shrinkToFit="1"/>
    </xf>
    <xf numFmtId="0" fontId="12" fillId="2" borderId="38" xfId="13" applyFont="1" applyFill="1" applyBorder="1" applyAlignment="1">
      <alignment horizontal="center" vertical="center" wrapText="1" shrinkToFit="1"/>
    </xf>
    <xf numFmtId="0" fontId="12" fillId="2" borderId="21" xfId="0" applyFont="1" applyFill="1" applyBorder="1" applyAlignment="1">
      <alignment horizontal="center" vertical="center" wrapText="1" shrinkToFit="1"/>
    </xf>
    <xf numFmtId="0" fontId="12" fillId="2" borderId="40" xfId="0" applyFont="1" applyFill="1" applyBorder="1" applyAlignment="1">
      <alignment horizontal="center" vertical="center" wrapText="1" shrinkToFit="1"/>
    </xf>
    <xf numFmtId="0" fontId="12" fillId="2" borderId="33" xfId="0" applyFont="1" applyFill="1" applyBorder="1" applyAlignment="1">
      <alignment horizontal="center" vertical="center" wrapText="1" shrinkToFit="1"/>
    </xf>
    <xf numFmtId="169" fontId="33" fillId="2" borderId="14" xfId="0" applyNumberFormat="1" applyFont="1" applyFill="1" applyBorder="1" applyAlignment="1">
      <alignment horizontal="center" vertical="center" wrapText="1"/>
    </xf>
    <xf numFmtId="0" fontId="33" fillId="0" borderId="14" xfId="0" applyFont="1" applyBorder="1" applyAlignment="1">
      <alignment horizontal="center" vertical="center"/>
    </xf>
    <xf numFmtId="176" fontId="33" fillId="7" borderId="14" xfId="0" applyNumberFormat="1" applyFont="1" applyFill="1" applyBorder="1" applyAlignment="1">
      <alignment horizontal="center" vertical="center"/>
    </xf>
    <xf numFmtId="175" fontId="33" fillId="0" borderId="14" xfId="0" applyNumberFormat="1" applyFont="1" applyBorder="1" applyAlignment="1">
      <alignment horizontal="center" vertical="center" wrapText="1"/>
    </xf>
    <xf numFmtId="177" fontId="33" fillId="2" borderId="14" xfId="0" applyNumberFormat="1" applyFont="1" applyFill="1" applyBorder="1" applyAlignment="1">
      <alignment horizontal="center" vertical="center"/>
    </xf>
    <xf numFmtId="177" fontId="33" fillId="7" borderId="14" xfId="0" applyNumberFormat="1" applyFont="1" applyFill="1" applyBorder="1" applyAlignment="1">
      <alignment horizontal="center" vertical="center"/>
    </xf>
    <xf numFmtId="0" fontId="32" fillId="0" borderId="0" xfId="13" applyFont="1" applyAlignment="1">
      <alignment horizontal="center"/>
    </xf>
    <xf numFmtId="2" fontId="28" fillId="0" borderId="0" xfId="13" applyNumberFormat="1" applyFont="1" applyAlignment="1">
      <alignment horizontal="center"/>
    </xf>
    <xf numFmtId="0" fontId="28" fillId="0" borderId="0" xfId="13" applyFont="1" applyAlignment="1">
      <alignment horizontal="center"/>
    </xf>
    <xf numFmtId="175" fontId="28" fillId="0" borderId="0" xfId="13" applyNumberFormat="1" applyFont="1" applyAlignment="1">
      <alignment horizontal="center"/>
    </xf>
    <xf numFmtId="0" fontId="33" fillId="8" borderId="38" xfId="0" applyFont="1" applyFill="1" applyBorder="1" applyAlignment="1">
      <alignment horizontal="center" vertical="center" wrapText="1" shrinkToFit="1"/>
    </xf>
    <xf numFmtId="0" fontId="33" fillId="8" borderId="33" xfId="0" applyFont="1" applyFill="1" applyBorder="1" applyAlignment="1">
      <alignment vertical="center" wrapText="1"/>
    </xf>
    <xf numFmtId="0" fontId="33" fillId="8" borderId="33" xfId="0" applyFont="1" applyFill="1" applyBorder="1" applyAlignment="1">
      <alignment horizontal="center" vertical="center"/>
    </xf>
    <xf numFmtId="175" fontId="33" fillId="8" borderId="33" xfId="0" applyNumberFormat="1" applyFont="1" applyFill="1" applyBorder="1" applyAlignment="1">
      <alignment horizontal="center" vertical="center"/>
    </xf>
    <xf numFmtId="14" fontId="34" fillId="8" borderId="33" xfId="0" applyNumberFormat="1" applyFont="1" applyFill="1" applyBorder="1" applyAlignment="1">
      <alignment horizontal="center" vertical="center"/>
    </xf>
    <xf numFmtId="0" fontId="33" fillId="9" borderId="38" xfId="0" applyFont="1" applyFill="1" applyBorder="1" applyAlignment="1">
      <alignment horizontal="center" vertical="center" wrapText="1" shrinkToFit="1"/>
    </xf>
    <xf numFmtId="0" fontId="33" fillId="9" borderId="33" xfId="0" applyFont="1" applyFill="1" applyBorder="1" applyAlignment="1">
      <alignment vertical="center" wrapText="1"/>
    </xf>
    <xf numFmtId="0" fontId="33" fillId="9" borderId="33" xfId="0" applyFont="1" applyFill="1" applyBorder="1" applyAlignment="1">
      <alignment horizontal="center" vertical="center" wrapText="1"/>
    </xf>
    <xf numFmtId="175" fontId="33" fillId="9" borderId="33" xfId="0" applyNumberFormat="1" applyFont="1" applyFill="1" applyBorder="1" applyAlignment="1">
      <alignment horizontal="center" vertical="center"/>
    </xf>
    <xf numFmtId="14" fontId="34" fillId="9" borderId="33" xfId="0" applyNumberFormat="1" applyFont="1" applyFill="1" applyBorder="1" applyAlignment="1">
      <alignment horizontal="center" vertical="center"/>
    </xf>
    <xf numFmtId="0" fontId="33" fillId="8" borderId="33" xfId="0" applyFont="1" applyFill="1" applyBorder="1" applyAlignment="1">
      <alignment horizontal="center" vertical="center" wrapText="1"/>
    </xf>
    <xf numFmtId="0" fontId="33" fillId="9" borderId="33" xfId="0" applyFont="1" applyFill="1" applyBorder="1" applyAlignment="1">
      <alignment horizontal="center" vertical="center"/>
    </xf>
    <xf numFmtId="0" fontId="33" fillId="8" borderId="33" xfId="0" applyFont="1" applyFill="1" applyBorder="1" applyAlignment="1">
      <alignment vertical="center" wrapText="1" shrinkToFit="1"/>
    </xf>
    <xf numFmtId="0" fontId="33" fillId="9" borderId="33" xfId="0" applyFont="1" applyFill="1" applyBorder="1" applyAlignment="1">
      <alignment vertical="center" wrapText="1" shrinkToFit="1"/>
    </xf>
    <xf numFmtId="14" fontId="33" fillId="9" borderId="33" xfId="0" applyNumberFormat="1" applyFont="1" applyFill="1" applyBorder="1" applyAlignment="1">
      <alignment horizontal="center" vertical="center"/>
    </xf>
    <xf numFmtId="14" fontId="33" fillId="8" borderId="33" xfId="0" applyNumberFormat="1" applyFont="1" applyFill="1" applyBorder="1" applyAlignment="1">
      <alignment horizontal="center" vertical="center"/>
    </xf>
    <xf numFmtId="175" fontId="33" fillId="9" borderId="33" xfId="0" applyNumberFormat="1" applyFont="1" applyFill="1" applyBorder="1" applyAlignment="1">
      <alignment horizontal="center" vertical="center" wrapText="1"/>
    </xf>
    <xf numFmtId="0" fontId="33" fillId="0" borderId="38" xfId="0" applyFont="1" applyBorder="1" applyAlignment="1">
      <alignment horizontal="center" vertical="center" wrapText="1" shrinkToFit="1"/>
    </xf>
    <xf numFmtId="0" fontId="33" fillId="0" borderId="33" xfId="0" applyFont="1" applyBorder="1" applyAlignment="1">
      <alignment vertical="center" wrapText="1"/>
    </xf>
    <xf numFmtId="0" fontId="33" fillId="0" borderId="33" xfId="0" applyFont="1" applyBorder="1" applyAlignment="1">
      <alignment horizontal="center" vertical="center"/>
    </xf>
    <xf numFmtId="175" fontId="33" fillId="0" borderId="33" xfId="0" applyNumberFormat="1" applyFont="1" applyBorder="1" applyAlignment="1">
      <alignment horizontal="center" vertical="center"/>
    </xf>
    <xf numFmtId="14" fontId="34" fillId="0" borderId="33" xfId="0" applyNumberFormat="1" applyFont="1" applyBorder="1" applyAlignment="1">
      <alignment horizontal="center" vertical="center"/>
    </xf>
    <xf numFmtId="171" fontId="33" fillId="9" borderId="33" xfId="0" applyNumberFormat="1" applyFont="1" applyFill="1" applyBorder="1" applyAlignment="1">
      <alignment horizontal="center" vertical="center"/>
    </xf>
    <xf numFmtId="2" fontId="33" fillId="9" borderId="33" xfId="0" applyNumberFormat="1" applyFont="1" applyFill="1" applyBorder="1" applyAlignment="1">
      <alignment horizontal="center" vertical="center"/>
    </xf>
    <xf numFmtId="176" fontId="33" fillId="8" borderId="33" xfId="0" applyNumberFormat="1" applyFont="1" applyFill="1" applyBorder="1" applyAlignment="1">
      <alignment horizontal="center" vertical="center"/>
    </xf>
    <xf numFmtId="0" fontId="33" fillId="8" borderId="33" xfId="0" applyFont="1" applyFill="1" applyBorder="1" applyAlignment="1">
      <alignment horizontal="center" vertical="center" wrapText="1" shrinkToFit="1"/>
    </xf>
    <xf numFmtId="177" fontId="33" fillId="8" borderId="33" xfId="0" applyNumberFormat="1" applyFont="1" applyFill="1" applyBorder="1" applyAlignment="1">
      <alignment horizontal="center" vertical="center"/>
    </xf>
    <xf numFmtId="177" fontId="33" fillId="9" borderId="33" xfId="0" applyNumberFormat="1" applyFont="1" applyFill="1" applyBorder="1" applyAlignment="1">
      <alignment horizontal="center" vertical="center"/>
    </xf>
    <xf numFmtId="0" fontId="33" fillId="8" borderId="14" xfId="0" applyFont="1" applyFill="1" applyBorder="1" applyAlignment="1">
      <alignment horizontal="center" vertical="center" wrapText="1" shrinkToFit="1"/>
    </xf>
    <xf numFmtId="0" fontId="33" fillId="8" borderId="14" xfId="0" applyFont="1" applyFill="1" applyBorder="1" applyAlignment="1">
      <alignment vertical="center" wrapText="1"/>
    </xf>
    <xf numFmtId="0" fontId="33" fillId="8" borderId="14" xfId="0" applyFont="1" applyFill="1" applyBorder="1" applyAlignment="1">
      <alignment horizontal="center" vertical="center"/>
    </xf>
    <xf numFmtId="171" fontId="33" fillId="8" borderId="14" xfId="0" applyNumberFormat="1" applyFont="1" applyFill="1" applyBorder="1" applyAlignment="1">
      <alignment horizontal="center" vertical="center"/>
    </xf>
    <xf numFmtId="177" fontId="33" fillId="8" borderId="14" xfId="0" applyNumberFormat="1" applyFont="1" applyFill="1" applyBorder="1" applyAlignment="1">
      <alignment horizontal="center" vertical="center"/>
    </xf>
    <xf numFmtId="175" fontId="33" fillId="8" borderId="14" xfId="0" applyNumberFormat="1" applyFont="1" applyFill="1" applyBorder="1" applyAlignment="1">
      <alignment horizontal="center" vertical="center"/>
    </xf>
    <xf numFmtId="0" fontId="33" fillId="2" borderId="14" xfId="13" applyFont="1" applyFill="1" applyBorder="1" applyAlignment="1">
      <alignment horizontal="center" vertical="center" wrapText="1" shrinkToFit="1"/>
    </xf>
    <xf numFmtId="0" fontId="33" fillId="0" borderId="14" xfId="13" applyFont="1" applyBorder="1" applyAlignment="1">
      <alignment vertical="center" wrapText="1"/>
    </xf>
    <xf numFmtId="0" fontId="33" fillId="0" borderId="14" xfId="13" applyFont="1" applyBorder="1" applyAlignment="1">
      <alignment horizontal="center" vertical="center" wrapText="1"/>
    </xf>
    <xf numFmtId="175" fontId="33" fillId="0" borderId="14" xfId="13" applyNumberFormat="1" applyFont="1" applyBorder="1" applyAlignment="1">
      <alignment horizontal="center" vertical="center"/>
    </xf>
    <xf numFmtId="177" fontId="33" fillId="0" borderId="14" xfId="13" applyNumberFormat="1" applyFont="1" applyBorder="1" applyAlignment="1">
      <alignment horizontal="center" vertical="center"/>
    </xf>
    <xf numFmtId="0" fontId="33" fillId="2" borderId="14" xfId="13" applyFont="1" applyFill="1" applyBorder="1" applyAlignment="1">
      <alignment vertical="center"/>
    </xf>
    <xf numFmtId="175" fontId="33" fillId="2" borderId="14" xfId="13" applyNumberFormat="1" applyFont="1" applyFill="1" applyBorder="1" applyAlignment="1">
      <alignment vertical="center"/>
    </xf>
    <xf numFmtId="0" fontId="33" fillId="0" borderId="14" xfId="13" applyFont="1" applyBorder="1" applyAlignment="1">
      <alignment horizontal="center" vertical="center" wrapText="1" shrinkToFit="1"/>
    </xf>
    <xf numFmtId="0" fontId="33" fillId="7" borderId="14" xfId="13" applyFont="1" applyFill="1" applyBorder="1" applyAlignment="1">
      <alignment horizontal="center" vertical="center" wrapText="1" shrinkToFit="1"/>
    </xf>
    <xf numFmtId="0" fontId="33" fillId="7" borderId="14" xfId="13" applyFont="1" applyFill="1" applyBorder="1" applyAlignment="1">
      <alignment vertical="center" wrapText="1"/>
    </xf>
    <xf numFmtId="0" fontId="33" fillId="7" borderId="14" xfId="13" applyFont="1" applyFill="1" applyBorder="1" applyAlignment="1">
      <alignment horizontal="center" vertical="center" wrapText="1"/>
    </xf>
    <xf numFmtId="175" fontId="33" fillId="7" borderId="14" xfId="13" applyNumberFormat="1" applyFont="1" applyFill="1" applyBorder="1" applyAlignment="1">
      <alignment horizontal="center" vertical="center"/>
    </xf>
    <xf numFmtId="177" fontId="33" fillId="7" borderId="14" xfId="13" applyNumberFormat="1" applyFont="1" applyFill="1" applyBorder="1" applyAlignment="1">
      <alignment horizontal="center" vertical="center"/>
    </xf>
    <xf numFmtId="0" fontId="33" fillId="7" borderId="14" xfId="13" applyFont="1" applyFill="1" applyBorder="1" applyAlignment="1">
      <alignment vertical="center"/>
    </xf>
    <xf numFmtId="175" fontId="33" fillId="7" borderId="14" xfId="13" applyNumberFormat="1" applyFont="1" applyFill="1" applyBorder="1" applyAlignment="1">
      <alignment vertical="center"/>
    </xf>
    <xf numFmtId="175" fontId="33" fillId="0" borderId="14" xfId="13" applyNumberFormat="1" applyFont="1" applyBorder="1" applyAlignment="1">
      <alignment horizontal="center" vertical="center" wrapText="1"/>
    </xf>
    <xf numFmtId="171" fontId="33" fillId="0" borderId="14" xfId="13" applyNumberFormat="1" applyFont="1" applyBorder="1" applyAlignment="1">
      <alignment horizontal="center" vertical="center"/>
    </xf>
    <xf numFmtId="0" fontId="33" fillId="0" borderId="14" xfId="13" applyFont="1" applyBorder="1" applyAlignment="1">
      <alignment horizontal="center" vertical="center"/>
    </xf>
    <xf numFmtId="0" fontId="33" fillId="7" borderId="14" xfId="13" applyFont="1" applyFill="1" applyBorder="1" applyAlignment="1">
      <alignment horizontal="center" vertical="center"/>
    </xf>
    <xf numFmtId="0" fontId="33" fillId="2" borderId="14" xfId="13" applyFont="1" applyFill="1" applyBorder="1" applyAlignment="1">
      <alignment vertical="center" wrapText="1"/>
    </xf>
    <xf numFmtId="0" fontId="33" fillId="2" borderId="14" xfId="13" applyFont="1" applyFill="1" applyBorder="1" applyAlignment="1">
      <alignment horizontal="center" vertical="center"/>
    </xf>
    <xf numFmtId="175" fontId="33" fillId="2" borderId="14" xfId="13" applyNumberFormat="1" applyFont="1" applyFill="1" applyBorder="1" applyAlignment="1">
      <alignment horizontal="center" vertical="center"/>
    </xf>
    <xf numFmtId="177" fontId="33" fillId="2" borderId="14" xfId="13" applyNumberFormat="1" applyFont="1" applyFill="1" applyBorder="1" applyAlignment="1">
      <alignment horizontal="center" vertical="center"/>
    </xf>
    <xf numFmtId="0" fontId="33" fillId="2" borderId="14" xfId="13" applyFont="1" applyFill="1" applyBorder="1" applyAlignment="1">
      <alignment horizontal="center" vertical="center" wrapText="1"/>
    </xf>
    <xf numFmtId="0" fontId="33" fillId="0" borderId="0" xfId="0" applyFont="1" applyAlignment="1">
      <alignment vertical="center"/>
    </xf>
    <xf numFmtId="0" fontId="31" fillId="0" borderId="0" xfId="0" applyFont="1" applyAlignment="1">
      <alignment wrapText="1"/>
    </xf>
    <xf numFmtId="0" fontId="31" fillId="0" borderId="14" xfId="0" applyFont="1" applyBorder="1" applyAlignment="1">
      <alignment horizontal="center" vertical="center" wrapText="1"/>
    </xf>
    <xf numFmtId="0" fontId="31" fillId="0" borderId="14" xfId="0" applyFont="1" applyBorder="1" applyAlignment="1">
      <alignment horizontal="center" wrapText="1"/>
    </xf>
    <xf numFmtId="0" fontId="30" fillId="11" borderId="14" xfId="0" applyFont="1" applyFill="1" applyBorder="1" applyAlignment="1">
      <alignment vertical="center"/>
    </xf>
    <xf numFmtId="171" fontId="30" fillId="11" borderId="14" xfId="0" applyNumberFormat="1" applyFont="1" applyFill="1" applyBorder="1" applyAlignment="1">
      <alignment horizontal="center" vertical="center"/>
    </xf>
    <xf numFmtId="170" fontId="31" fillId="0" borderId="14" xfId="0" applyNumberFormat="1" applyFont="1" applyBorder="1" applyAlignment="1">
      <alignment horizontal="center" vertical="center"/>
    </xf>
    <xf numFmtId="3" fontId="31" fillId="0" borderId="14" xfId="0" applyNumberFormat="1" applyFont="1" applyBorder="1" applyAlignment="1">
      <alignment horizontal="center" vertical="center"/>
    </xf>
    <xf numFmtId="1" fontId="31" fillId="0" borderId="14" xfId="0" applyNumberFormat="1" applyFont="1" applyBorder="1" applyAlignment="1">
      <alignment horizontal="center" vertical="center"/>
    </xf>
    <xf numFmtId="1" fontId="31" fillId="0" borderId="14" xfId="0" applyNumberFormat="1" applyFont="1" applyBorder="1" applyAlignment="1">
      <alignment horizontal="center" vertical="center" wrapText="1"/>
    </xf>
    <xf numFmtId="1" fontId="30" fillId="6" borderId="14" xfId="0" applyNumberFormat="1" applyFont="1" applyFill="1" applyBorder="1"/>
    <xf numFmtId="170" fontId="30" fillId="6" borderId="14" xfId="0" applyNumberFormat="1" applyFont="1" applyFill="1" applyBorder="1"/>
    <xf numFmtId="3" fontId="30" fillId="6" borderId="14" xfId="0" applyNumberFormat="1" applyFont="1" applyFill="1" applyBorder="1" applyAlignment="1">
      <alignment horizontal="center"/>
    </xf>
    <xf numFmtId="0" fontId="28" fillId="0" borderId="13" xfId="0" applyFont="1" applyBorder="1" applyAlignment="1">
      <alignment horizontal="center" vertical="center" wrapText="1"/>
    </xf>
    <xf numFmtId="0" fontId="28" fillId="0" borderId="14" xfId="0" applyFont="1" applyBorder="1" applyAlignment="1">
      <alignment horizontal="center" vertical="center" wrapText="1"/>
    </xf>
    <xf numFmtId="3" fontId="28" fillId="0" borderId="14" xfId="0" applyNumberFormat="1" applyFont="1" applyBorder="1" applyAlignment="1">
      <alignment horizontal="center" vertical="center" wrapText="1"/>
    </xf>
    <xf numFmtId="2" fontId="33" fillId="0" borderId="14" xfId="0" applyNumberFormat="1" applyFont="1" applyBorder="1" applyAlignment="1">
      <alignment vertical="center"/>
    </xf>
    <xf numFmtId="0" fontId="12" fillId="6" borderId="15" xfId="0" applyFont="1" applyFill="1" applyBorder="1" applyAlignment="1">
      <alignment wrapText="1"/>
    </xf>
    <xf numFmtId="0" fontId="12" fillId="6" borderId="38" xfId="0" applyFont="1" applyFill="1" applyBorder="1" applyAlignment="1">
      <alignment wrapText="1"/>
    </xf>
    <xf numFmtId="0" fontId="12" fillId="10" borderId="1" xfId="0" applyFont="1" applyFill="1" applyBorder="1" applyAlignment="1">
      <alignment horizontal="center"/>
    </xf>
    <xf numFmtId="0" fontId="12" fillId="10" borderId="2" xfId="0" applyFont="1" applyFill="1" applyBorder="1" applyAlignment="1">
      <alignment horizontal="center"/>
    </xf>
    <xf numFmtId="0" fontId="12" fillId="10" borderId="2" xfId="0" applyFont="1" applyFill="1" applyBorder="1" applyAlignment="1">
      <alignment horizontal="left"/>
    </xf>
    <xf numFmtId="0" fontId="12" fillId="10" borderId="3" xfId="0" applyFont="1" applyFill="1" applyBorder="1" applyAlignment="1">
      <alignment horizontal="center"/>
    </xf>
    <xf numFmtId="0" fontId="33" fillId="0" borderId="5" xfId="0" applyFont="1" applyBorder="1" applyAlignment="1">
      <alignment horizontal="center"/>
    </xf>
    <xf numFmtId="0" fontId="33" fillId="0" borderId="43" xfId="0" applyFont="1" applyBorder="1" applyAlignment="1">
      <alignment horizontal="center"/>
    </xf>
    <xf numFmtId="0" fontId="33" fillId="0" borderId="12" xfId="0" applyFont="1" applyBorder="1" applyAlignment="1">
      <alignment horizontal="center"/>
    </xf>
    <xf numFmtId="0" fontId="33" fillId="0" borderId="41" xfId="0" applyFont="1" applyBorder="1"/>
    <xf numFmtId="0" fontId="33" fillId="0" borderId="0" xfId="0" applyFont="1" applyAlignment="1">
      <alignment horizontal="left"/>
    </xf>
    <xf numFmtId="0" fontId="33" fillId="0" borderId="24" xfId="0" applyFont="1" applyBorder="1"/>
    <xf numFmtId="0" fontId="12" fillId="0" borderId="20" xfId="0" applyFont="1" applyBorder="1" applyAlignment="1">
      <alignment horizontal="center"/>
    </xf>
    <xf numFmtId="0" fontId="12" fillId="0" borderId="44" xfId="0" applyFont="1" applyBorder="1" applyAlignment="1">
      <alignment horizontal="center"/>
    </xf>
    <xf numFmtId="0" fontId="12" fillId="0" borderId="45" xfId="0" applyFont="1" applyBorder="1" applyAlignment="1">
      <alignment horizontal="center"/>
    </xf>
    <xf numFmtId="0" fontId="33" fillId="0" borderId="44" xfId="0" applyFont="1" applyBorder="1"/>
    <xf numFmtId="0" fontId="33" fillId="0" borderId="46" xfId="0" applyFont="1" applyBorder="1"/>
    <xf numFmtId="0" fontId="33" fillId="0" borderId="19" xfId="0" applyFont="1" applyBorder="1" applyAlignment="1">
      <alignment horizontal="left"/>
    </xf>
    <xf numFmtId="0" fontId="33" fillId="0" borderId="41" xfId="0" applyFont="1" applyBorder="1" applyAlignment="1">
      <alignment horizontal="left"/>
    </xf>
    <xf numFmtId="9" fontId="33" fillId="0" borderId="0" xfId="0" applyNumberFormat="1" applyFont="1" applyAlignment="1">
      <alignment horizontal="center"/>
    </xf>
    <xf numFmtId="0" fontId="33" fillId="0" borderId="5" xfId="0" applyFont="1" applyBorder="1" applyAlignment="1">
      <alignment horizontal="left"/>
    </xf>
    <xf numFmtId="10" fontId="36" fillId="0" borderId="19" xfId="0" applyNumberFormat="1" applyFont="1" applyBorder="1" applyAlignment="1">
      <alignment horizontal="center"/>
    </xf>
    <xf numFmtId="10" fontId="36" fillId="0" borderId="0" xfId="0" applyNumberFormat="1" applyFont="1" applyAlignment="1">
      <alignment horizontal="center"/>
    </xf>
    <xf numFmtId="10" fontId="36" fillId="0" borderId="41" xfId="0" applyNumberFormat="1" applyFont="1" applyBorder="1" applyAlignment="1">
      <alignment horizontal="center"/>
    </xf>
    <xf numFmtId="0" fontId="36" fillId="0" borderId="0" xfId="0" applyFont="1" applyAlignment="1">
      <alignment horizontal="left"/>
    </xf>
    <xf numFmtId="0" fontId="33" fillId="0" borderId="6" xfId="0" applyFont="1" applyBorder="1" applyAlignment="1">
      <alignment horizontal="center"/>
    </xf>
    <xf numFmtId="0" fontId="33" fillId="0" borderId="32" xfId="0" applyFont="1" applyBorder="1" applyAlignment="1">
      <alignment vertical="center"/>
    </xf>
    <xf numFmtId="0" fontId="33" fillId="0" borderId="9" xfId="0" applyFont="1" applyBorder="1" applyAlignment="1">
      <alignment vertical="center"/>
    </xf>
    <xf numFmtId="0" fontId="33" fillId="0" borderId="42" xfId="0" applyFont="1" applyBorder="1" applyAlignment="1">
      <alignment vertical="center"/>
    </xf>
    <xf numFmtId="0" fontId="33" fillId="0" borderId="10" xfId="0" applyFont="1" applyBorder="1" applyAlignment="1">
      <alignment vertical="center"/>
    </xf>
    <xf numFmtId="0" fontId="33" fillId="7" borderId="0" xfId="0" applyFont="1" applyFill="1" applyAlignment="1">
      <alignment vertical="center"/>
    </xf>
    <xf numFmtId="0" fontId="36" fillId="7" borderId="0" xfId="0" applyFont="1" applyFill="1" applyAlignment="1">
      <alignment vertical="center"/>
    </xf>
    <xf numFmtId="166" fontId="33" fillId="0" borderId="0" xfId="0" applyNumberFormat="1" applyFont="1" applyAlignment="1">
      <alignment vertical="center"/>
    </xf>
    <xf numFmtId="0" fontId="33" fillId="12" borderId="34" xfId="0" applyFont="1" applyFill="1" applyBorder="1" applyAlignment="1">
      <alignment horizontal="center"/>
    </xf>
    <xf numFmtId="168" fontId="28" fillId="0" borderId="0" xfId="3" applyFont="1" applyFill="1" applyAlignment="1">
      <alignment horizontal="center" vertical="center"/>
    </xf>
    <xf numFmtId="166" fontId="24" fillId="7" borderId="0" xfId="0" applyNumberFormat="1" applyFont="1" applyFill="1" applyAlignment="1">
      <alignment horizontal="center" vertical="center"/>
    </xf>
    <xf numFmtId="166" fontId="33" fillId="0" borderId="0" xfId="0" applyNumberFormat="1" applyFont="1" applyAlignment="1">
      <alignment horizontal="center" vertical="center"/>
    </xf>
    <xf numFmtId="0" fontId="43" fillId="0" borderId="14" xfId="0" applyFont="1" applyBorder="1" applyAlignment="1">
      <alignment horizontal="center" vertical="center" wrapText="1"/>
    </xf>
    <xf numFmtId="0" fontId="33" fillId="0" borderId="34" xfId="0" applyFont="1" applyBorder="1" applyAlignment="1">
      <alignment horizontal="center"/>
    </xf>
    <xf numFmtId="0" fontId="12" fillId="7" borderId="0" xfId="0" applyFont="1" applyFill="1" applyAlignment="1">
      <alignment horizontal="center" vertical="center"/>
    </xf>
    <xf numFmtId="3" fontId="33" fillId="0" borderId="0" xfId="0" applyNumberFormat="1" applyFont="1" applyAlignment="1">
      <alignment vertical="center"/>
    </xf>
    <xf numFmtId="9" fontId="33" fillId="0" borderId="19" xfId="0" applyNumberFormat="1" applyFont="1" applyBorder="1" applyAlignment="1">
      <alignment horizontal="center"/>
    </xf>
    <xf numFmtId="0" fontId="41" fillId="12" borderId="13" xfId="0" applyFont="1" applyFill="1" applyBorder="1" applyAlignment="1">
      <alignment horizontal="left"/>
    </xf>
    <xf numFmtId="0" fontId="41" fillId="12" borderId="25" xfId="0" applyFont="1" applyFill="1" applyBorder="1" applyAlignment="1">
      <alignment horizontal="left"/>
    </xf>
    <xf numFmtId="0" fontId="41" fillId="12" borderId="34" xfId="0" applyFont="1" applyFill="1" applyBorder="1" applyAlignment="1">
      <alignment horizontal="left"/>
    </xf>
    <xf numFmtId="3" fontId="32" fillId="12" borderId="14" xfId="0" applyNumberFormat="1" applyFont="1" applyFill="1" applyBorder="1" applyAlignment="1">
      <alignment horizontal="center" vertical="center"/>
    </xf>
    <xf numFmtId="3" fontId="36" fillId="7" borderId="0" xfId="0" applyNumberFormat="1" applyFont="1" applyFill="1" applyAlignment="1">
      <alignment horizontal="center" vertical="center"/>
    </xf>
    <xf numFmtId="3" fontId="36" fillId="7" borderId="0" xfId="0" applyNumberFormat="1" applyFont="1" applyFill="1" applyAlignment="1">
      <alignment horizontal="left" vertical="center"/>
    </xf>
    <xf numFmtId="1" fontId="33" fillId="0" borderId="0" xfId="0" applyNumberFormat="1" applyFont="1" applyAlignment="1">
      <alignment horizontal="center"/>
    </xf>
    <xf numFmtId="0" fontId="33" fillId="4" borderId="14" xfId="0" applyFont="1" applyFill="1" applyBorder="1" applyAlignment="1">
      <alignment horizontal="left"/>
    </xf>
    <xf numFmtId="0" fontId="33" fillId="0" borderId="13" xfId="0" applyFont="1" applyBorder="1" applyAlignment="1">
      <alignment horizontal="center"/>
    </xf>
    <xf numFmtId="0" fontId="33" fillId="0" borderId="34" xfId="0" applyFont="1" applyBorder="1" applyAlignment="1">
      <alignment horizontal="center"/>
    </xf>
    <xf numFmtId="0" fontId="12" fillId="4" borderId="13" xfId="0" applyFont="1" applyFill="1" applyBorder="1" applyAlignment="1">
      <alignment horizontal="left"/>
    </xf>
    <xf numFmtId="0" fontId="12" fillId="4" borderId="25" xfId="0" applyFont="1" applyFill="1" applyBorder="1" applyAlignment="1">
      <alignment horizontal="left"/>
    </xf>
    <xf numFmtId="0" fontId="12" fillId="4" borderId="34" xfId="0" applyFont="1" applyFill="1" applyBorder="1" applyAlignment="1">
      <alignment horizontal="left"/>
    </xf>
    <xf numFmtId="3" fontId="12" fillId="4" borderId="26" xfId="0" applyNumberFormat="1" applyFont="1" applyFill="1" applyBorder="1" applyAlignment="1">
      <alignment horizontal="left"/>
    </xf>
    <xf numFmtId="3" fontId="12" fillId="4" borderId="27" xfId="0" applyNumberFormat="1" applyFont="1" applyFill="1" applyBorder="1" applyAlignment="1">
      <alignment horizontal="left"/>
    </xf>
    <xf numFmtId="0" fontId="12" fillId="4" borderId="26" xfId="0" applyFont="1" applyFill="1" applyBorder="1" applyAlignment="1">
      <alignment horizontal="center"/>
    </xf>
    <xf numFmtId="0" fontId="12" fillId="4" borderId="27" xfId="0" applyFont="1" applyFill="1" applyBorder="1" applyAlignment="1">
      <alignment horizontal="center"/>
    </xf>
    <xf numFmtId="0" fontId="12" fillId="4" borderId="28" xfId="0" applyFont="1" applyFill="1" applyBorder="1" applyAlignment="1">
      <alignment horizontal="center"/>
    </xf>
    <xf numFmtId="0" fontId="12" fillId="6" borderId="26" xfId="0" applyFont="1" applyFill="1" applyBorder="1" applyAlignment="1">
      <alignment horizontal="center"/>
    </xf>
    <xf numFmtId="0" fontId="12" fillId="6" borderId="27" xfId="0" applyFont="1" applyFill="1" applyBorder="1" applyAlignment="1">
      <alignment horizontal="center"/>
    </xf>
    <xf numFmtId="0" fontId="12" fillId="6" borderId="28" xfId="0" applyFont="1" applyFill="1" applyBorder="1" applyAlignment="1">
      <alignment horizontal="center"/>
    </xf>
    <xf numFmtId="0" fontId="12" fillId="7" borderId="26" xfId="0" applyFont="1" applyFill="1" applyBorder="1" applyAlignment="1">
      <alignment horizontal="center"/>
    </xf>
    <xf numFmtId="0" fontId="12" fillId="7" borderId="27" xfId="0" applyFont="1" applyFill="1" applyBorder="1" applyAlignment="1">
      <alignment horizontal="center"/>
    </xf>
    <xf numFmtId="0" fontId="33" fillId="4" borderId="4" xfId="0" applyFont="1" applyFill="1" applyBorder="1" applyAlignment="1">
      <alignment horizontal="center" wrapText="1"/>
    </xf>
    <xf numFmtId="0" fontId="33" fillId="4" borderId="11" xfId="0" applyFont="1" applyFill="1" applyBorder="1" applyAlignment="1">
      <alignment horizontal="center" wrapText="1"/>
    </xf>
    <xf numFmtId="0" fontId="32" fillId="4" borderId="13" xfId="0" applyFont="1" applyFill="1" applyBorder="1" applyAlignment="1">
      <alignment horizontal="center"/>
    </xf>
    <xf numFmtId="0" fontId="32" fillId="4" borderId="34" xfId="0" applyFont="1" applyFill="1" applyBorder="1" applyAlignment="1">
      <alignment horizontal="center"/>
    </xf>
    <xf numFmtId="3" fontId="12" fillId="6" borderId="14" xfId="0" applyNumberFormat="1" applyFont="1" applyFill="1" applyBorder="1" applyAlignment="1">
      <alignment horizontal="center" vertical="center"/>
    </xf>
    <xf numFmtId="0" fontId="12" fillId="6" borderId="14" xfId="0" applyFont="1" applyFill="1" applyBorder="1" applyAlignment="1">
      <alignment horizontal="center" vertical="center"/>
    </xf>
    <xf numFmtId="0" fontId="12" fillId="7" borderId="14" xfId="0" applyFont="1" applyFill="1" applyBorder="1" applyAlignment="1">
      <alignment horizontal="center"/>
    </xf>
    <xf numFmtId="3" fontId="12" fillId="7" borderId="14" xfId="0" applyNumberFormat="1" applyFont="1" applyFill="1" applyBorder="1" applyAlignment="1">
      <alignment horizontal="center" vertical="center"/>
    </xf>
    <xf numFmtId="0" fontId="12" fillId="7" borderId="14" xfId="0" applyFont="1" applyFill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3" fontId="33" fillId="0" borderId="14" xfId="0" applyNumberFormat="1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180" fontId="28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10" borderId="14" xfId="0" applyFont="1" applyFill="1" applyBorder="1" applyAlignment="1">
      <alignment horizontal="center" vertical="center"/>
    </xf>
    <xf numFmtId="0" fontId="12" fillId="0" borderId="13" xfId="0" applyFont="1" applyBorder="1" applyAlignment="1">
      <alignment horizontal="center"/>
    </xf>
    <xf numFmtId="0" fontId="12" fillId="0" borderId="34" xfId="0" applyFont="1" applyBorder="1" applyAlignment="1">
      <alignment horizontal="center"/>
    </xf>
    <xf numFmtId="0" fontId="12" fillId="6" borderId="14" xfId="0" applyFont="1" applyFill="1" applyBorder="1" applyAlignment="1">
      <alignment horizontal="center"/>
    </xf>
    <xf numFmtId="167" fontId="32" fillId="0" borderId="26" xfId="12" applyNumberFormat="1" applyFont="1" applyBorder="1" applyAlignment="1">
      <alignment horizontal="center"/>
    </xf>
    <xf numFmtId="167" fontId="32" fillId="0" borderId="28" xfId="12" applyNumberFormat="1" applyFont="1" applyBorder="1" applyAlignment="1">
      <alignment horizontal="center"/>
    </xf>
    <xf numFmtId="0" fontId="32" fillId="0" borderId="40" xfId="13" applyFont="1" applyBorder="1" applyAlignment="1">
      <alignment horizontal="center"/>
    </xf>
    <xf numFmtId="0" fontId="12" fillId="2" borderId="13" xfId="13" applyFont="1" applyFill="1" applyBorder="1" applyAlignment="1">
      <alignment horizontal="left" vertical="center" wrapText="1"/>
    </xf>
    <xf numFmtId="0" fontId="12" fillId="2" borderId="34" xfId="13" applyFont="1" applyFill="1" applyBorder="1" applyAlignment="1">
      <alignment horizontal="left" vertical="center"/>
    </xf>
    <xf numFmtId="0" fontId="12" fillId="2" borderId="14" xfId="13" applyFont="1" applyFill="1" applyBorder="1" applyAlignment="1">
      <alignment horizontal="left" vertical="center"/>
    </xf>
    <xf numFmtId="0" fontId="12" fillId="2" borderId="21" xfId="0" applyFont="1" applyFill="1" applyBorder="1" applyAlignment="1">
      <alignment horizontal="center" vertical="center" wrapText="1" shrinkToFit="1"/>
    </xf>
    <xf numFmtId="0" fontId="12" fillId="2" borderId="40" xfId="0" applyFont="1" applyFill="1" applyBorder="1" applyAlignment="1">
      <alignment horizontal="center" vertical="center" wrapText="1" shrinkToFit="1"/>
    </xf>
    <xf numFmtId="0" fontId="12" fillId="2" borderId="33" xfId="0" applyFont="1" applyFill="1" applyBorder="1" applyAlignment="1">
      <alignment horizontal="center" vertical="center" wrapText="1" shrinkToFit="1"/>
    </xf>
    <xf numFmtId="0" fontId="30" fillId="6" borderId="14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left"/>
    </xf>
    <xf numFmtId="3" fontId="33" fillId="0" borderId="13" xfId="0" applyNumberFormat="1" applyFont="1" applyBorder="1" applyAlignment="1">
      <alignment horizontal="center"/>
    </xf>
    <xf numFmtId="3" fontId="33" fillId="0" borderId="34" xfId="0" applyNumberFormat="1" applyFont="1" applyBorder="1" applyAlignment="1">
      <alignment horizontal="center"/>
    </xf>
    <xf numFmtId="3" fontId="33" fillId="0" borderId="14" xfId="0" applyNumberFormat="1" applyFont="1" applyBorder="1" applyAlignment="1">
      <alignment horizontal="center"/>
    </xf>
    <xf numFmtId="0" fontId="12" fillId="0" borderId="14" xfId="0" applyFont="1" applyBorder="1" applyAlignment="1">
      <alignment horizontal="center" vertical="center" wrapText="1"/>
    </xf>
    <xf numFmtId="3" fontId="33" fillId="12" borderId="14" xfId="0" applyNumberFormat="1" applyFont="1" applyFill="1" applyBorder="1" applyAlignment="1">
      <alignment horizontal="center"/>
    </xf>
    <xf numFmtId="3" fontId="33" fillId="12" borderId="13" xfId="0" applyNumberFormat="1" applyFont="1" applyFill="1" applyBorder="1" applyAlignment="1">
      <alignment horizontal="center"/>
    </xf>
    <xf numFmtId="3" fontId="33" fillId="12" borderId="34" xfId="0" applyNumberFormat="1" applyFont="1" applyFill="1" applyBorder="1" applyAlignment="1">
      <alignment horizontal="center"/>
    </xf>
    <xf numFmtId="0" fontId="12" fillId="10" borderId="14" xfId="0" applyFont="1" applyFill="1" applyBorder="1" applyAlignment="1">
      <alignment horizontal="center"/>
    </xf>
    <xf numFmtId="0" fontId="12" fillId="10" borderId="14" xfId="0" applyFont="1" applyFill="1" applyBorder="1" applyAlignment="1">
      <alignment horizontal="left" vertical="center"/>
    </xf>
    <xf numFmtId="0" fontId="33" fillId="0" borderId="6" xfId="0" applyFont="1" applyBorder="1" applyAlignment="1">
      <alignment horizontal="left"/>
    </xf>
    <xf numFmtId="2" fontId="33" fillId="0" borderId="41" xfId="0" applyNumberFormat="1" applyFont="1" applyBorder="1" applyAlignment="1">
      <alignment vertical="center"/>
    </xf>
    <xf numFmtId="2" fontId="0" fillId="0" borderId="41" xfId="0" applyNumberFormat="1" applyBorder="1" applyAlignment="1">
      <alignment vertical="center"/>
    </xf>
    <xf numFmtId="2" fontId="0" fillId="0" borderId="33" xfId="0" applyNumberFormat="1" applyBorder="1" applyAlignment="1">
      <alignment vertical="center"/>
    </xf>
    <xf numFmtId="0" fontId="36" fillId="0" borderId="0" xfId="0" applyFont="1" applyAlignment="1">
      <alignment horizontal="center" vertical="top" wrapText="1"/>
    </xf>
    <xf numFmtId="0" fontId="12" fillId="3" borderId="19" xfId="0" applyFont="1" applyFill="1" applyBorder="1" applyAlignment="1">
      <alignment horizontal="center" wrapText="1"/>
    </xf>
    <xf numFmtId="0" fontId="33" fillId="0" borderId="0" xfId="0" applyFont="1" applyAlignment="1">
      <alignment horizontal="center" wrapText="1"/>
    </xf>
    <xf numFmtId="0" fontId="12" fillId="3" borderId="21" xfId="0" applyFont="1" applyFill="1" applyBorder="1" applyAlignment="1">
      <alignment horizontal="center" wrapText="1"/>
    </xf>
    <xf numFmtId="0" fontId="33" fillId="0" borderId="40" xfId="0" applyFont="1" applyBorder="1" applyAlignment="1">
      <alignment horizontal="center" wrapText="1"/>
    </xf>
    <xf numFmtId="164" fontId="12" fillId="6" borderId="13" xfId="3" applyNumberFormat="1" applyFont="1" applyFill="1" applyBorder="1" applyAlignment="1">
      <alignment horizontal="center" wrapText="1"/>
    </xf>
    <xf numFmtId="164" fontId="12" fillId="6" borderId="25" xfId="3" applyNumberFormat="1" applyFont="1" applyFill="1" applyBorder="1" applyAlignment="1">
      <alignment horizontal="center" wrapText="1"/>
    </xf>
    <xf numFmtId="0" fontId="33" fillId="6" borderId="25" xfId="0" applyFont="1" applyFill="1" applyBorder="1" applyAlignment="1">
      <alignment horizontal="center" vertical="center" wrapText="1"/>
    </xf>
    <xf numFmtId="0" fontId="33" fillId="6" borderId="34" xfId="0" applyFont="1" applyFill="1" applyBorder="1" applyAlignment="1">
      <alignment horizontal="center" vertical="center" wrapText="1"/>
    </xf>
    <xf numFmtId="0" fontId="12" fillId="10" borderId="2" xfId="0" applyFont="1" applyFill="1" applyBorder="1" applyAlignment="1">
      <alignment horizontal="center"/>
    </xf>
    <xf numFmtId="0" fontId="12" fillId="10" borderId="3" xfId="0" applyFont="1" applyFill="1" applyBorder="1" applyAlignment="1">
      <alignment horizontal="center"/>
    </xf>
    <xf numFmtId="1" fontId="38" fillId="0" borderId="14" xfId="9" applyNumberFormat="1" applyFont="1" applyFill="1" applyBorder="1" applyAlignment="1" applyProtection="1">
      <alignment vertical="center" wrapText="1"/>
    </xf>
    <xf numFmtId="0" fontId="33" fillId="0" borderId="14" xfId="0" applyFont="1" applyBorder="1" applyAlignment="1">
      <alignment wrapText="1"/>
    </xf>
    <xf numFmtId="0" fontId="33" fillId="0" borderId="18" xfId="0" applyFont="1" applyBorder="1" applyAlignment="1">
      <alignment wrapText="1"/>
    </xf>
    <xf numFmtId="0" fontId="38" fillId="0" borderId="0" xfId="9" applyFont="1" applyBorder="1" applyAlignment="1" applyProtection="1">
      <alignment horizontal="left"/>
    </xf>
  </cellXfs>
  <cellStyles count="18">
    <cellStyle name="Binlik Ayracı 2" xfId="1" xr:uid="{00000000-0005-0000-0000-000000000000}"/>
    <cellStyle name="Binlik Ayracı 3" xfId="2" xr:uid="{00000000-0005-0000-0000-000001000000}"/>
    <cellStyle name="Comma" xfId="3" builtinId="3"/>
    <cellStyle name="Comma 2" xfId="4" xr:uid="{00000000-0005-0000-0000-000003000000}"/>
    <cellStyle name="Comma 3" xfId="5" xr:uid="{00000000-0005-0000-0000-000004000000}"/>
    <cellStyle name="Comma 4" xfId="6" xr:uid="{00000000-0005-0000-0000-000005000000}"/>
    <cellStyle name="Comma 5" xfId="7" xr:uid="{00000000-0005-0000-0000-000006000000}"/>
    <cellStyle name="Comma 6" xfId="8" xr:uid="{00000000-0005-0000-0000-000007000000}"/>
    <cellStyle name="Hyperlink" xfId="9" builtinId="8"/>
    <cellStyle name="Normal" xfId="0" builtinId="0"/>
    <cellStyle name="Normal 2" xfId="10" xr:uid="{00000000-0005-0000-0000-00000A000000}"/>
    <cellStyle name="Normal 3" xfId="11" xr:uid="{00000000-0005-0000-0000-00000B000000}"/>
    <cellStyle name="Normal 4" xfId="12" xr:uid="{00000000-0005-0000-0000-00000C000000}"/>
    <cellStyle name="Normal 5" xfId="13" xr:uid="{00000000-0005-0000-0000-00000D000000}"/>
    <cellStyle name="Percent" xfId="14" builtinId="5"/>
    <cellStyle name="Percent 2" xfId="15" xr:uid="{00000000-0005-0000-0000-00000F000000}"/>
    <cellStyle name="Yüzde 2" xfId="16" xr:uid="{00000000-0005-0000-0000-000010000000}"/>
    <cellStyle name="Yüzde 3" xfId="17" xr:uid="{00000000-0005-0000-0000-00001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microsoft.com/office/2017/10/relationships/person" Target="persons/perso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368300</xdr:colOff>
      <xdr:row>60</xdr:row>
      <xdr:rowOff>50800</xdr:rowOff>
    </xdr:from>
    <xdr:to>
      <xdr:col>0</xdr:col>
      <xdr:colOff>4762500</xdr:colOff>
      <xdr:row>64</xdr:row>
      <xdr:rowOff>114300</xdr:rowOff>
    </xdr:to>
    <xdr:sp macro="" textlink="">
      <xdr:nvSpPr>
        <xdr:cNvPr id="1087" name="Object 404" hidden="1">
          <a:extLst>
            <a:ext uri="{FF2B5EF4-FFF2-40B4-BE49-F238E27FC236}">
              <a16:creationId xmlns:a16="http://schemas.microsoft.com/office/drawing/2014/main" id="{6D64FF9E-2B74-5342-9C6B-8FD99FBB213C}"/>
            </a:ext>
          </a:extLst>
        </xdr:cNvPr>
        <xdr:cNvSpPr>
          <a:spLocks noChangeArrowheads="1"/>
        </xdr:cNvSpPr>
      </xdr:nvSpPr>
      <xdr:spPr bwMode="auto">
        <a:xfrm>
          <a:off x="368300" y="12166600"/>
          <a:ext cx="43942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368300</xdr:colOff>
      <xdr:row>60</xdr:row>
      <xdr:rowOff>50800</xdr:rowOff>
    </xdr:from>
    <xdr:to>
      <xdr:col>0</xdr:col>
      <xdr:colOff>4762500</xdr:colOff>
      <xdr:row>64</xdr:row>
      <xdr:rowOff>114300</xdr:rowOff>
    </xdr:to>
    <xdr:pic>
      <xdr:nvPicPr>
        <xdr:cNvPr id="1088" name="Picture 404">
          <a:extLst>
            <a:ext uri="{FF2B5EF4-FFF2-40B4-BE49-F238E27FC236}">
              <a16:creationId xmlns:a16="http://schemas.microsoft.com/office/drawing/2014/main" id="{D58509D3-0C7F-704B-ABBA-D5262B0A2C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12166600"/>
          <a:ext cx="4394200" cy="876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icrosoft Office User" id="{36BFB793-2E10-2740-A4B1-7D266309C8C4}" userId="Microsoft Office User" providerId="None"/>
</personList>
</file>

<file path=xl/theme/theme1.xml><?xml version="1.0" encoding="utf-8"?>
<a:theme xmlns:a="http://schemas.openxmlformats.org/drawingml/2006/main" name="Office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E10" dT="2019-10-16T15:17:20.36" personId="{36BFB793-2E10-2740-A4B1-7D266309C8C4}" id="{A2089AEB-A58F-2E42-98E3-8017A160561B}">
    <text>289,968 * 326/365=258,985</text>
  </threadedComment>
</ThreadedComment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eigm.gov.tr/File/?path=ROOT%2f4%2fDocuments%2fSayfalar%2f2017+Y%C4%B1l%C4%B1+Enerji+Yat%C4%B1r%C4%B1mlar%C4%B1.xlsx" TargetMode="External"/><Relationship Id="rId2" Type="http://schemas.openxmlformats.org/officeDocument/2006/relationships/hyperlink" Target="http://www.eigm.gov.tr/File/?path=ROOT%2f4%2fDocuments%2fRapor%2f2013_Yili_Enerji_Yatirimlari.xls" TargetMode="External"/><Relationship Id="rId1" Type="http://schemas.openxmlformats.org/officeDocument/2006/relationships/hyperlink" Target="http://www.ipcc-nggip.iges.or.jp/public/2006gl/pdf/2_Volume2/V2_1_Ch1_Introduction.pdf" TargetMode="External"/><Relationship Id="rId5" Type="http://schemas.openxmlformats.org/officeDocument/2006/relationships/comments" Target="../comments2.xml"/><Relationship Id="rId4" Type="http://schemas.openxmlformats.org/officeDocument/2006/relationships/vmlDrawing" Target="../drawings/vmlDrawing2.vml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unfccc.int/sites/default/files/7_edited__ghg_inv_guidelines_cleared_dv_lg_ks_dv.pdf" TargetMode="External"/><Relationship Id="rId1" Type="http://schemas.openxmlformats.org/officeDocument/2006/relationships/hyperlink" Target="https://www.mgm.gov.tr/veridegerlendirme/il-ve-ilceler-istatistik.aspx?k=A&amp;m=SAMSUN" TargetMode="External"/><Relationship Id="rId5" Type="http://schemas.openxmlformats.org/officeDocument/2006/relationships/comments" Target="../comments3.xml"/><Relationship Id="rId4" Type="http://schemas.openxmlformats.org/officeDocument/2006/relationships/vmlDrawing" Target="../drawings/vmlDrawing3.v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teias.gov.tr/sites/default/files/2018-10/66%2806-17%29.xls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hyperlink" Target="http://www.teias.gov.tr/T%C3%BCrkiyeElektrik%C4%B0statistikleri/istatistik2015/yak%C4%B1t65-71/69.xls" TargetMode="External"/><Relationship Id="rId1" Type="http://schemas.openxmlformats.org/officeDocument/2006/relationships/hyperlink" Target="http://www.ipcc-nggip.iges.or.jp/public/2006gl/pdf/1_Volume1/V1_8x_Ch8_An1_Units_Index.pdf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pcc-nggip.iges.or.jp/public/2006gl/pdf/2_Volume2/V2_1_Ch1_Introduction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cdm.unfccc.int/methodologies/PAmethodologies/tools/am-tool-09-v2.0.pdf" TargetMode="Externa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www.teias.gov.tr/T%C3%BCrkiyeElektrik%C4%B0statistikleri/istatistik2015/uretim%20tuketim(34-64)/52(93-2015).xls" TargetMode="External"/><Relationship Id="rId1" Type="http://schemas.openxmlformats.org/officeDocument/2006/relationships/hyperlink" Target="http://www.teias.gov.tr/T%C3%BCrkiyeElektrik%C4%B0statistikleri/istatistik2015/istatistik2015.htm" TargetMode="External"/></Relationships>
</file>

<file path=xl/worksheets/_rels/sheet9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B2:N26"/>
  <sheetViews>
    <sheetView showGridLines="0" zoomScale="96" zoomScaleNormal="96" zoomScalePageLayoutView="96" workbookViewId="0">
      <selection activeCell="C27" sqref="C27"/>
    </sheetView>
  </sheetViews>
  <sheetFormatPr baseColWidth="10" defaultColWidth="9.1640625" defaultRowHeight="17"/>
  <cols>
    <col min="1" max="1" width="9.1640625" style="34"/>
    <col min="2" max="2" width="19.6640625" style="34" customWidth="1"/>
    <col min="3" max="3" width="15.33203125" style="34" bestFit="1" customWidth="1"/>
    <col min="4" max="4" width="13.1640625" style="34" customWidth="1"/>
    <col min="5" max="5" width="18.1640625" style="34" customWidth="1"/>
    <col min="6" max="6" width="16.5" style="34" customWidth="1"/>
    <col min="7" max="7" width="18.5" style="34" customWidth="1"/>
    <col min="8" max="9" width="9.1640625" style="34"/>
    <col min="10" max="10" width="10.1640625" style="34" bestFit="1" customWidth="1"/>
    <col min="11" max="16384" width="9.1640625" style="34"/>
  </cols>
  <sheetData>
    <row r="2" spans="2:14">
      <c r="B2" s="195" t="s">
        <v>60</v>
      </c>
      <c r="C2" s="195" t="s">
        <v>61</v>
      </c>
      <c r="D2" s="195" t="s">
        <v>62</v>
      </c>
    </row>
    <row r="3" spans="2:14">
      <c r="B3" s="41" t="s">
        <v>801</v>
      </c>
      <c r="C3" s="41" t="s">
        <v>63</v>
      </c>
      <c r="D3" s="196">
        <f>'OM Calculation'!B58</f>
        <v>0.66036493320215828</v>
      </c>
      <c r="F3" s="197" t="s">
        <v>742</v>
      </c>
      <c r="G3" s="198">
        <v>0.25</v>
      </c>
      <c r="N3" s="43"/>
    </row>
    <row r="4" spans="2:14">
      <c r="B4" s="41" t="s">
        <v>802</v>
      </c>
      <c r="C4" s="41" t="s">
        <v>63</v>
      </c>
      <c r="D4" s="196">
        <f>'BM Calculation'!Q35</f>
        <v>0.30700156081509122</v>
      </c>
      <c r="F4" s="199" t="s">
        <v>743</v>
      </c>
      <c r="G4" s="200">
        <v>0.75</v>
      </c>
    </row>
    <row r="5" spans="2:14">
      <c r="B5" s="41" t="s">
        <v>803</v>
      </c>
      <c r="C5" s="41" t="s">
        <v>63</v>
      </c>
      <c r="D5" s="196">
        <f>D3*0.25+D4*0.75</f>
        <v>0.39534240391185799</v>
      </c>
    </row>
    <row r="7" spans="2:14">
      <c r="B7" s="481" t="s">
        <v>66</v>
      </c>
      <c r="C7" s="481"/>
      <c r="D7" s="201">
        <v>54600</v>
      </c>
      <c r="F7" s="43"/>
    </row>
    <row r="9" spans="2:14">
      <c r="B9" s="481" t="s">
        <v>67</v>
      </c>
      <c r="C9" s="481"/>
      <c r="D9" s="44">
        <f>ROUNDDOWN((D7*D5),0)</f>
        <v>21585</v>
      </c>
      <c r="H9" s="188"/>
    </row>
    <row r="10" spans="2:14">
      <c r="D10" s="195" t="s">
        <v>35</v>
      </c>
      <c r="E10" s="195" t="s">
        <v>119</v>
      </c>
      <c r="F10" s="195" t="s">
        <v>120</v>
      </c>
      <c r="G10" s="195" t="s">
        <v>121</v>
      </c>
      <c r="J10" s="188"/>
    </row>
    <row r="11" spans="2:14">
      <c r="B11" s="482" t="s">
        <v>818</v>
      </c>
      <c r="C11" s="483"/>
      <c r="D11" s="40">
        <f>ROUNDDOWN(SUM(E11:G11),0)</f>
        <v>19278</v>
      </c>
      <c r="E11" s="202">
        <f>D9/365*(365-39)</f>
        <v>19278.657534246577</v>
      </c>
      <c r="F11" s="41">
        <v>0</v>
      </c>
      <c r="G11" s="41">
        <v>0</v>
      </c>
      <c r="J11" s="188"/>
    </row>
    <row r="12" spans="2:14">
      <c r="B12" s="482" t="s">
        <v>816</v>
      </c>
      <c r="C12" s="483"/>
      <c r="D12" s="40">
        <f>ROUNDDOWN(SUM(E12:G12),0)</f>
        <v>21585</v>
      </c>
      <c r="E12" s="202">
        <f t="shared" ref="E12:E17" si="0">$D$7*$D$5</f>
        <v>21585.695253587444</v>
      </c>
      <c r="F12" s="41">
        <v>0</v>
      </c>
      <c r="G12" s="41">
        <v>0</v>
      </c>
      <c r="H12" s="188"/>
    </row>
    <row r="13" spans="2:14">
      <c r="B13" s="482">
        <v>2020</v>
      </c>
      <c r="C13" s="483"/>
      <c r="D13" s="40">
        <f t="shared" ref="D13:D18" si="1">ROUNDDOWN(SUM(E13:G13),0)</f>
        <v>21585</v>
      </c>
      <c r="E13" s="202">
        <f t="shared" si="0"/>
        <v>21585.695253587444</v>
      </c>
      <c r="F13" s="41">
        <v>0</v>
      </c>
      <c r="G13" s="41">
        <v>0</v>
      </c>
      <c r="H13" s="188"/>
    </row>
    <row r="14" spans="2:14">
      <c r="B14" s="482">
        <v>2021</v>
      </c>
      <c r="C14" s="483"/>
      <c r="D14" s="40">
        <f t="shared" si="1"/>
        <v>21585</v>
      </c>
      <c r="E14" s="202">
        <f t="shared" si="0"/>
        <v>21585.695253587444</v>
      </c>
      <c r="F14" s="41">
        <v>0</v>
      </c>
      <c r="G14" s="41">
        <v>0</v>
      </c>
      <c r="H14" s="188"/>
    </row>
    <row r="15" spans="2:14">
      <c r="B15" s="482">
        <v>2022</v>
      </c>
      <c r="C15" s="483"/>
      <c r="D15" s="40">
        <f t="shared" si="1"/>
        <v>21585</v>
      </c>
      <c r="E15" s="202">
        <f t="shared" si="0"/>
        <v>21585.695253587444</v>
      </c>
      <c r="F15" s="41">
        <v>0</v>
      </c>
      <c r="G15" s="41">
        <v>0</v>
      </c>
      <c r="H15" s="188"/>
      <c r="J15" s="188"/>
    </row>
    <row r="16" spans="2:14">
      <c r="B16" s="482">
        <v>2023</v>
      </c>
      <c r="C16" s="483"/>
      <c r="D16" s="40">
        <f t="shared" si="1"/>
        <v>21585</v>
      </c>
      <c r="E16" s="202">
        <f t="shared" si="0"/>
        <v>21585.695253587444</v>
      </c>
      <c r="F16" s="41">
        <v>0</v>
      </c>
      <c r="G16" s="41">
        <v>0</v>
      </c>
      <c r="H16" s="188"/>
    </row>
    <row r="17" spans="2:8">
      <c r="B17" s="482">
        <v>2024</v>
      </c>
      <c r="C17" s="483"/>
      <c r="D17" s="40">
        <f t="shared" si="1"/>
        <v>21585</v>
      </c>
      <c r="E17" s="202">
        <f t="shared" si="0"/>
        <v>21585.695253587444</v>
      </c>
      <c r="F17" s="41">
        <v>0</v>
      </c>
      <c r="G17" s="41">
        <v>0</v>
      </c>
      <c r="H17" s="188"/>
    </row>
    <row r="18" spans="2:8">
      <c r="B18" s="482" t="s">
        <v>793</v>
      </c>
      <c r="C18" s="483"/>
      <c r="D18" s="40">
        <f t="shared" si="1"/>
        <v>2306</v>
      </c>
      <c r="E18" s="202">
        <f>(D16/365)*39</f>
        <v>2306.3424657534247</v>
      </c>
      <c r="F18" s="41">
        <v>0</v>
      </c>
      <c r="G18" s="41">
        <v>0</v>
      </c>
      <c r="H18" s="188"/>
    </row>
    <row r="21" spans="2:8">
      <c r="B21" s="481" t="s">
        <v>68</v>
      </c>
      <c r="C21" s="481"/>
      <c r="D21" s="43">
        <f>ROUNDDOWN(SUM(D11:D18),0)</f>
        <v>151094</v>
      </c>
    </row>
    <row r="22" spans="2:8">
      <c r="F22" s="43"/>
    </row>
    <row r="23" spans="2:8">
      <c r="C23" s="43"/>
      <c r="D23" s="43"/>
      <c r="E23" s="43"/>
    </row>
    <row r="24" spans="2:8">
      <c r="B24" s="34" t="s">
        <v>826</v>
      </c>
      <c r="C24" s="43"/>
      <c r="D24" s="40">
        <v>7037</v>
      </c>
      <c r="E24" s="202">
        <f>D9*119/365</f>
        <v>7037.3013698630139</v>
      </c>
    </row>
    <row r="25" spans="2:8">
      <c r="B25" s="34" t="s">
        <v>817</v>
      </c>
      <c r="C25" s="43"/>
      <c r="D25" s="43"/>
      <c r="E25" s="43"/>
    </row>
    <row r="26" spans="2:8">
      <c r="C26" s="43"/>
      <c r="D26" s="43"/>
      <c r="E26" s="43"/>
      <c r="F26" s="203"/>
    </row>
  </sheetData>
  <mergeCells count="11">
    <mergeCell ref="B7:C7"/>
    <mergeCell ref="B9:C9"/>
    <mergeCell ref="B21:C21"/>
    <mergeCell ref="B15:C15"/>
    <mergeCell ref="B14:C14"/>
    <mergeCell ref="B12:C12"/>
    <mergeCell ref="B17:C17"/>
    <mergeCell ref="B16:C16"/>
    <mergeCell ref="B13:C13"/>
    <mergeCell ref="B18:C18"/>
    <mergeCell ref="B11:C11"/>
  </mergeCells>
  <pageMargins left="0.75" right="0.75" top="1" bottom="1" header="0.3" footer="0.3"/>
  <pageSetup paperSize="9" orientation="portrait" horizontalDpi="300" verticalDpi="300"/>
  <headerFooter>
    <oddFooter>&amp;R&amp;"microsoft sans serif,Regular"Diğer</oddFooter>
    <evenFooter>&amp;R&amp;"microsoft sans serif,Regular"Diğer</evenFooter>
    <firstFooter>&amp;R&amp;"microsoft sans serif,Regular"Diğer</first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B3:K32"/>
  <sheetViews>
    <sheetView topLeftCell="A17" workbookViewId="0">
      <selection activeCell="E18" sqref="E18"/>
    </sheetView>
  </sheetViews>
  <sheetFormatPr baseColWidth="10" defaultColWidth="8.83203125" defaultRowHeight="17"/>
  <cols>
    <col min="1" max="1" width="8.83203125" style="223"/>
    <col min="2" max="2" width="45.6640625" style="223" customWidth="1"/>
    <col min="3" max="3" width="13.33203125" style="223" customWidth="1"/>
    <col min="4" max="4" width="10.5" style="223" customWidth="1"/>
    <col min="5" max="5" width="18.1640625" style="223" bestFit="1" customWidth="1"/>
    <col min="6" max="6" width="18.6640625" style="223" bestFit="1" customWidth="1"/>
    <col min="7" max="7" width="8.83203125" style="223"/>
    <col min="8" max="8" width="9.1640625" style="223" bestFit="1" customWidth="1"/>
    <col min="9" max="9" width="19.1640625" style="223" customWidth="1"/>
    <col min="10" max="16384" width="8.83203125" style="223"/>
  </cols>
  <sheetData>
    <row r="3" spans="2:11" ht="90">
      <c r="B3" s="271" t="s">
        <v>691</v>
      </c>
      <c r="C3" s="271" t="s">
        <v>806</v>
      </c>
      <c r="D3" s="271" t="s">
        <v>692</v>
      </c>
      <c r="E3" s="272" t="s">
        <v>807</v>
      </c>
      <c r="F3" s="272" t="s">
        <v>808</v>
      </c>
      <c r="G3" s="271" t="s">
        <v>693</v>
      </c>
      <c r="H3" s="271" t="s">
        <v>694</v>
      </c>
      <c r="I3" s="273" t="s">
        <v>695</v>
      </c>
    </row>
    <row r="4" spans="2:11">
      <c r="B4" s="280" t="s">
        <v>818</v>
      </c>
      <c r="C4" s="275">
        <f>D4-G4-H4</f>
        <v>63572.190462110921</v>
      </c>
      <c r="D4" s="276">
        <f>SUM(E4:F4)</f>
        <v>63572.190462110921</v>
      </c>
      <c r="E4" s="276">
        <f>326/365*'Methane Production'!A24</f>
        <v>44294.190462110921</v>
      </c>
      <c r="F4" s="277">
        <f>'Combined Margin EF'!D11</f>
        <v>19278</v>
      </c>
      <c r="G4" s="276">
        <v>0</v>
      </c>
      <c r="H4" s="276">
        <v>0</v>
      </c>
      <c r="I4" s="276">
        <f>326/365*'Methane Production'!A24</f>
        <v>44294.190462110921</v>
      </c>
    </row>
    <row r="5" spans="2:11">
      <c r="B5" s="274" t="s">
        <v>820</v>
      </c>
      <c r="C5" s="275">
        <f>D5-G5-H5</f>
        <v>86158.97874559644</v>
      </c>
      <c r="D5" s="276">
        <f>SUM(E5:F5)</f>
        <v>86158.97874559644</v>
      </c>
      <c r="E5" s="276">
        <f>'Methane Production'!A25</f>
        <v>64573.97874559644</v>
      </c>
      <c r="F5" s="277">
        <f>'Combined Margin EF'!D12</f>
        <v>21585</v>
      </c>
      <c r="G5" s="276">
        <v>0</v>
      </c>
      <c r="H5" s="276">
        <v>0</v>
      </c>
      <c r="I5" s="276">
        <f>'Methane Production'!A25</f>
        <v>64573.97874559644</v>
      </c>
      <c r="J5" s="278"/>
    </row>
    <row r="6" spans="2:11">
      <c r="B6" s="274">
        <v>2020</v>
      </c>
      <c r="C6" s="275">
        <f t="shared" ref="C6:C10" si="0">D6-G6-H6</f>
        <v>100481.7274185157</v>
      </c>
      <c r="D6" s="276">
        <f t="shared" ref="D6:D10" si="1">SUM(E6:F6)</f>
        <v>100481.7274185157</v>
      </c>
      <c r="E6" s="276">
        <f>'Methane Production'!A26</f>
        <v>78896.7274185157</v>
      </c>
      <c r="F6" s="277">
        <f>'Combined Margin EF'!D13</f>
        <v>21585</v>
      </c>
      <c r="G6" s="276">
        <v>0</v>
      </c>
      <c r="H6" s="276">
        <v>0</v>
      </c>
      <c r="I6" s="276">
        <f>'Methane Production'!A26</f>
        <v>78896.7274185157</v>
      </c>
      <c r="J6" s="278"/>
    </row>
    <row r="7" spans="2:11">
      <c r="B7" s="274">
        <v>2021</v>
      </c>
      <c r="C7" s="275">
        <f t="shared" si="0"/>
        <v>114312.26861563959</v>
      </c>
      <c r="D7" s="276">
        <f t="shared" si="1"/>
        <v>114312.26861563959</v>
      </c>
      <c r="E7" s="276">
        <f>'Methane Production'!A27</f>
        <v>92727.268615639594</v>
      </c>
      <c r="F7" s="277">
        <f>'Combined Margin EF'!D14</f>
        <v>21585</v>
      </c>
      <c r="G7" s="276">
        <v>0</v>
      </c>
      <c r="H7" s="276">
        <v>0</v>
      </c>
      <c r="I7" s="276">
        <f>'Methane Production'!A27</f>
        <v>92727.268615639594</v>
      </c>
      <c r="J7" s="278"/>
    </row>
    <row r="8" spans="2:11">
      <c r="B8" s="274">
        <v>2022</v>
      </c>
      <c r="C8" s="275">
        <f t="shared" si="0"/>
        <v>127793.60883385401</v>
      </c>
      <c r="D8" s="276">
        <f t="shared" si="1"/>
        <v>127793.60883385401</v>
      </c>
      <c r="E8" s="276">
        <f>'Methane Production'!A28</f>
        <v>106208.60883385401</v>
      </c>
      <c r="F8" s="277">
        <f>'Combined Margin EF'!D15</f>
        <v>21585</v>
      </c>
      <c r="G8" s="276">
        <v>0</v>
      </c>
      <c r="H8" s="276">
        <v>0</v>
      </c>
      <c r="I8" s="276">
        <f>'Methane Production'!A28</f>
        <v>106208.60883385401</v>
      </c>
      <c r="J8" s="278"/>
    </row>
    <row r="9" spans="2:11">
      <c r="B9" s="274">
        <v>2023</v>
      </c>
      <c r="C9" s="275">
        <f t="shared" si="0"/>
        <v>141049.87080286999</v>
      </c>
      <c r="D9" s="276">
        <f t="shared" si="1"/>
        <v>141049.87080286999</v>
      </c>
      <c r="E9" s="276">
        <f>'Methane Production'!A29</f>
        <v>119464.87080286999</v>
      </c>
      <c r="F9" s="277">
        <f>'Combined Margin EF'!D16</f>
        <v>21585</v>
      </c>
      <c r="G9" s="276">
        <v>0</v>
      </c>
      <c r="H9" s="276">
        <v>0</v>
      </c>
      <c r="I9" s="276">
        <f>'Methane Production'!A29</f>
        <v>119464.87080286999</v>
      </c>
      <c r="J9" s="278"/>
      <c r="K9" s="279"/>
    </row>
    <row r="10" spans="2:11">
      <c r="B10" s="274">
        <v>2024</v>
      </c>
      <c r="C10" s="275">
        <f t="shared" si="0"/>
        <v>154189.58844518973</v>
      </c>
      <c r="D10" s="276">
        <f t="shared" si="1"/>
        <v>154189.58844518973</v>
      </c>
      <c r="E10" s="276">
        <f>'Methane Production'!A30</f>
        <v>132604.58844518973</v>
      </c>
      <c r="F10" s="277">
        <f>'Combined Margin EF'!D17</f>
        <v>21585</v>
      </c>
      <c r="G10" s="276">
        <v>0</v>
      </c>
      <c r="H10" s="276">
        <v>0</v>
      </c>
      <c r="I10" s="276">
        <f>'Methane Production'!A30</f>
        <v>132604.58844518973</v>
      </c>
      <c r="J10" s="278"/>
      <c r="K10" s="279"/>
    </row>
    <row r="11" spans="2:11">
      <c r="B11" s="280" t="s">
        <v>793</v>
      </c>
      <c r="C11" s="275">
        <f>D11-G11-H11</f>
        <v>17876.45216206053</v>
      </c>
      <c r="D11" s="276">
        <f>SUM(E11:F11)</f>
        <v>17876.45216206053</v>
      </c>
      <c r="E11" s="276">
        <f>39/365*'Methane Production'!A31</f>
        <v>15570.452162060528</v>
      </c>
      <c r="F11" s="277">
        <f>'Combined Margin EF'!D18</f>
        <v>2306</v>
      </c>
      <c r="G11" s="276">
        <v>0</v>
      </c>
      <c r="H11" s="276">
        <v>0</v>
      </c>
      <c r="I11" s="276">
        <f>'Methane Production'!A31*39/365</f>
        <v>15570.452162060526</v>
      </c>
      <c r="J11" s="278"/>
      <c r="K11" s="279"/>
    </row>
    <row r="12" spans="2:11">
      <c r="B12" s="281" t="s">
        <v>35</v>
      </c>
      <c r="C12" s="282">
        <f>SUM(C4:C11)</f>
        <v>805434.68548583693</v>
      </c>
      <c r="D12" s="282">
        <f>SUM(D4:D11)</f>
        <v>805434.68548583693</v>
      </c>
      <c r="E12" s="282">
        <f>SUM(E4:E11)</f>
        <v>654340.68548583693</v>
      </c>
      <c r="F12" s="282">
        <f>SUM(F4:F11)</f>
        <v>151094</v>
      </c>
      <c r="G12" s="282">
        <f t="shared" ref="G12:H12" si="2">SUM(G5:G11)</f>
        <v>0</v>
      </c>
      <c r="H12" s="282">
        <f t="shared" si="2"/>
        <v>0</v>
      </c>
      <c r="I12" s="282">
        <f>SUM(I4:I11)</f>
        <v>654340.68548583693</v>
      </c>
      <c r="J12" s="278"/>
      <c r="K12" s="279"/>
    </row>
    <row r="13" spans="2:11">
      <c r="B13" s="281" t="s">
        <v>696</v>
      </c>
      <c r="C13" s="282">
        <f t="shared" ref="C13:I13" si="3">C12/7</f>
        <v>115062.09792654813</v>
      </c>
      <c r="D13" s="282">
        <f t="shared" si="3"/>
        <v>115062.09792654813</v>
      </c>
      <c r="E13" s="282">
        <f>E12/7</f>
        <v>93477.240783690984</v>
      </c>
      <c r="F13" s="283">
        <f t="shared" si="3"/>
        <v>21584.857142857141</v>
      </c>
      <c r="G13" s="282">
        <f t="shared" si="3"/>
        <v>0</v>
      </c>
      <c r="H13" s="282">
        <f t="shared" si="3"/>
        <v>0</v>
      </c>
      <c r="I13" s="282">
        <f t="shared" si="3"/>
        <v>93477.240783690984</v>
      </c>
      <c r="J13" s="278"/>
      <c r="K13" s="279"/>
    </row>
    <row r="14" spans="2:11">
      <c r="C14" s="278"/>
    </row>
    <row r="15" spans="2:11">
      <c r="B15" s="223" t="s">
        <v>827</v>
      </c>
      <c r="C15" s="275">
        <f>D15-G15-H15</f>
        <v>28089.886221167057</v>
      </c>
      <c r="D15" s="276">
        <f>SUM(E15:F15)</f>
        <v>28089.886221167057</v>
      </c>
      <c r="E15" s="276">
        <f>119/365*'Methane Production'!A25</f>
        <v>21052.886221167057</v>
      </c>
      <c r="F15" s="275">
        <f>'Combined Margin EF'!D24</f>
        <v>7037</v>
      </c>
      <c r="G15" s="276">
        <v>0</v>
      </c>
      <c r="H15" s="276">
        <v>0</v>
      </c>
      <c r="I15" s="276">
        <f>119/365*'Methane Production'!A25</f>
        <v>21052.886221167057</v>
      </c>
    </row>
    <row r="16" spans="2:11">
      <c r="B16" s="223" t="s">
        <v>821</v>
      </c>
      <c r="H16" s="278"/>
    </row>
    <row r="19" spans="2:9" ht="19">
      <c r="B19" s="513" t="s">
        <v>697</v>
      </c>
      <c r="C19" s="513"/>
      <c r="D19" s="513" t="s">
        <v>809</v>
      </c>
      <c r="E19" s="513"/>
      <c r="F19" s="513"/>
      <c r="G19" s="513"/>
      <c r="H19" s="513"/>
      <c r="I19" s="513"/>
    </row>
    <row r="20" spans="2:9">
      <c r="B20" s="514" t="s">
        <v>818</v>
      </c>
      <c r="C20" s="515"/>
      <c r="D20" s="507">
        <f>C4</f>
        <v>63572.190462110921</v>
      </c>
      <c r="E20" s="508"/>
      <c r="F20" s="508"/>
      <c r="G20" s="508"/>
      <c r="H20" s="508"/>
      <c r="I20" s="508"/>
    </row>
    <row r="21" spans="2:9">
      <c r="B21" s="514" t="s">
        <v>816</v>
      </c>
      <c r="C21" s="515"/>
      <c r="D21" s="507">
        <f>C5</f>
        <v>86158.97874559644</v>
      </c>
      <c r="E21" s="508"/>
      <c r="F21" s="508"/>
      <c r="G21" s="508"/>
      <c r="H21" s="508"/>
      <c r="I21" s="508"/>
    </row>
    <row r="22" spans="2:9">
      <c r="B22" s="506">
        <v>2020</v>
      </c>
      <c r="C22" s="506"/>
      <c r="D22" s="507">
        <f t="shared" ref="D22:D26" si="4">C6</f>
        <v>100481.7274185157</v>
      </c>
      <c r="E22" s="508"/>
      <c r="F22" s="508"/>
      <c r="G22" s="508"/>
      <c r="H22" s="508"/>
      <c r="I22" s="508"/>
    </row>
    <row r="23" spans="2:9">
      <c r="B23" s="506">
        <v>2021</v>
      </c>
      <c r="C23" s="506"/>
      <c r="D23" s="507">
        <f t="shared" si="4"/>
        <v>114312.26861563959</v>
      </c>
      <c r="E23" s="508"/>
      <c r="F23" s="508"/>
      <c r="G23" s="508"/>
      <c r="H23" s="508"/>
      <c r="I23" s="508"/>
    </row>
    <row r="24" spans="2:9">
      <c r="B24" s="506">
        <v>2022</v>
      </c>
      <c r="C24" s="506"/>
      <c r="D24" s="507">
        <f t="shared" si="4"/>
        <v>127793.60883385401</v>
      </c>
      <c r="E24" s="508"/>
      <c r="F24" s="508"/>
      <c r="G24" s="508"/>
      <c r="H24" s="508"/>
      <c r="I24" s="508"/>
    </row>
    <row r="25" spans="2:9">
      <c r="B25" s="506">
        <v>2023</v>
      </c>
      <c r="C25" s="506"/>
      <c r="D25" s="507">
        <f t="shared" si="4"/>
        <v>141049.87080286999</v>
      </c>
      <c r="E25" s="508"/>
      <c r="F25" s="508"/>
      <c r="G25" s="508"/>
      <c r="H25" s="508"/>
      <c r="I25" s="508"/>
    </row>
    <row r="26" spans="2:9" ht="14.5" customHeight="1">
      <c r="B26" s="506">
        <v>2024</v>
      </c>
      <c r="C26" s="506"/>
      <c r="D26" s="507">
        <f t="shared" si="4"/>
        <v>154189.58844518973</v>
      </c>
      <c r="E26" s="508"/>
      <c r="F26" s="508"/>
      <c r="G26" s="508"/>
      <c r="H26" s="508"/>
      <c r="I26" s="508"/>
    </row>
    <row r="27" spans="2:9" ht="14.5" customHeight="1">
      <c r="B27" s="509" t="s">
        <v>792</v>
      </c>
      <c r="C27" s="510"/>
      <c r="D27" s="507">
        <f>C11</f>
        <v>17876.45216206053</v>
      </c>
      <c r="E27" s="508"/>
      <c r="F27" s="508"/>
      <c r="G27" s="508"/>
      <c r="H27" s="508"/>
      <c r="I27" s="508"/>
    </row>
    <row r="28" spans="2:9">
      <c r="B28" s="516" t="s">
        <v>35</v>
      </c>
      <c r="C28" s="516"/>
      <c r="D28" s="501">
        <f>SUM(D20:I27)</f>
        <v>805434.68548583693</v>
      </c>
      <c r="E28" s="502"/>
      <c r="F28" s="502"/>
      <c r="G28" s="502"/>
      <c r="H28" s="502"/>
      <c r="I28" s="502"/>
    </row>
    <row r="29" spans="2:9">
      <c r="B29" s="503" t="s">
        <v>698</v>
      </c>
      <c r="C29" s="503"/>
      <c r="D29" s="504">
        <f>SUM(D20:I27)/7</f>
        <v>115062.09792654813</v>
      </c>
      <c r="E29" s="505"/>
      <c r="F29" s="505"/>
      <c r="G29" s="505"/>
      <c r="H29" s="505"/>
      <c r="I29" s="505"/>
    </row>
    <row r="30" spans="2:9">
      <c r="B30" s="34"/>
      <c r="C30" s="34"/>
      <c r="D30" s="34"/>
      <c r="E30" s="34"/>
      <c r="F30" s="34"/>
      <c r="G30" s="34"/>
      <c r="H30" s="34"/>
      <c r="I30" s="34"/>
    </row>
    <row r="31" spans="2:9">
      <c r="B31" s="223" t="s">
        <v>827</v>
      </c>
      <c r="D31" s="511">
        <v>17145.493461795701</v>
      </c>
      <c r="E31" s="512"/>
      <c r="F31" s="512"/>
      <c r="G31" s="512"/>
      <c r="H31" s="512"/>
      <c r="I31" s="512"/>
    </row>
    <row r="32" spans="2:9">
      <c r="B32" s="223" t="s">
        <v>821</v>
      </c>
    </row>
  </sheetData>
  <mergeCells count="23">
    <mergeCell ref="D31:I31"/>
    <mergeCell ref="B19:C19"/>
    <mergeCell ref="D19:I19"/>
    <mergeCell ref="B21:C21"/>
    <mergeCell ref="D21:I21"/>
    <mergeCell ref="B22:C22"/>
    <mergeCell ref="D22:I22"/>
    <mergeCell ref="B20:C20"/>
    <mergeCell ref="D20:I20"/>
    <mergeCell ref="B23:C23"/>
    <mergeCell ref="D23:I23"/>
    <mergeCell ref="B24:C24"/>
    <mergeCell ref="D24:I24"/>
    <mergeCell ref="B25:C25"/>
    <mergeCell ref="D25:I25"/>
    <mergeCell ref="B28:C28"/>
    <mergeCell ref="D28:I28"/>
    <mergeCell ref="B29:C29"/>
    <mergeCell ref="D29:I29"/>
    <mergeCell ref="B26:C26"/>
    <mergeCell ref="D26:I26"/>
    <mergeCell ref="D27:I27"/>
    <mergeCell ref="B27:C27"/>
  </mergeCells>
  <pageMargins left="0.7" right="0.7" top="0.75" bottom="0.75" header="0.3" footer="0.3"/>
  <pageSetup orientation="portrait"/>
  <ignoredErrors>
    <ignoredError sqref="G12:H12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822"/>
  <sheetViews>
    <sheetView topLeftCell="A276" workbookViewId="0">
      <selection activeCell="AI602" sqref="AI602"/>
    </sheetView>
  </sheetViews>
  <sheetFormatPr baseColWidth="10" defaultColWidth="10.83203125" defaultRowHeight="17"/>
  <cols>
    <col min="1" max="1" width="10.83203125" style="34"/>
    <col min="2" max="2" width="11" style="34" bestFit="1" customWidth="1"/>
    <col min="3" max="3" width="22.33203125" style="34" customWidth="1"/>
    <col min="4" max="4" width="12.1640625" style="34" customWidth="1"/>
    <col min="5" max="5" width="11" style="34" bestFit="1" customWidth="1"/>
    <col min="6" max="6" width="11.5" style="34" bestFit="1" customWidth="1"/>
    <col min="7" max="12" width="11" style="34" bestFit="1" customWidth="1"/>
    <col min="13" max="14" width="10.83203125" style="34"/>
    <col min="15" max="15" width="11" style="34" bestFit="1" customWidth="1"/>
    <col min="16" max="16" width="14.1640625" style="34" bestFit="1" customWidth="1"/>
    <col min="17" max="17" width="16.6640625" style="34" customWidth="1"/>
    <col min="18" max="21" width="11" style="34" bestFit="1" customWidth="1"/>
    <col min="22" max="22" width="14.83203125" style="34" customWidth="1"/>
    <col min="23" max="16384" width="10.83203125" style="34"/>
  </cols>
  <sheetData>
    <row r="1" spans="1:24">
      <c r="B1" s="284" t="s">
        <v>582</v>
      </c>
    </row>
    <row r="2" spans="1:24">
      <c r="A2" s="6"/>
      <c r="B2" s="284" t="s">
        <v>571</v>
      </c>
      <c r="C2" s="7"/>
      <c r="D2" s="6"/>
      <c r="E2" s="6"/>
      <c r="F2" s="6"/>
      <c r="G2" s="6"/>
      <c r="I2" s="6"/>
      <c r="J2" s="6"/>
      <c r="K2" s="6"/>
      <c r="L2" s="6"/>
    </row>
    <row r="3" spans="1:24">
      <c r="A3" s="6"/>
      <c r="B3" s="284" t="s">
        <v>572</v>
      </c>
      <c r="C3" s="7"/>
      <c r="D3" s="6"/>
      <c r="E3" s="6"/>
      <c r="F3" s="6"/>
      <c r="G3" s="6"/>
      <c r="H3" s="8"/>
      <c r="I3" s="6"/>
      <c r="J3" s="6"/>
      <c r="K3" s="6"/>
      <c r="L3" s="6"/>
      <c r="N3" s="285" t="s">
        <v>299</v>
      </c>
    </row>
    <row r="4" spans="1:24">
      <c r="A4" s="6"/>
      <c r="B4" s="284" t="s">
        <v>573</v>
      </c>
      <c r="C4" s="7"/>
      <c r="D4" s="6"/>
      <c r="E4" s="6"/>
      <c r="F4" s="6"/>
      <c r="G4" s="6"/>
      <c r="H4" s="8"/>
      <c r="I4" s="6"/>
      <c r="J4" s="6"/>
      <c r="K4" s="6"/>
      <c r="L4" s="6"/>
    </row>
    <row r="5" spans="1:24">
      <c r="A5" s="6"/>
      <c r="B5" s="172" t="s">
        <v>574</v>
      </c>
      <c r="C5" s="6"/>
      <c r="D5" s="6"/>
      <c r="E5" s="6"/>
      <c r="F5" s="6"/>
      <c r="G5" s="6"/>
      <c r="H5" s="8"/>
      <c r="I5" s="6"/>
      <c r="J5" s="6"/>
    </row>
    <row r="6" spans="1:24">
      <c r="A6" s="6"/>
      <c r="B6" s="172"/>
      <c r="C6" s="6"/>
      <c r="D6" s="6"/>
      <c r="E6" s="6"/>
      <c r="F6" s="6"/>
      <c r="G6" s="6"/>
      <c r="H6" s="8"/>
      <c r="I6" s="6"/>
      <c r="J6" s="6"/>
    </row>
    <row r="7" spans="1:24">
      <c r="A7" s="6"/>
      <c r="B7" s="172"/>
      <c r="C7" s="286" t="s">
        <v>583</v>
      </c>
      <c r="D7" s="286" t="s">
        <v>584</v>
      </c>
      <c r="E7" s="286" t="s">
        <v>585</v>
      </c>
      <c r="F7" s="6"/>
      <c r="G7" s="6"/>
      <c r="H7" s="8"/>
      <c r="I7" s="6"/>
      <c r="J7" s="6"/>
    </row>
    <row r="8" spans="1:24">
      <c r="A8" s="6"/>
      <c r="B8" s="172">
        <v>2017</v>
      </c>
      <c r="C8" s="10">
        <f>E209</f>
        <v>5840.4609999999975</v>
      </c>
      <c r="D8" s="6">
        <f>H209</f>
        <v>5348.583999999998</v>
      </c>
      <c r="E8" s="6">
        <f>I209</f>
        <v>491.87699999999978</v>
      </c>
      <c r="F8" s="6"/>
      <c r="G8" s="6"/>
      <c r="H8" s="8"/>
      <c r="I8" s="6"/>
      <c r="J8" s="6"/>
      <c r="N8" s="287"/>
    </row>
    <row r="9" spans="1:24">
      <c r="A9" s="6"/>
      <c r="B9" s="172">
        <v>2016</v>
      </c>
      <c r="C9" s="10">
        <f>E454</f>
        <v>5919.0983300000025</v>
      </c>
      <c r="D9" s="8">
        <f>H454</f>
        <v>4610.7069999999994</v>
      </c>
      <c r="E9" s="8">
        <f>I454</f>
        <v>1308.3913299999995</v>
      </c>
      <c r="F9" s="6"/>
      <c r="G9" s="6"/>
      <c r="H9" s="8"/>
      <c r="I9" s="6"/>
      <c r="J9" s="6"/>
      <c r="K9" s="6"/>
      <c r="L9" s="6"/>
    </row>
    <row r="10" spans="1:24">
      <c r="A10" s="6"/>
      <c r="B10" s="172">
        <v>2015</v>
      </c>
      <c r="C10" s="8">
        <f>E675</f>
        <v>4287.5705999999991</v>
      </c>
      <c r="D10" s="8">
        <f>H675</f>
        <v>3035.2716</v>
      </c>
      <c r="E10" s="8">
        <f>I675</f>
        <v>1252.2989999999998</v>
      </c>
      <c r="F10" s="6"/>
      <c r="G10" s="6"/>
      <c r="H10" s="8"/>
      <c r="I10" s="6"/>
      <c r="J10" s="6"/>
      <c r="K10" s="6"/>
      <c r="L10" s="6"/>
    </row>
    <row r="11" spans="1:24">
      <c r="A11" s="6"/>
      <c r="B11" s="288">
        <v>41768</v>
      </c>
      <c r="C11" s="8">
        <f>E822</f>
        <v>4403.4036000000006</v>
      </c>
      <c r="D11" s="8">
        <f>H822</f>
        <v>4053.1636000000012</v>
      </c>
      <c r="E11" s="8">
        <f>I822</f>
        <v>350.24</v>
      </c>
      <c r="F11" s="6"/>
      <c r="G11" s="6"/>
      <c r="H11" s="8"/>
      <c r="I11" s="6"/>
      <c r="J11" s="6"/>
      <c r="K11" s="6"/>
      <c r="L11" s="6"/>
    </row>
    <row r="12" spans="1:24">
      <c r="A12" s="6"/>
      <c r="B12" s="172" t="s">
        <v>35</v>
      </c>
      <c r="C12" s="10">
        <f>SUM(C8:C11)</f>
        <v>20450.533530000001</v>
      </c>
      <c r="D12" s="10">
        <f>SUM(D8:D11)</f>
        <v>17047.726199999997</v>
      </c>
      <c r="E12" s="10">
        <f>SUM(E8:E11)</f>
        <v>3402.8073299999987</v>
      </c>
      <c r="F12" s="6"/>
      <c r="G12" s="6"/>
      <c r="H12" s="8"/>
      <c r="I12" s="6"/>
      <c r="J12" s="6"/>
      <c r="K12" s="6"/>
      <c r="L12" s="6"/>
    </row>
    <row r="13" spans="1:24">
      <c r="A13" s="6"/>
      <c r="B13" s="519">
        <v>2017</v>
      </c>
      <c r="C13" s="519"/>
      <c r="D13" s="519"/>
      <c r="E13" s="519"/>
      <c r="F13" s="519"/>
      <c r="G13" s="519"/>
      <c r="H13" s="519"/>
      <c r="I13" s="519"/>
      <c r="J13" s="519"/>
      <c r="K13" s="519"/>
      <c r="L13" s="519"/>
    </row>
    <row r="14" spans="1:24" ht="90">
      <c r="A14" s="6"/>
      <c r="B14" s="289" t="s">
        <v>436</v>
      </c>
      <c r="C14" s="289" t="s">
        <v>150</v>
      </c>
      <c r="D14" s="289" t="s">
        <v>437</v>
      </c>
      <c r="E14" s="290" t="s">
        <v>810</v>
      </c>
      <c r="F14" s="289" t="s">
        <v>438</v>
      </c>
      <c r="G14" s="291" t="s">
        <v>301</v>
      </c>
      <c r="H14" s="292" t="s">
        <v>147</v>
      </c>
      <c r="I14" s="291" t="s">
        <v>302</v>
      </c>
      <c r="J14" s="291" t="s">
        <v>146</v>
      </c>
      <c r="K14" s="291" t="s">
        <v>145</v>
      </c>
      <c r="L14" s="291" t="s">
        <v>144</v>
      </c>
      <c r="N14" s="6"/>
      <c r="O14" s="520" t="s">
        <v>734</v>
      </c>
      <c r="P14" s="521"/>
      <c r="Q14" s="11">
        <v>85200</v>
      </c>
      <c r="R14" s="6"/>
      <c r="S14" s="12"/>
      <c r="T14" s="13" t="s">
        <v>797</v>
      </c>
      <c r="U14" s="13" t="s">
        <v>295</v>
      </c>
      <c r="V14" s="13" t="s">
        <v>294</v>
      </c>
      <c r="W14" s="6" t="s">
        <v>303</v>
      </c>
      <c r="X14" s="6"/>
    </row>
    <row r="15" spans="1:24" ht="36">
      <c r="B15" s="293">
        <v>194</v>
      </c>
      <c r="C15" s="294" t="s">
        <v>586</v>
      </c>
      <c r="D15" s="295" t="s">
        <v>137</v>
      </c>
      <c r="E15" s="296">
        <v>26</v>
      </c>
      <c r="F15" s="297">
        <v>43099</v>
      </c>
      <c r="G15" s="41">
        <v>1</v>
      </c>
      <c r="H15" s="41">
        <f>E15*G15</f>
        <v>26</v>
      </c>
      <c r="I15" s="219">
        <f>E15-H15</f>
        <v>0</v>
      </c>
      <c r="J15" s="12">
        <f t="shared" ref="J15:J78" si="0">OR(IF((D15="DG"),1,0),IF(D15="DG/FO",1,0),IF(D15="DG/FO/Linyit",1,0))*E15</f>
        <v>0</v>
      </c>
      <c r="K15" s="12">
        <f>OR(IF((D15="KÖMÜR+DİĞER"),1,0),IF(D15="KÖMÜR",1,0))*E15</f>
        <v>0</v>
      </c>
      <c r="L15" s="12">
        <f t="shared" ref="L15:L78" si="1">(IF((D15="LİNYİT"),1,0))*E15</f>
        <v>0</v>
      </c>
      <c r="N15" s="298"/>
      <c r="O15" s="522" t="s">
        <v>298</v>
      </c>
      <c r="P15" s="522"/>
      <c r="Q15" s="11">
        <f>Q14*0.2</f>
        <v>17040</v>
      </c>
      <c r="R15" s="6"/>
      <c r="S15" s="14" t="s">
        <v>34</v>
      </c>
      <c r="T15" s="12">
        <v>5.4300000000000001E-2</v>
      </c>
      <c r="U15" s="12">
        <v>0.62</v>
      </c>
      <c r="V15" s="15">
        <f>T15*3.6/U15</f>
        <v>0.31529032258064521</v>
      </c>
      <c r="W15" s="6"/>
      <c r="X15" s="6"/>
    </row>
    <row r="16" spans="1:24" ht="54">
      <c r="B16" s="293">
        <v>193</v>
      </c>
      <c r="C16" s="294" t="s">
        <v>587</v>
      </c>
      <c r="D16" s="295" t="s">
        <v>142</v>
      </c>
      <c r="E16" s="296">
        <v>9.5</v>
      </c>
      <c r="F16" s="297">
        <v>43097</v>
      </c>
      <c r="G16" s="41">
        <v>1</v>
      </c>
      <c r="H16" s="41">
        <f t="shared" ref="H16:H79" si="2">E16*G16</f>
        <v>9.5</v>
      </c>
      <c r="I16" s="219">
        <f t="shared" ref="I16:I79" si="3">E16-H16</f>
        <v>0</v>
      </c>
      <c r="J16" s="12">
        <f t="shared" si="0"/>
        <v>0</v>
      </c>
      <c r="K16" s="12">
        <f t="shared" ref="K16:K79" si="4">OR(IF((D16="KÖMÜR+DİĞER"),1,0),IF(D16="KÖMÜR",1,0))*E16</f>
        <v>0</v>
      </c>
      <c r="L16" s="12">
        <f t="shared" si="1"/>
        <v>0</v>
      </c>
      <c r="N16" s="298"/>
      <c r="O16" s="522"/>
      <c r="P16" s="522"/>
      <c r="Q16" s="11"/>
      <c r="R16" s="6"/>
      <c r="S16" s="14" t="s">
        <v>293</v>
      </c>
      <c r="T16" s="12">
        <v>8.9499999999999996E-2</v>
      </c>
      <c r="U16" s="12">
        <v>0.5</v>
      </c>
      <c r="V16" s="15">
        <f>T16*3.6/U16</f>
        <v>0.64439999999999997</v>
      </c>
      <c r="W16" s="6"/>
      <c r="X16" s="6"/>
    </row>
    <row r="17" spans="2:24" ht="36">
      <c r="B17" s="293">
        <v>192</v>
      </c>
      <c r="C17" s="294" t="s">
        <v>588</v>
      </c>
      <c r="D17" s="295" t="s">
        <v>141</v>
      </c>
      <c r="E17" s="296">
        <v>660</v>
      </c>
      <c r="F17" s="297">
        <v>43096</v>
      </c>
      <c r="G17" s="41">
        <v>1</v>
      </c>
      <c r="H17" s="41">
        <f t="shared" si="2"/>
        <v>660</v>
      </c>
      <c r="I17" s="219">
        <f t="shared" si="3"/>
        <v>0</v>
      </c>
      <c r="J17" s="12">
        <f t="shared" si="0"/>
        <v>0</v>
      </c>
      <c r="K17" s="12">
        <f t="shared" si="4"/>
        <v>660</v>
      </c>
      <c r="L17" s="12">
        <f t="shared" si="1"/>
        <v>0</v>
      </c>
      <c r="N17" s="299"/>
      <c r="O17" s="522"/>
      <c r="P17" s="522"/>
      <c r="Q17" s="11"/>
      <c r="R17" s="6"/>
      <c r="S17" s="14" t="s">
        <v>32</v>
      </c>
      <c r="T17" s="12">
        <v>9.0899999999999995E-2</v>
      </c>
      <c r="U17" s="12">
        <v>0.5</v>
      </c>
      <c r="V17" s="15">
        <f>T17*3.6/U17</f>
        <v>0.65447999999999995</v>
      </c>
      <c r="W17" s="6"/>
      <c r="X17" s="6"/>
    </row>
    <row r="18" spans="2:24" ht="30" customHeight="1">
      <c r="B18" s="293">
        <v>191</v>
      </c>
      <c r="C18" s="294" t="s">
        <v>589</v>
      </c>
      <c r="D18" s="295" t="s">
        <v>130</v>
      </c>
      <c r="E18" s="296">
        <v>3.4</v>
      </c>
      <c r="F18" s="297">
        <v>43095</v>
      </c>
      <c r="G18" s="41">
        <v>1</v>
      </c>
      <c r="H18" s="41">
        <f t="shared" si="2"/>
        <v>3.4</v>
      </c>
      <c r="I18" s="219">
        <f t="shared" si="3"/>
        <v>0</v>
      </c>
      <c r="J18" s="12">
        <f t="shared" si="0"/>
        <v>0</v>
      </c>
      <c r="K18" s="12">
        <f t="shared" si="4"/>
        <v>0</v>
      </c>
      <c r="L18" s="12">
        <f t="shared" si="1"/>
        <v>0</v>
      </c>
      <c r="N18" s="299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2:24" ht="108">
      <c r="B19" s="300">
        <v>190</v>
      </c>
      <c r="C19" s="301" t="s">
        <v>590</v>
      </c>
      <c r="D19" s="302" t="s">
        <v>130</v>
      </c>
      <c r="E19" s="303">
        <v>22.652000000000001</v>
      </c>
      <c r="F19" s="304">
        <v>43092</v>
      </c>
      <c r="G19" s="305">
        <v>0</v>
      </c>
      <c r="H19" s="305">
        <f t="shared" si="2"/>
        <v>0</v>
      </c>
      <c r="I19" s="306">
        <f t="shared" si="3"/>
        <v>22.652000000000001</v>
      </c>
      <c r="J19" s="16">
        <f t="shared" si="0"/>
        <v>0</v>
      </c>
      <c r="K19" s="16">
        <f t="shared" si="4"/>
        <v>0</v>
      </c>
      <c r="L19" s="16">
        <f t="shared" si="1"/>
        <v>0</v>
      </c>
      <c r="N19" s="299"/>
      <c r="O19" s="12"/>
      <c r="P19" s="13" t="s">
        <v>291</v>
      </c>
      <c r="Q19" s="13" t="s">
        <v>290</v>
      </c>
      <c r="R19" s="13" t="s">
        <v>289</v>
      </c>
      <c r="S19" s="307" t="s">
        <v>288</v>
      </c>
      <c r="T19" s="13" t="s">
        <v>287</v>
      </c>
      <c r="U19" s="13" t="s">
        <v>286</v>
      </c>
      <c r="V19" s="13" t="s">
        <v>285</v>
      </c>
      <c r="W19" s="6"/>
      <c r="X19" s="6"/>
    </row>
    <row r="20" spans="2:24" ht="36">
      <c r="B20" s="300">
        <v>189</v>
      </c>
      <c r="C20" s="301" t="s">
        <v>276</v>
      </c>
      <c r="D20" s="302" t="s">
        <v>130</v>
      </c>
      <c r="E20" s="308">
        <v>5</v>
      </c>
      <c r="F20" s="304">
        <v>43091</v>
      </c>
      <c r="G20" s="305">
        <v>0</v>
      </c>
      <c r="H20" s="305">
        <f t="shared" si="2"/>
        <v>0</v>
      </c>
      <c r="I20" s="306">
        <f t="shared" si="3"/>
        <v>5</v>
      </c>
      <c r="J20" s="16">
        <f t="shared" si="0"/>
        <v>0</v>
      </c>
      <c r="K20" s="16">
        <f t="shared" si="4"/>
        <v>0</v>
      </c>
      <c r="L20" s="16">
        <f t="shared" si="1"/>
        <v>0</v>
      </c>
      <c r="N20" s="299"/>
      <c r="O20" s="17">
        <v>2017</v>
      </c>
      <c r="P20" s="18">
        <f>J209</f>
        <v>2621.5359999999996</v>
      </c>
      <c r="Q20" s="18">
        <f>P20*V15</f>
        <v>826.54493109677423</v>
      </c>
      <c r="R20" s="19">
        <f>K209</f>
        <v>1370</v>
      </c>
      <c r="S20" s="20">
        <f>R20*V16</f>
        <v>882.82799999999997</v>
      </c>
      <c r="T20" s="20">
        <f>L209</f>
        <v>2.66</v>
      </c>
      <c r="U20" s="20">
        <f>T20*V17</f>
        <v>1.7409167999999999</v>
      </c>
      <c r="V20" s="20">
        <f>Q20+S20+U20</f>
        <v>1711.1138478967741</v>
      </c>
      <c r="W20" s="6"/>
      <c r="X20" s="6"/>
    </row>
    <row r="21" spans="2:24" ht="18">
      <c r="B21" s="300">
        <v>188</v>
      </c>
      <c r="C21" s="301" t="s">
        <v>439</v>
      </c>
      <c r="D21" s="302" t="s">
        <v>132</v>
      </c>
      <c r="E21" s="308">
        <v>2.5</v>
      </c>
      <c r="F21" s="304">
        <v>43091</v>
      </c>
      <c r="G21" s="305">
        <v>0</v>
      </c>
      <c r="H21" s="305">
        <f t="shared" si="2"/>
        <v>0</v>
      </c>
      <c r="I21" s="306">
        <f t="shared" si="3"/>
        <v>2.5</v>
      </c>
      <c r="J21" s="16">
        <f t="shared" si="0"/>
        <v>0</v>
      </c>
      <c r="K21" s="16">
        <f t="shared" si="4"/>
        <v>0</v>
      </c>
      <c r="L21" s="16">
        <f t="shared" si="1"/>
        <v>0</v>
      </c>
      <c r="N21" s="299"/>
      <c r="O21" s="17">
        <v>2016</v>
      </c>
      <c r="P21" s="18">
        <f>J454</f>
        <v>1691.4389999999999</v>
      </c>
      <c r="Q21" s="18">
        <f>P21*V15</f>
        <v>533.29434793548387</v>
      </c>
      <c r="R21" s="19">
        <f>K454</f>
        <v>700</v>
      </c>
      <c r="S21" s="20">
        <f>R21*V16</f>
        <v>451.08</v>
      </c>
      <c r="T21" s="20">
        <f>L454</f>
        <v>430</v>
      </c>
      <c r="U21" s="20">
        <f>T21*V17</f>
        <v>281.4264</v>
      </c>
      <c r="V21" s="20">
        <f>Q21+S21+U21</f>
        <v>1265.800747935484</v>
      </c>
      <c r="W21" s="6"/>
      <c r="X21" s="6"/>
    </row>
    <row r="22" spans="2:24" ht="18">
      <c r="B22" s="293">
        <v>187</v>
      </c>
      <c r="C22" s="294" t="s">
        <v>591</v>
      </c>
      <c r="D22" s="309" t="s">
        <v>130</v>
      </c>
      <c r="E22" s="310">
        <v>138</v>
      </c>
      <c r="F22" s="297">
        <v>43090</v>
      </c>
      <c r="G22" s="41">
        <v>1</v>
      </c>
      <c r="H22" s="41">
        <f t="shared" si="2"/>
        <v>138</v>
      </c>
      <c r="I22" s="219">
        <f t="shared" si="3"/>
        <v>0</v>
      </c>
      <c r="J22" s="12">
        <f t="shared" si="0"/>
        <v>0</v>
      </c>
      <c r="K22" s="12">
        <f t="shared" si="4"/>
        <v>0</v>
      </c>
      <c r="L22" s="12">
        <f t="shared" si="1"/>
        <v>0</v>
      </c>
      <c r="N22" s="299"/>
      <c r="O22" s="17">
        <v>2015</v>
      </c>
      <c r="P22" s="18">
        <f>J675</f>
        <v>203.23599999999999</v>
      </c>
      <c r="Q22" s="18">
        <f>P22*V15</f>
        <v>64.078344000000001</v>
      </c>
      <c r="R22" s="19">
        <f>K675</f>
        <v>292.60000000000002</v>
      </c>
      <c r="S22" s="20">
        <f>R22*V16</f>
        <v>188.55144000000001</v>
      </c>
      <c r="T22" s="20">
        <f>L675</f>
        <v>435</v>
      </c>
      <c r="U22" s="20">
        <f>T22*V17</f>
        <v>284.69880000000001</v>
      </c>
      <c r="V22" s="20">
        <f>Q22+S22+U22</f>
        <v>537.32858400000009</v>
      </c>
      <c r="W22" s="6"/>
      <c r="X22" s="6"/>
    </row>
    <row r="23" spans="2:24" ht="18">
      <c r="B23" s="293">
        <v>186</v>
      </c>
      <c r="C23" s="294" t="s">
        <v>592</v>
      </c>
      <c r="D23" s="295" t="s">
        <v>132</v>
      </c>
      <c r="E23" s="296">
        <v>6</v>
      </c>
      <c r="F23" s="297">
        <v>43090</v>
      </c>
      <c r="G23" s="41">
        <v>1</v>
      </c>
      <c r="H23" s="41">
        <f t="shared" si="2"/>
        <v>6</v>
      </c>
      <c r="I23" s="219">
        <f t="shared" si="3"/>
        <v>0</v>
      </c>
      <c r="J23" s="12">
        <f t="shared" si="0"/>
        <v>0</v>
      </c>
      <c r="K23" s="12">
        <f t="shared" si="4"/>
        <v>0</v>
      </c>
      <c r="L23" s="12">
        <f t="shared" si="1"/>
        <v>0</v>
      </c>
      <c r="N23" s="299"/>
      <c r="O23" s="17">
        <v>2014</v>
      </c>
      <c r="P23" s="18">
        <f>J822</f>
        <v>1032.7640000000001</v>
      </c>
      <c r="Q23" s="18">
        <f>P23*V15</f>
        <v>325.62049470967753</v>
      </c>
      <c r="R23" s="19">
        <f>K822</f>
        <v>1800</v>
      </c>
      <c r="S23" s="20">
        <f>R23*V16</f>
        <v>1159.9199999999998</v>
      </c>
      <c r="T23" s="20">
        <f>L822</f>
        <v>7.14</v>
      </c>
      <c r="U23" s="20">
        <f>T23*V17</f>
        <v>4.6729871999999997</v>
      </c>
      <c r="V23" s="20">
        <f>Q23+S23+U23</f>
        <v>1490.2134819096775</v>
      </c>
      <c r="W23" s="7"/>
      <c r="X23" s="6"/>
    </row>
    <row r="24" spans="2:24" ht="18">
      <c r="B24" s="300">
        <v>185</v>
      </c>
      <c r="C24" s="301" t="s">
        <v>593</v>
      </c>
      <c r="D24" s="302" t="s">
        <v>132</v>
      </c>
      <c r="E24" s="308">
        <v>0</v>
      </c>
      <c r="F24" s="304">
        <v>43089</v>
      </c>
      <c r="G24" s="305">
        <v>0</v>
      </c>
      <c r="H24" s="305">
        <f t="shared" si="2"/>
        <v>0</v>
      </c>
      <c r="I24" s="306">
        <f t="shared" si="3"/>
        <v>0</v>
      </c>
      <c r="J24" s="16">
        <f t="shared" si="0"/>
        <v>0</v>
      </c>
      <c r="K24" s="16">
        <f t="shared" si="4"/>
        <v>0</v>
      </c>
      <c r="L24" s="16">
        <f t="shared" si="1"/>
        <v>0</v>
      </c>
      <c r="N24" s="299"/>
      <c r="O24" s="21" t="s">
        <v>35</v>
      </c>
      <c r="P24" s="20">
        <f>SUM(P20:P23)</f>
        <v>5548.9749999999995</v>
      </c>
      <c r="Q24" s="20">
        <f t="shared" ref="Q24:V24" si="5">SUM(Q20:Q23)</f>
        <v>1749.5381177419358</v>
      </c>
      <c r="R24" s="20">
        <f t="shared" si="5"/>
        <v>4162.6000000000004</v>
      </c>
      <c r="S24" s="20">
        <f t="shared" si="5"/>
        <v>2682.3794399999997</v>
      </c>
      <c r="T24" s="20">
        <f t="shared" si="5"/>
        <v>874.80000000000007</v>
      </c>
      <c r="U24" s="20">
        <f t="shared" si="5"/>
        <v>572.53910399999995</v>
      </c>
      <c r="V24" s="20">
        <f t="shared" si="5"/>
        <v>5004.456661741935</v>
      </c>
      <c r="W24" s="6"/>
      <c r="X24" s="6"/>
    </row>
    <row r="25" spans="2:24" ht="36">
      <c r="B25" s="293">
        <v>184</v>
      </c>
      <c r="C25" s="294" t="s">
        <v>594</v>
      </c>
      <c r="D25" s="295" t="s">
        <v>137</v>
      </c>
      <c r="E25" s="310">
        <v>10</v>
      </c>
      <c r="F25" s="297">
        <v>43089</v>
      </c>
      <c r="G25" s="41">
        <v>1</v>
      </c>
      <c r="H25" s="41">
        <f t="shared" si="2"/>
        <v>10</v>
      </c>
      <c r="I25" s="219">
        <f t="shared" si="3"/>
        <v>0</v>
      </c>
      <c r="J25" s="12">
        <f t="shared" si="0"/>
        <v>0</v>
      </c>
      <c r="K25" s="12">
        <f t="shared" si="4"/>
        <v>0</v>
      </c>
      <c r="L25" s="12">
        <f t="shared" si="1"/>
        <v>0</v>
      </c>
      <c r="N25" s="299"/>
      <c r="O25" s="6"/>
      <c r="P25" s="286"/>
      <c r="Q25" s="6"/>
      <c r="R25" s="286"/>
      <c r="S25" s="6"/>
      <c r="T25" s="286"/>
      <c r="U25" s="6"/>
      <c r="V25" s="6"/>
      <c r="W25" s="6"/>
      <c r="X25" s="6"/>
    </row>
    <row r="26" spans="2:24" ht="18">
      <c r="B26" s="293">
        <v>183</v>
      </c>
      <c r="C26" s="294" t="s">
        <v>595</v>
      </c>
      <c r="D26" s="295" t="s">
        <v>131</v>
      </c>
      <c r="E26" s="310">
        <v>64</v>
      </c>
      <c r="F26" s="297">
        <v>43089</v>
      </c>
      <c r="G26" s="41">
        <v>1</v>
      </c>
      <c r="H26" s="41">
        <f t="shared" si="2"/>
        <v>64</v>
      </c>
      <c r="I26" s="219">
        <f t="shared" si="3"/>
        <v>0</v>
      </c>
      <c r="J26" s="12">
        <f t="shared" si="0"/>
        <v>64</v>
      </c>
      <c r="K26" s="12">
        <f t="shared" si="4"/>
        <v>0</v>
      </c>
      <c r="L26" s="12">
        <f t="shared" si="1"/>
        <v>0</v>
      </c>
      <c r="N26" s="299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2:24" ht="72">
      <c r="B27" s="293">
        <v>182</v>
      </c>
      <c r="C27" s="294" t="s">
        <v>596</v>
      </c>
      <c r="D27" s="309" t="s">
        <v>130</v>
      </c>
      <c r="E27" s="311">
        <v>5.3250000000000002</v>
      </c>
      <c r="F27" s="297">
        <v>43084</v>
      </c>
      <c r="G27" s="41">
        <v>1</v>
      </c>
      <c r="H27" s="41">
        <f t="shared" si="2"/>
        <v>5.3250000000000002</v>
      </c>
      <c r="I27" s="219">
        <f t="shared" si="3"/>
        <v>0</v>
      </c>
      <c r="J27" s="12">
        <f t="shared" si="0"/>
        <v>0</v>
      </c>
      <c r="K27" s="12">
        <f t="shared" si="4"/>
        <v>0</v>
      </c>
      <c r="L27" s="12">
        <f t="shared" si="1"/>
        <v>0</v>
      </c>
      <c r="N27" s="299"/>
      <c r="O27" s="22"/>
      <c r="P27" s="13" t="s">
        <v>283</v>
      </c>
      <c r="Q27" s="13" t="s">
        <v>282</v>
      </c>
      <c r="R27" s="13" t="s">
        <v>281</v>
      </c>
      <c r="S27" s="13" t="s">
        <v>129</v>
      </c>
      <c r="T27" s="6"/>
      <c r="U27" s="6"/>
      <c r="V27" s="6"/>
      <c r="W27" s="6"/>
      <c r="X27" s="6"/>
    </row>
    <row r="28" spans="2:24" ht="18">
      <c r="B28" s="293">
        <v>181</v>
      </c>
      <c r="C28" s="294" t="s">
        <v>597</v>
      </c>
      <c r="D28" s="295" t="s">
        <v>130</v>
      </c>
      <c r="E28" s="296">
        <v>0.27</v>
      </c>
      <c r="F28" s="297">
        <v>43084</v>
      </c>
      <c r="G28" s="41">
        <v>1</v>
      </c>
      <c r="H28" s="41">
        <f t="shared" si="2"/>
        <v>0.27</v>
      </c>
      <c r="I28" s="219">
        <f t="shared" si="3"/>
        <v>0</v>
      </c>
      <c r="J28" s="12">
        <f t="shared" si="0"/>
        <v>0</v>
      </c>
      <c r="K28" s="12">
        <f t="shared" si="4"/>
        <v>0</v>
      </c>
      <c r="L28" s="12">
        <f t="shared" si="1"/>
        <v>0</v>
      </c>
      <c r="N28" s="299"/>
      <c r="O28" s="17">
        <v>2017</v>
      </c>
      <c r="P28" s="312">
        <f>E209</f>
        <v>5840.4609999999975</v>
      </c>
      <c r="Q28" s="313">
        <f>H209</f>
        <v>5348.583999999998</v>
      </c>
      <c r="R28" s="23">
        <f>Q28*EGs!G42</f>
        <v>5114.3295418372254</v>
      </c>
      <c r="S28" s="13"/>
      <c r="T28" s="6"/>
      <c r="U28" s="6"/>
      <c r="V28" s="6"/>
      <c r="W28" s="6"/>
      <c r="X28" s="6"/>
    </row>
    <row r="29" spans="2:24" ht="18">
      <c r="B29" s="293">
        <v>180</v>
      </c>
      <c r="C29" s="294" t="s">
        <v>598</v>
      </c>
      <c r="D29" s="295" t="s">
        <v>132</v>
      </c>
      <c r="E29" s="296">
        <v>6.5</v>
      </c>
      <c r="F29" s="297">
        <v>43077</v>
      </c>
      <c r="G29" s="41">
        <v>1</v>
      </c>
      <c r="H29" s="41">
        <f t="shared" si="2"/>
        <v>6.5</v>
      </c>
      <c r="I29" s="219">
        <f t="shared" si="3"/>
        <v>0</v>
      </c>
      <c r="J29" s="12">
        <f t="shared" si="0"/>
        <v>0</v>
      </c>
      <c r="K29" s="12">
        <f t="shared" si="4"/>
        <v>0</v>
      </c>
      <c r="L29" s="12">
        <f t="shared" si="1"/>
        <v>0</v>
      </c>
      <c r="N29" s="299"/>
      <c r="O29" s="17">
        <v>2016</v>
      </c>
      <c r="P29" s="24">
        <f>E454</f>
        <v>5919.0983300000025</v>
      </c>
      <c r="Q29" s="24">
        <f>H454</f>
        <v>4610.7069999999994</v>
      </c>
      <c r="R29" s="23">
        <f>Q29*EGs!G42</f>
        <v>4408.7696891094347</v>
      </c>
      <c r="S29" s="25">
        <f>V24/R32</f>
        <v>0.30700156081509122</v>
      </c>
      <c r="T29" s="6"/>
      <c r="U29" s="6"/>
      <c r="V29" s="6"/>
      <c r="W29" s="7"/>
      <c r="X29" s="6"/>
    </row>
    <row r="30" spans="2:24" ht="18">
      <c r="B30" s="300">
        <v>179</v>
      </c>
      <c r="C30" s="301" t="s">
        <v>593</v>
      </c>
      <c r="D30" s="302" t="s">
        <v>132</v>
      </c>
      <c r="E30" s="308">
        <v>17</v>
      </c>
      <c r="F30" s="304">
        <v>43077</v>
      </c>
      <c r="G30" s="305">
        <v>0</v>
      </c>
      <c r="H30" s="305">
        <f t="shared" si="2"/>
        <v>0</v>
      </c>
      <c r="I30" s="306">
        <f t="shared" si="3"/>
        <v>17</v>
      </c>
      <c r="J30" s="16">
        <f t="shared" si="0"/>
        <v>0</v>
      </c>
      <c r="K30" s="16">
        <f t="shared" si="4"/>
        <v>0</v>
      </c>
      <c r="L30" s="16">
        <f t="shared" si="1"/>
        <v>0</v>
      </c>
      <c r="N30" s="299"/>
      <c r="O30" s="17">
        <v>2015</v>
      </c>
      <c r="P30" s="24">
        <f>E675</f>
        <v>4287.5705999999991</v>
      </c>
      <c r="Q30" s="24">
        <f>H675</f>
        <v>3035.2716</v>
      </c>
      <c r="R30" s="23">
        <f>Q30*EGs!G42</f>
        <v>2902.3343769826834</v>
      </c>
      <c r="S30" s="25"/>
      <c r="T30" s="6"/>
      <c r="U30" s="6"/>
      <c r="V30" s="6"/>
      <c r="W30" s="7"/>
      <c r="X30" s="6"/>
    </row>
    <row r="31" spans="2:24" ht="36">
      <c r="B31" s="300">
        <v>178</v>
      </c>
      <c r="C31" s="301" t="s">
        <v>599</v>
      </c>
      <c r="D31" s="302" t="s">
        <v>480</v>
      </c>
      <c r="E31" s="303">
        <v>4</v>
      </c>
      <c r="F31" s="304">
        <v>43077</v>
      </c>
      <c r="G31" s="305">
        <v>0</v>
      </c>
      <c r="H31" s="305">
        <f t="shared" si="2"/>
        <v>0</v>
      </c>
      <c r="I31" s="306">
        <f t="shared" si="3"/>
        <v>4</v>
      </c>
      <c r="J31" s="16">
        <f t="shared" si="0"/>
        <v>0</v>
      </c>
      <c r="K31" s="16">
        <f t="shared" si="4"/>
        <v>0</v>
      </c>
      <c r="L31" s="16">
        <f t="shared" si="1"/>
        <v>0</v>
      </c>
      <c r="N31" s="299"/>
      <c r="O31" s="17">
        <v>2014</v>
      </c>
      <c r="P31" s="24">
        <f>E822</f>
        <v>4403.4036000000006</v>
      </c>
      <c r="Q31" s="24">
        <f>H822</f>
        <v>4053.1636000000012</v>
      </c>
      <c r="R31" s="23">
        <f>Q31*EGs!G42</f>
        <v>3875.6452805788103</v>
      </c>
      <c r="S31" s="25"/>
      <c r="T31" s="6"/>
      <c r="U31" s="6"/>
      <c r="V31" s="6"/>
      <c r="W31" s="7"/>
      <c r="X31" s="6"/>
    </row>
    <row r="32" spans="2:24" ht="36">
      <c r="B32" s="293">
        <v>177</v>
      </c>
      <c r="C32" s="294" t="s">
        <v>600</v>
      </c>
      <c r="D32" s="295" t="s">
        <v>137</v>
      </c>
      <c r="E32" s="296">
        <v>8</v>
      </c>
      <c r="F32" s="297">
        <v>43076</v>
      </c>
      <c r="G32" s="41">
        <v>1</v>
      </c>
      <c r="H32" s="41">
        <f t="shared" si="2"/>
        <v>8</v>
      </c>
      <c r="I32" s="219">
        <f t="shared" si="3"/>
        <v>0</v>
      </c>
      <c r="J32" s="12">
        <f t="shared" si="0"/>
        <v>0</v>
      </c>
      <c r="K32" s="12">
        <f t="shared" si="4"/>
        <v>0</v>
      </c>
      <c r="L32" s="12">
        <f t="shared" si="1"/>
        <v>0</v>
      </c>
      <c r="N32" s="299"/>
      <c r="O32" s="17" t="s">
        <v>123</v>
      </c>
      <c r="P32" s="24">
        <f>SUM(P28:P31)</f>
        <v>20450.533530000001</v>
      </c>
      <c r="Q32" s="24">
        <f>SUM(Q28:Q31)</f>
        <v>17047.726199999997</v>
      </c>
      <c r="R32" s="24">
        <f>SUM(R28:R31)</f>
        <v>16301.078888508153</v>
      </c>
      <c r="S32" s="24"/>
      <c r="T32" s="6"/>
      <c r="U32" s="6"/>
      <c r="V32" s="6"/>
      <c r="W32" s="7"/>
      <c r="X32" s="6"/>
    </row>
    <row r="33" spans="2:24" ht="36">
      <c r="B33" s="293">
        <v>176</v>
      </c>
      <c r="C33" s="294" t="s">
        <v>487</v>
      </c>
      <c r="D33" s="295" t="s">
        <v>134</v>
      </c>
      <c r="E33" s="314">
        <v>2.8260000000000001</v>
      </c>
      <c r="F33" s="297">
        <v>43071</v>
      </c>
      <c r="G33" s="41">
        <v>1</v>
      </c>
      <c r="H33" s="41">
        <f t="shared" si="2"/>
        <v>2.8260000000000001</v>
      </c>
      <c r="I33" s="219">
        <f t="shared" si="3"/>
        <v>0</v>
      </c>
      <c r="J33" s="12">
        <f t="shared" si="0"/>
        <v>0</v>
      </c>
      <c r="K33" s="12">
        <f t="shared" si="4"/>
        <v>0</v>
      </c>
      <c r="L33" s="12">
        <f t="shared" si="1"/>
        <v>0</v>
      </c>
      <c r="N33" s="299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2:24" ht="19" thickBot="1">
      <c r="B34" s="293">
        <v>175</v>
      </c>
      <c r="C34" s="294" t="s">
        <v>277</v>
      </c>
      <c r="D34" s="295" t="s">
        <v>132</v>
      </c>
      <c r="E34" s="296">
        <v>2.35</v>
      </c>
      <c r="F34" s="297">
        <v>43070</v>
      </c>
      <c r="G34" s="41">
        <v>1</v>
      </c>
      <c r="H34" s="41">
        <f t="shared" si="2"/>
        <v>2.35</v>
      </c>
      <c r="I34" s="219">
        <f t="shared" si="3"/>
        <v>0</v>
      </c>
      <c r="J34" s="12">
        <f t="shared" si="0"/>
        <v>0</v>
      </c>
      <c r="K34" s="12">
        <f t="shared" si="4"/>
        <v>0</v>
      </c>
      <c r="L34" s="12">
        <f t="shared" si="1"/>
        <v>0</v>
      </c>
      <c r="N34" s="299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2:24" ht="19" thickBot="1">
      <c r="B35" s="293">
        <v>174</v>
      </c>
      <c r="C35" s="294" t="s">
        <v>601</v>
      </c>
      <c r="D35" s="295" t="s">
        <v>130</v>
      </c>
      <c r="E35" s="310">
        <v>37.1</v>
      </c>
      <c r="F35" s="297">
        <v>43070</v>
      </c>
      <c r="G35" s="41">
        <v>1</v>
      </c>
      <c r="H35" s="41">
        <f t="shared" si="2"/>
        <v>37.1</v>
      </c>
      <c r="I35" s="219">
        <f t="shared" si="3"/>
        <v>0</v>
      </c>
      <c r="J35" s="12">
        <f t="shared" si="0"/>
        <v>0</v>
      </c>
      <c r="K35" s="12">
        <f t="shared" si="4"/>
        <v>0</v>
      </c>
      <c r="L35" s="12">
        <f t="shared" si="1"/>
        <v>0</v>
      </c>
      <c r="N35" s="315" t="s">
        <v>296</v>
      </c>
      <c r="O35" s="315"/>
      <c r="P35" s="316"/>
      <c r="Q35" s="317">
        <f>V24/R32</f>
        <v>0.30700156081509122</v>
      </c>
      <c r="R35" s="517" t="s">
        <v>297</v>
      </c>
      <c r="S35" s="518"/>
      <c r="T35" s="6"/>
      <c r="U35" s="6"/>
      <c r="V35" s="6"/>
      <c r="W35" s="7"/>
      <c r="X35" s="6"/>
    </row>
    <row r="36" spans="2:24" ht="18">
      <c r="B36" s="300">
        <v>173</v>
      </c>
      <c r="C36" s="301" t="s">
        <v>602</v>
      </c>
      <c r="D36" s="302" t="s">
        <v>132</v>
      </c>
      <c r="E36" s="303">
        <v>19.896000000000001</v>
      </c>
      <c r="F36" s="304">
        <v>43063</v>
      </c>
      <c r="G36" s="305">
        <v>0</v>
      </c>
      <c r="H36" s="305">
        <f t="shared" si="2"/>
        <v>0</v>
      </c>
      <c r="I36" s="306">
        <f t="shared" si="3"/>
        <v>19.896000000000001</v>
      </c>
      <c r="J36" s="16">
        <f t="shared" si="0"/>
        <v>0</v>
      </c>
      <c r="K36" s="16">
        <f t="shared" si="4"/>
        <v>0</v>
      </c>
      <c r="L36" s="16">
        <f t="shared" si="1"/>
        <v>0</v>
      </c>
    </row>
    <row r="37" spans="2:24" ht="72">
      <c r="B37" s="293">
        <v>172</v>
      </c>
      <c r="C37" s="294" t="s">
        <v>603</v>
      </c>
      <c r="D37" s="295" t="s">
        <v>604</v>
      </c>
      <c r="E37" s="296">
        <v>1.56</v>
      </c>
      <c r="F37" s="297">
        <v>43063</v>
      </c>
      <c r="G37" s="41">
        <v>1</v>
      </c>
      <c r="H37" s="41">
        <f t="shared" si="2"/>
        <v>1.56</v>
      </c>
      <c r="I37" s="219">
        <f t="shared" si="3"/>
        <v>0</v>
      </c>
      <c r="J37" s="12">
        <f t="shared" si="0"/>
        <v>0</v>
      </c>
      <c r="K37" s="12">
        <f t="shared" si="4"/>
        <v>0</v>
      </c>
      <c r="L37" s="12">
        <f t="shared" si="1"/>
        <v>0</v>
      </c>
    </row>
    <row r="38" spans="2:24" ht="18">
      <c r="B38" s="293">
        <v>171</v>
      </c>
      <c r="C38" s="294" t="s">
        <v>605</v>
      </c>
      <c r="D38" s="295" t="s">
        <v>132</v>
      </c>
      <c r="E38" s="314">
        <v>6.6680000000000001</v>
      </c>
      <c r="F38" s="297">
        <v>43063</v>
      </c>
      <c r="G38" s="41">
        <v>1</v>
      </c>
      <c r="H38" s="41">
        <f t="shared" si="2"/>
        <v>6.6680000000000001</v>
      </c>
      <c r="I38" s="219">
        <f t="shared" si="3"/>
        <v>0</v>
      </c>
      <c r="J38" s="12">
        <f t="shared" si="0"/>
        <v>0</v>
      </c>
      <c r="K38" s="12">
        <f t="shared" si="4"/>
        <v>0</v>
      </c>
      <c r="L38" s="12">
        <f t="shared" si="1"/>
        <v>0</v>
      </c>
    </row>
    <row r="39" spans="2:24" ht="36">
      <c r="B39" s="293">
        <v>170</v>
      </c>
      <c r="C39" s="294" t="s">
        <v>606</v>
      </c>
      <c r="D39" s="295" t="s">
        <v>132</v>
      </c>
      <c r="E39" s="296">
        <v>6.79</v>
      </c>
      <c r="F39" s="297">
        <v>43063</v>
      </c>
      <c r="G39" s="41">
        <v>1</v>
      </c>
      <c r="H39" s="41">
        <f t="shared" si="2"/>
        <v>6.79</v>
      </c>
      <c r="I39" s="219">
        <f t="shared" si="3"/>
        <v>0</v>
      </c>
      <c r="J39" s="12">
        <f t="shared" si="0"/>
        <v>0</v>
      </c>
      <c r="K39" s="12">
        <f t="shared" si="4"/>
        <v>0</v>
      </c>
      <c r="L39" s="12">
        <f t="shared" si="1"/>
        <v>0</v>
      </c>
    </row>
    <row r="40" spans="2:24" ht="18">
      <c r="B40" s="293">
        <v>169</v>
      </c>
      <c r="C40" s="294" t="s">
        <v>598</v>
      </c>
      <c r="D40" s="295" t="s">
        <v>132</v>
      </c>
      <c r="E40" s="296">
        <v>9.75</v>
      </c>
      <c r="F40" s="297">
        <v>43063</v>
      </c>
      <c r="G40" s="41">
        <v>1</v>
      </c>
      <c r="H40" s="41">
        <f t="shared" si="2"/>
        <v>9.75</v>
      </c>
      <c r="I40" s="219">
        <f t="shared" si="3"/>
        <v>0</v>
      </c>
      <c r="J40" s="12">
        <f t="shared" si="0"/>
        <v>0</v>
      </c>
      <c r="K40" s="12">
        <f t="shared" si="4"/>
        <v>0</v>
      </c>
      <c r="L40" s="12">
        <f t="shared" si="1"/>
        <v>0</v>
      </c>
    </row>
    <row r="41" spans="2:24" ht="36">
      <c r="B41" s="293">
        <v>168</v>
      </c>
      <c r="C41" s="294" t="s">
        <v>607</v>
      </c>
      <c r="D41" s="295" t="s">
        <v>131</v>
      </c>
      <c r="E41" s="296">
        <v>21.88</v>
      </c>
      <c r="F41" s="297">
        <v>43062</v>
      </c>
      <c r="G41" s="41">
        <v>1</v>
      </c>
      <c r="H41" s="41">
        <f t="shared" si="2"/>
        <v>21.88</v>
      </c>
      <c r="I41" s="219">
        <f t="shared" si="3"/>
        <v>0</v>
      </c>
      <c r="J41" s="12">
        <f t="shared" si="0"/>
        <v>21.88</v>
      </c>
      <c r="K41" s="12">
        <f t="shared" si="4"/>
        <v>0</v>
      </c>
      <c r="L41" s="12">
        <f t="shared" si="1"/>
        <v>0</v>
      </c>
    </row>
    <row r="42" spans="2:24" ht="18">
      <c r="B42" s="300">
        <v>167</v>
      </c>
      <c r="C42" s="301" t="s">
        <v>221</v>
      </c>
      <c r="D42" s="302" t="s">
        <v>132</v>
      </c>
      <c r="E42" s="308">
        <v>2.1</v>
      </c>
      <c r="F42" s="304">
        <v>43062</v>
      </c>
      <c r="G42" s="305">
        <v>0</v>
      </c>
      <c r="H42" s="305">
        <f t="shared" si="2"/>
        <v>0</v>
      </c>
      <c r="I42" s="306">
        <f t="shared" si="3"/>
        <v>2.1</v>
      </c>
      <c r="J42" s="16">
        <f t="shared" si="0"/>
        <v>0</v>
      </c>
      <c r="K42" s="16">
        <f t="shared" si="4"/>
        <v>0</v>
      </c>
      <c r="L42" s="16">
        <f t="shared" si="1"/>
        <v>0</v>
      </c>
    </row>
    <row r="43" spans="2:24" ht="18">
      <c r="B43" s="293">
        <v>166</v>
      </c>
      <c r="C43" s="294" t="s">
        <v>592</v>
      </c>
      <c r="D43" s="295" t="s">
        <v>132</v>
      </c>
      <c r="E43" s="296">
        <v>6</v>
      </c>
      <c r="F43" s="297">
        <v>43056</v>
      </c>
      <c r="G43" s="41">
        <v>1</v>
      </c>
      <c r="H43" s="41">
        <f t="shared" si="2"/>
        <v>6</v>
      </c>
      <c r="I43" s="219">
        <f t="shared" si="3"/>
        <v>0</v>
      </c>
      <c r="J43" s="12">
        <f t="shared" si="0"/>
        <v>0</v>
      </c>
      <c r="K43" s="12">
        <f t="shared" si="4"/>
        <v>0</v>
      </c>
      <c r="L43" s="12">
        <f t="shared" si="1"/>
        <v>0</v>
      </c>
    </row>
    <row r="44" spans="2:24" ht="18">
      <c r="B44" s="293">
        <v>165</v>
      </c>
      <c r="C44" s="294" t="s">
        <v>608</v>
      </c>
      <c r="D44" s="295" t="s">
        <v>130</v>
      </c>
      <c r="E44" s="296">
        <v>1.34</v>
      </c>
      <c r="F44" s="297">
        <v>43049</v>
      </c>
      <c r="G44" s="41">
        <v>1</v>
      </c>
      <c r="H44" s="41">
        <f t="shared" si="2"/>
        <v>1.34</v>
      </c>
      <c r="I44" s="219">
        <f t="shared" si="3"/>
        <v>0</v>
      </c>
      <c r="J44" s="12">
        <f t="shared" si="0"/>
        <v>0</v>
      </c>
      <c r="K44" s="12">
        <f t="shared" si="4"/>
        <v>0</v>
      </c>
      <c r="L44" s="12">
        <f t="shared" si="1"/>
        <v>0</v>
      </c>
    </row>
    <row r="45" spans="2:24" ht="18">
      <c r="B45" s="293">
        <v>164</v>
      </c>
      <c r="C45" s="294" t="s">
        <v>601</v>
      </c>
      <c r="D45" s="295" t="s">
        <v>130</v>
      </c>
      <c r="E45" s="310">
        <v>37.1</v>
      </c>
      <c r="F45" s="297">
        <v>43048</v>
      </c>
      <c r="G45" s="41">
        <v>1</v>
      </c>
      <c r="H45" s="41">
        <f t="shared" si="2"/>
        <v>37.1</v>
      </c>
      <c r="I45" s="219">
        <f t="shared" si="3"/>
        <v>0</v>
      </c>
      <c r="J45" s="12">
        <f t="shared" si="0"/>
        <v>0</v>
      </c>
      <c r="K45" s="12">
        <f t="shared" si="4"/>
        <v>0</v>
      </c>
      <c r="L45" s="12">
        <f t="shared" si="1"/>
        <v>0</v>
      </c>
    </row>
    <row r="46" spans="2:24" ht="18">
      <c r="B46" s="293">
        <v>163</v>
      </c>
      <c r="C46" s="294" t="s">
        <v>470</v>
      </c>
      <c r="D46" s="295" t="s">
        <v>132</v>
      </c>
      <c r="E46" s="296">
        <v>3</v>
      </c>
      <c r="F46" s="297">
        <v>43048</v>
      </c>
      <c r="G46" s="41">
        <v>1</v>
      </c>
      <c r="H46" s="41">
        <f t="shared" si="2"/>
        <v>3</v>
      </c>
      <c r="I46" s="219">
        <f t="shared" si="3"/>
        <v>0</v>
      </c>
      <c r="J46" s="12">
        <f t="shared" si="0"/>
        <v>0</v>
      </c>
      <c r="K46" s="12">
        <f t="shared" si="4"/>
        <v>0</v>
      </c>
      <c r="L46" s="12">
        <f t="shared" si="1"/>
        <v>0</v>
      </c>
    </row>
    <row r="47" spans="2:24" ht="36">
      <c r="B47" s="293">
        <v>162</v>
      </c>
      <c r="C47" s="294" t="s">
        <v>588</v>
      </c>
      <c r="D47" s="295" t="s">
        <v>141</v>
      </c>
      <c r="E47" s="296">
        <v>660</v>
      </c>
      <c r="F47" s="297">
        <v>43043</v>
      </c>
      <c r="G47" s="41">
        <v>1</v>
      </c>
      <c r="H47" s="41">
        <f t="shared" si="2"/>
        <v>660</v>
      </c>
      <c r="I47" s="219">
        <f t="shared" si="3"/>
        <v>0</v>
      </c>
      <c r="J47" s="12">
        <f t="shared" si="0"/>
        <v>0</v>
      </c>
      <c r="K47" s="12">
        <f t="shared" si="4"/>
        <v>660</v>
      </c>
      <c r="L47" s="12">
        <f t="shared" si="1"/>
        <v>0</v>
      </c>
    </row>
    <row r="48" spans="2:24" ht="18">
      <c r="B48" s="293">
        <v>161</v>
      </c>
      <c r="C48" s="294" t="s">
        <v>598</v>
      </c>
      <c r="D48" s="295" t="s">
        <v>132</v>
      </c>
      <c r="E48" s="296">
        <v>9.75</v>
      </c>
      <c r="F48" s="297">
        <v>43043</v>
      </c>
      <c r="G48" s="41">
        <v>1</v>
      </c>
      <c r="H48" s="41">
        <f t="shared" si="2"/>
        <v>9.75</v>
      </c>
      <c r="I48" s="219">
        <f t="shared" si="3"/>
        <v>0</v>
      </c>
      <c r="J48" s="12">
        <f t="shared" si="0"/>
        <v>0</v>
      </c>
      <c r="K48" s="12">
        <f t="shared" si="4"/>
        <v>0</v>
      </c>
      <c r="L48" s="12">
        <f t="shared" si="1"/>
        <v>0</v>
      </c>
    </row>
    <row r="49" spans="2:12" ht="36">
      <c r="B49" s="293">
        <v>160</v>
      </c>
      <c r="C49" s="294" t="s">
        <v>606</v>
      </c>
      <c r="D49" s="295" t="s">
        <v>132</v>
      </c>
      <c r="E49" s="296">
        <v>10.14</v>
      </c>
      <c r="F49" s="297">
        <v>43042</v>
      </c>
      <c r="G49" s="41">
        <v>1</v>
      </c>
      <c r="H49" s="41">
        <f t="shared" si="2"/>
        <v>10.14</v>
      </c>
      <c r="I49" s="219">
        <f t="shared" si="3"/>
        <v>0</v>
      </c>
      <c r="J49" s="12">
        <f t="shared" si="0"/>
        <v>0</v>
      </c>
      <c r="K49" s="12">
        <f t="shared" si="4"/>
        <v>0</v>
      </c>
      <c r="L49" s="12">
        <f t="shared" si="1"/>
        <v>0</v>
      </c>
    </row>
    <row r="50" spans="2:12" ht="54">
      <c r="B50" s="300">
        <v>159</v>
      </c>
      <c r="C50" s="301" t="s">
        <v>422</v>
      </c>
      <c r="D50" s="302" t="s">
        <v>134</v>
      </c>
      <c r="E50" s="303">
        <v>8.4960000000000004</v>
      </c>
      <c r="F50" s="304">
        <v>43042</v>
      </c>
      <c r="G50" s="305">
        <v>0</v>
      </c>
      <c r="H50" s="305">
        <f t="shared" si="2"/>
        <v>0</v>
      </c>
      <c r="I50" s="306">
        <f t="shared" si="3"/>
        <v>8.4960000000000004</v>
      </c>
      <c r="J50" s="16">
        <f t="shared" si="0"/>
        <v>0</v>
      </c>
      <c r="K50" s="16">
        <f t="shared" si="4"/>
        <v>0</v>
      </c>
      <c r="L50" s="16">
        <f t="shared" si="1"/>
        <v>0</v>
      </c>
    </row>
    <row r="51" spans="2:12" ht="18">
      <c r="B51" s="293">
        <v>158</v>
      </c>
      <c r="C51" s="294" t="s">
        <v>609</v>
      </c>
      <c r="D51" s="295" t="s">
        <v>132</v>
      </c>
      <c r="E51" s="296">
        <v>19.95</v>
      </c>
      <c r="F51" s="297">
        <v>43041</v>
      </c>
      <c r="G51" s="41">
        <v>1</v>
      </c>
      <c r="H51" s="41">
        <f t="shared" si="2"/>
        <v>19.95</v>
      </c>
      <c r="I51" s="219">
        <f t="shared" si="3"/>
        <v>0</v>
      </c>
      <c r="J51" s="12">
        <f t="shared" si="0"/>
        <v>0</v>
      </c>
      <c r="K51" s="12">
        <f t="shared" si="4"/>
        <v>0</v>
      </c>
      <c r="L51" s="12">
        <f t="shared" si="1"/>
        <v>0</v>
      </c>
    </row>
    <row r="52" spans="2:12" ht="18">
      <c r="B52" s="293">
        <v>157</v>
      </c>
      <c r="C52" s="294" t="s">
        <v>528</v>
      </c>
      <c r="D52" s="295" t="s">
        <v>131</v>
      </c>
      <c r="E52" s="296">
        <v>13</v>
      </c>
      <c r="F52" s="297">
        <v>43041</v>
      </c>
      <c r="G52" s="41">
        <v>1</v>
      </c>
      <c r="H52" s="41">
        <f t="shared" si="2"/>
        <v>13</v>
      </c>
      <c r="I52" s="219">
        <f t="shared" si="3"/>
        <v>0</v>
      </c>
      <c r="J52" s="12">
        <f t="shared" si="0"/>
        <v>13</v>
      </c>
      <c r="K52" s="12">
        <f t="shared" si="4"/>
        <v>0</v>
      </c>
      <c r="L52" s="12">
        <f t="shared" si="1"/>
        <v>0</v>
      </c>
    </row>
    <row r="53" spans="2:12" ht="54">
      <c r="B53" s="293">
        <v>156</v>
      </c>
      <c r="C53" s="294" t="s">
        <v>165</v>
      </c>
      <c r="D53" s="295" t="s">
        <v>131</v>
      </c>
      <c r="E53" s="296">
        <v>0.7</v>
      </c>
      <c r="F53" s="297">
        <v>43040</v>
      </c>
      <c r="G53" s="41">
        <v>1</v>
      </c>
      <c r="H53" s="41">
        <f t="shared" si="2"/>
        <v>0.7</v>
      </c>
      <c r="I53" s="219">
        <f t="shared" si="3"/>
        <v>0</v>
      </c>
      <c r="J53" s="12">
        <f t="shared" si="0"/>
        <v>0.7</v>
      </c>
      <c r="K53" s="12">
        <f t="shared" si="4"/>
        <v>0</v>
      </c>
      <c r="L53" s="12">
        <f t="shared" si="1"/>
        <v>0</v>
      </c>
    </row>
    <row r="54" spans="2:12" ht="54">
      <c r="B54" s="293">
        <v>155</v>
      </c>
      <c r="C54" s="294" t="s">
        <v>610</v>
      </c>
      <c r="D54" s="295" t="s">
        <v>134</v>
      </c>
      <c r="E54" s="296">
        <v>1.2</v>
      </c>
      <c r="F54" s="297">
        <v>43039</v>
      </c>
      <c r="G54" s="41">
        <v>1</v>
      </c>
      <c r="H54" s="41">
        <f t="shared" si="2"/>
        <v>1.2</v>
      </c>
      <c r="I54" s="219">
        <f t="shared" si="3"/>
        <v>0</v>
      </c>
      <c r="J54" s="12">
        <f t="shared" si="0"/>
        <v>0</v>
      </c>
      <c r="K54" s="12">
        <f t="shared" si="4"/>
        <v>0</v>
      </c>
      <c r="L54" s="12">
        <f t="shared" si="1"/>
        <v>0</v>
      </c>
    </row>
    <row r="55" spans="2:12" ht="54">
      <c r="B55" s="293">
        <v>154</v>
      </c>
      <c r="C55" s="294" t="s">
        <v>611</v>
      </c>
      <c r="D55" s="295" t="s">
        <v>612</v>
      </c>
      <c r="E55" s="296">
        <v>1.2</v>
      </c>
      <c r="F55" s="297">
        <v>43039</v>
      </c>
      <c r="G55" s="41">
        <v>1</v>
      </c>
      <c r="H55" s="41">
        <f t="shared" si="2"/>
        <v>1.2</v>
      </c>
      <c r="I55" s="219">
        <f t="shared" si="3"/>
        <v>0</v>
      </c>
      <c r="J55" s="12">
        <f t="shared" si="0"/>
        <v>0</v>
      </c>
      <c r="K55" s="12">
        <f t="shared" si="4"/>
        <v>0</v>
      </c>
      <c r="L55" s="12">
        <f t="shared" si="1"/>
        <v>0</v>
      </c>
    </row>
    <row r="56" spans="2:12" ht="18">
      <c r="B56" s="300">
        <v>153</v>
      </c>
      <c r="C56" s="301" t="s">
        <v>613</v>
      </c>
      <c r="D56" s="302" t="s">
        <v>130</v>
      </c>
      <c r="E56" s="303">
        <v>25.634</v>
      </c>
      <c r="F56" s="304">
        <v>43039</v>
      </c>
      <c r="G56" s="305">
        <v>0</v>
      </c>
      <c r="H56" s="305">
        <f t="shared" si="2"/>
        <v>0</v>
      </c>
      <c r="I56" s="306">
        <f t="shared" si="3"/>
        <v>25.634</v>
      </c>
      <c r="J56" s="16">
        <f t="shared" si="0"/>
        <v>0</v>
      </c>
      <c r="K56" s="16">
        <f t="shared" si="4"/>
        <v>0</v>
      </c>
      <c r="L56" s="16">
        <f t="shared" si="1"/>
        <v>0</v>
      </c>
    </row>
    <row r="57" spans="2:12" ht="18">
      <c r="B57" s="293">
        <v>152</v>
      </c>
      <c r="C57" s="294" t="s">
        <v>605</v>
      </c>
      <c r="D57" s="295" t="s">
        <v>132</v>
      </c>
      <c r="E57" s="311">
        <v>1.667</v>
      </c>
      <c r="F57" s="297">
        <v>43039</v>
      </c>
      <c r="G57" s="41">
        <v>1</v>
      </c>
      <c r="H57" s="41">
        <f t="shared" si="2"/>
        <v>1.667</v>
      </c>
      <c r="I57" s="219">
        <f t="shared" si="3"/>
        <v>0</v>
      </c>
      <c r="J57" s="12">
        <f t="shared" si="0"/>
        <v>0</v>
      </c>
      <c r="K57" s="12">
        <f t="shared" si="4"/>
        <v>0</v>
      </c>
      <c r="L57" s="12">
        <f t="shared" si="1"/>
        <v>0</v>
      </c>
    </row>
    <row r="58" spans="2:12" ht="54">
      <c r="B58" s="293">
        <v>151</v>
      </c>
      <c r="C58" s="294" t="s">
        <v>614</v>
      </c>
      <c r="D58" s="295" t="s">
        <v>142</v>
      </c>
      <c r="E58" s="311">
        <v>4</v>
      </c>
      <c r="F58" s="297">
        <v>43039</v>
      </c>
      <c r="G58" s="41">
        <v>1</v>
      </c>
      <c r="H58" s="41">
        <f t="shared" si="2"/>
        <v>4</v>
      </c>
      <c r="I58" s="219">
        <f t="shared" si="3"/>
        <v>0</v>
      </c>
      <c r="J58" s="12">
        <f t="shared" si="0"/>
        <v>0</v>
      </c>
      <c r="K58" s="12">
        <f t="shared" si="4"/>
        <v>0</v>
      </c>
      <c r="L58" s="12">
        <f t="shared" si="1"/>
        <v>0</v>
      </c>
    </row>
    <row r="59" spans="2:12" ht="54">
      <c r="B59" s="293">
        <v>150</v>
      </c>
      <c r="C59" s="294" t="s">
        <v>615</v>
      </c>
      <c r="D59" s="295" t="s">
        <v>612</v>
      </c>
      <c r="E59" s="311">
        <v>0.81499999999999995</v>
      </c>
      <c r="F59" s="297">
        <v>43039</v>
      </c>
      <c r="G59" s="41">
        <v>1</v>
      </c>
      <c r="H59" s="41">
        <f t="shared" si="2"/>
        <v>0.81499999999999995</v>
      </c>
      <c r="I59" s="219">
        <f t="shared" si="3"/>
        <v>0</v>
      </c>
      <c r="J59" s="12">
        <f t="shared" si="0"/>
        <v>0</v>
      </c>
      <c r="K59" s="12">
        <f t="shared" si="4"/>
        <v>0</v>
      </c>
      <c r="L59" s="12">
        <f t="shared" si="1"/>
        <v>0</v>
      </c>
    </row>
    <row r="60" spans="2:12" ht="18">
      <c r="B60" s="293">
        <v>149</v>
      </c>
      <c r="C60" s="294" t="s">
        <v>616</v>
      </c>
      <c r="D60" s="295" t="s">
        <v>130</v>
      </c>
      <c r="E60" s="296">
        <v>9.5169999999999995</v>
      </c>
      <c r="F60" s="297">
        <v>43039</v>
      </c>
      <c r="G60" s="41">
        <v>1</v>
      </c>
      <c r="H60" s="41">
        <f t="shared" si="2"/>
        <v>9.5169999999999995</v>
      </c>
      <c r="I60" s="219">
        <f t="shared" si="3"/>
        <v>0</v>
      </c>
      <c r="J60" s="12">
        <f t="shared" si="0"/>
        <v>0</v>
      </c>
      <c r="K60" s="12">
        <f t="shared" si="4"/>
        <v>0</v>
      </c>
      <c r="L60" s="12">
        <f t="shared" si="1"/>
        <v>0</v>
      </c>
    </row>
    <row r="61" spans="2:12" ht="72">
      <c r="B61" s="293">
        <v>148</v>
      </c>
      <c r="C61" s="294" t="s">
        <v>617</v>
      </c>
      <c r="D61" s="295" t="s">
        <v>618</v>
      </c>
      <c r="E61" s="311">
        <v>4.2619999999999996</v>
      </c>
      <c r="F61" s="297">
        <v>43039</v>
      </c>
      <c r="G61" s="41">
        <v>1</v>
      </c>
      <c r="H61" s="41">
        <f t="shared" si="2"/>
        <v>4.2619999999999996</v>
      </c>
      <c r="I61" s="219">
        <f t="shared" si="3"/>
        <v>0</v>
      </c>
      <c r="J61" s="12">
        <f t="shared" si="0"/>
        <v>0</v>
      </c>
      <c r="K61" s="12">
        <f t="shared" si="4"/>
        <v>0</v>
      </c>
      <c r="L61" s="12">
        <f t="shared" si="1"/>
        <v>0</v>
      </c>
    </row>
    <row r="62" spans="2:12" ht="18">
      <c r="B62" s="293">
        <v>147</v>
      </c>
      <c r="C62" s="294" t="s">
        <v>619</v>
      </c>
      <c r="D62" s="295" t="s">
        <v>130</v>
      </c>
      <c r="E62" s="310">
        <v>6.66</v>
      </c>
      <c r="F62" s="297">
        <v>43037</v>
      </c>
      <c r="G62" s="41">
        <v>1</v>
      </c>
      <c r="H62" s="41">
        <f t="shared" si="2"/>
        <v>6.66</v>
      </c>
      <c r="I62" s="219">
        <f t="shared" si="3"/>
        <v>0</v>
      </c>
      <c r="J62" s="12">
        <f t="shared" si="0"/>
        <v>0</v>
      </c>
      <c r="K62" s="12">
        <f t="shared" si="4"/>
        <v>0</v>
      </c>
      <c r="L62" s="12">
        <f t="shared" si="1"/>
        <v>0</v>
      </c>
    </row>
    <row r="63" spans="2:12" ht="54">
      <c r="B63" s="293">
        <v>146</v>
      </c>
      <c r="C63" s="294" t="s">
        <v>620</v>
      </c>
      <c r="D63" s="295" t="s">
        <v>621</v>
      </c>
      <c r="E63" s="310">
        <v>1</v>
      </c>
      <c r="F63" s="297">
        <v>43037</v>
      </c>
      <c r="G63" s="41">
        <v>1</v>
      </c>
      <c r="H63" s="41">
        <f t="shared" si="2"/>
        <v>1</v>
      </c>
      <c r="I63" s="219">
        <f t="shared" si="3"/>
        <v>0</v>
      </c>
      <c r="J63" s="12">
        <f t="shared" si="0"/>
        <v>0</v>
      </c>
      <c r="K63" s="12">
        <f t="shared" si="4"/>
        <v>0</v>
      </c>
      <c r="L63" s="12">
        <f t="shared" si="1"/>
        <v>0</v>
      </c>
    </row>
    <row r="64" spans="2:12" ht="54">
      <c r="B64" s="293">
        <v>145</v>
      </c>
      <c r="C64" s="294" t="s">
        <v>622</v>
      </c>
      <c r="D64" s="295" t="s">
        <v>623</v>
      </c>
      <c r="E64" s="311">
        <v>1.0669999999999999</v>
      </c>
      <c r="F64" s="297">
        <v>43036</v>
      </c>
      <c r="G64" s="41">
        <v>1</v>
      </c>
      <c r="H64" s="41">
        <f t="shared" si="2"/>
        <v>1.0669999999999999</v>
      </c>
      <c r="I64" s="219">
        <f t="shared" si="3"/>
        <v>0</v>
      </c>
      <c r="J64" s="12">
        <f t="shared" si="0"/>
        <v>0</v>
      </c>
      <c r="K64" s="12">
        <f t="shared" si="4"/>
        <v>0</v>
      </c>
      <c r="L64" s="12">
        <f t="shared" si="1"/>
        <v>0</v>
      </c>
    </row>
    <row r="65" spans="2:12" ht="18">
      <c r="B65" s="293">
        <v>144</v>
      </c>
      <c r="C65" s="294" t="s">
        <v>624</v>
      </c>
      <c r="D65" s="295" t="s">
        <v>132</v>
      </c>
      <c r="E65" s="296">
        <v>1.5</v>
      </c>
      <c r="F65" s="297">
        <v>43036</v>
      </c>
      <c r="G65" s="41">
        <v>1</v>
      </c>
      <c r="H65" s="41">
        <f t="shared" si="2"/>
        <v>1.5</v>
      </c>
      <c r="I65" s="219">
        <f t="shared" si="3"/>
        <v>0</v>
      </c>
      <c r="J65" s="12">
        <f t="shared" si="0"/>
        <v>0</v>
      </c>
      <c r="K65" s="12">
        <f t="shared" si="4"/>
        <v>0</v>
      </c>
      <c r="L65" s="12">
        <f t="shared" si="1"/>
        <v>0</v>
      </c>
    </row>
    <row r="66" spans="2:12" ht="54">
      <c r="B66" s="300">
        <v>143</v>
      </c>
      <c r="C66" s="301" t="s">
        <v>523</v>
      </c>
      <c r="D66" s="302" t="s">
        <v>524</v>
      </c>
      <c r="E66" s="308">
        <v>7.2</v>
      </c>
      <c r="F66" s="304">
        <v>43036</v>
      </c>
      <c r="G66" s="305">
        <v>0</v>
      </c>
      <c r="H66" s="305">
        <f t="shared" si="2"/>
        <v>0</v>
      </c>
      <c r="I66" s="306">
        <f t="shared" si="3"/>
        <v>7.2</v>
      </c>
      <c r="J66" s="16">
        <f t="shared" si="0"/>
        <v>0</v>
      </c>
      <c r="K66" s="16">
        <f t="shared" si="4"/>
        <v>0</v>
      </c>
      <c r="L66" s="16">
        <f t="shared" si="1"/>
        <v>0</v>
      </c>
    </row>
    <row r="67" spans="2:12" ht="36">
      <c r="B67" s="293">
        <v>142</v>
      </c>
      <c r="C67" s="294" t="s">
        <v>594</v>
      </c>
      <c r="D67" s="295" t="s">
        <v>137</v>
      </c>
      <c r="E67" s="296">
        <v>5</v>
      </c>
      <c r="F67" s="297">
        <v>43035</v>
      </c>
      <c r="G67" s="41">
        <v>1</v>
      </c>
      <c r="H67" s="41">
        <f t="shared" si="2"/>
        <v>5</v>
      </c>
      <c r="I67" s="219">
        <f t="shared" si="3"/>
        <v>0</v>
      </c>
      <c r="J67" s="12">
        <f t="shared" si="0"/>
        <v>0</v>
      </c>
      <c r="K67" s="12">
        <f t="shared" si="4"/>
        <v>0</v>
      </c>
      <c r="L67" s="12">
        <f t="shared" si="1"/>
        <v>0</v>
      </c>
    </row>
    <row r="68" spans="2:12" ht="18">
      <c r="B68" s="293">
        <v>141</v>
      </c>
      <c r="C68" s="294" t="s">
        <v>625</v>
      </c>
      <c r="D68" s="295" t="s">
        <v>130</v>
      </c>
      <c r="E68" s="296">
        <v>7.48</v>
      </c>
      <c r="F68" s="297">
        <v>43035</v>
      </c>
      <c r="G68" s="41">
        <v>1</v>
      </c>
      <c r="H68" s="41">
        <f t="shared" si="2"/>
        <v>7.48</v>
      </c>
      <c r="I68" s="219">
        <f t="shared" si="3"/>
        <v>0</v>
      </c>
      <c r="J68" s="12">
        <f t="shared" si="0"/>
        <v>0</v>
      </c>
      <c r="K68" s="12">
        <f t="shared" si="4"/>
        <v>0</v>
      </c>
      <c r="L68" s="12">
        <f t="shared" si="1"/>
        <v>0</v>
      </c>
    </row>
    <row r="69" spans="2:12" ht="18">
      <c r="B69" s="293">
        <v>140</v>
      </c>
      <c r="C69" s="294" t="s">
        <v>626</v>
      </c>
      <c r="D69" s="295" t="s">
        <v>132</v>
      </c>
      <c r="E69" s="296">
        <v>11.2</v>
      </c>
      <c r="F69" s="297">
        <v>43035</v>
      </c>
      <c r="G69" s="41">
        <v>1</v>
      </c>
      <c r="H69" s="41">
        <f t="shared" si="2"/>
        <v>11.2</v>
      </c>
      <c r="I69" s="219">
        <f t="shared" si="3"/>
        <v>0</v>
      </c>
      <c r="J69" s="12">
        <f t="shared" si="0"/>
        <v>0</v>
      </c>
      <c r="K69" s="12">
        <f t="shared" si="4"/>
        <v>0</v>
      </c>
      <c r="L69" s="12">
        <f t="shared" si="1"/>
        <v>0</v>
      </c>
    </row>
    <row r="70" spans="2:12" ht="18">
      <c r="B70" s="300">
        <v>139</v>
      </c>
      <c r="C70" s="301" t="s">
        <v>221</v>
      </c>
      <c r="D70" s="302" t="s">
        <v>132</v>
      </c>
      <c r="E70" s="308">
        <v>10.5</v>
      </c>
      <c r="F70" s="304">
        <v>43035</v>
      </c>
      <c r="G70" s="305">
        <v>0</v>
      </c>
      <c r="H70" s="305">
        <f t="shared" si="2"/>
        <v>0</v>
      </c>
      <c r="I70" s="306">
        <f t="shared" si="3"/>
        <v>10.5</v>
      </c>
      <c r="J70" s="16">
        <f t="shared" si="0"/>
        <v>0</v>
      </c>
      <c r="K70" s="16">
        <f t="shared" si="4"/>
        <v>0</v>
      </c>
      <c r="L70" s="16">
        <f t="shared" si="1"/>
        <v>0</v>
      </c>
    </row>
    <row r="71" spans="2:12" ht="36">
      <c r="B71" s="293">
        <v>138</v>
      </c>
      <c r="C71" s="294" t="s">
        <v>600</v>
      </c>
      <c r="D71" s="295" t="s">
        <v>137</v>
      </c>
      <c r="E71" s="296">
        <v>10</v>
      </c>
      <c r="F71" s="297">
        <v>43035</v>
      </c>
      <c r="G71" s="41">
        <v>1</v>
      </c>
      <c r="H71" s="41">
        <f t="shared" si="2"/>
        <v>10</v>
      </c>
      <c r="I71" s="219">
        <f t="shared" si="3"/>
        <v>0</v>
      </c>
      <c r="J71" s="12">
        <f t="shared" si="0"/>
        <v>0</v>
      </c>
      <c r="K71" s="12">
        <f t="shared" si="4"/>
        <v>0</v>
      </c>
      <c r="L71" s="12">
        <f t="shared" si="1"/>
        <v>0</v>
      </c>
    </row>
    <row r="72" spans="2:12" ht="18">
      <c r="B72" s="293">
        <v>137</v>
      </c>
      <c r="C72" s="294" t="s">
        <v>627</v>
      </c>
      <c r="D72" s="295" t="s">
        <v>130</v>
      </c>
      <c r="E72" s="314">
        <v>3.1059999999999999</v>
      </c>
      <c r="F72" s="297">
        <v>43034</v>
      </c>
      <c r="G72" s="41">
        <v>1</v>
      </c>
      <c r="H72" s="41">
        <f t="shared" si="2"/>
        <v>3.1059999999999999</v>
      </c>
      <c r="I72" s="219">
        <f t="shared" si="3"/>
        <v>0</v>
      </c>
      <c r="J72" s="12">
        <f t="shared" si="0"/>
        <v>0</v>
      </c>
      <c r="K72" s="12">
        <f t="shared" si="4"/>
        <v>0</v>
      </c>
      <c r="L72" s="12">
        <f t="shared" si="1"/>
        <v>0</v>
      </c>
    </row>
    <row r="73" spans="2:12" ht="36">
      <c r="B73" s="293">
        <v>136</v>
      </c>
      <c r="C73" s="294" t="s">
        <v>489</v>
      </c>
      <c r="D73" s="295" t="s">
        <v>134</v>
      </c>
      <c r="E73" s="314">
        <v>1.56</v>
      </c>
      <c r="F73" s="297">
        <v>43033</v>
      </c>
      <c r="G73" s="41">
        <v>1</v>
      </c>
      <c r="H73" s="41">
        <f t="shared" si="2"/>
        <v>1.56</v>
      </c>
      <c r="I73" s="219">
        <f t="shared" si="3"/>
        <v>0</v>
      </c>
      <c r="J73" s="12">
        <f t="shared" si="0"/>
        <v>0</v>
      </c>
      <c r="K73" s="12">
        <f t="shared" si="4"/>
        <v>0</v>
      </c>
      <c r="L73" s="12">
        <f t="shared" si="1"/>
        <v>0</v>
      </c>
    </row>
    <row r="74" spans="2:12" ht="18">
      <c r="B74" s="293">
        <v>135</v>
      </c>
      <c r="C74" s="294" t="s">
        <v>628</v>
      </c>
      <c r="D74" s="295" t="s">
        <v>130</v>
      </c>
      <c r="E74" s="314">
        <v>19.096</v>
      </c>
      <c r="F74" s="297">
        <v>43031</v>
      </c>
      <c r="G74" s="41">
        <v>1</v>
      </c>
      <c r="H74" s="41">
        <f t="shared" si="2"/>
        <v>19.096</v>
      </c>
      <c r="I74" s="219">
        <f t="shared" si="3"/>
        <v>0</v>
      </c>
      <c r="J74" s="12">
        <f t="shared" si="0"/>
        <v>0</v>
      </c>
      <c r="K74" s="12">
        <f t="shared" si="4"/>
        <v>0</v>
      </c>
      <c r="L74" s="12">
        <f t="shared" si="1"/>
        <v>0</v>
      </c>
    </row>
    <row r="75" spans="2:12" ht="54">
      <c r="B75" s="293">
        <v>134</v>
      </c>
      <c r="C75" s="294" t="s">
        <v>587</v>
      </c>
      <c r="D75" s="295" t="s">
        <v>142</v>
      </c>
      <c r="E75" s="296">
        <v>2.5</v>
      </c>
      <c r="F75" s="297">
        <v>43029</v>
      </c>
      <c r="G75" s="41">
        <v>1</v>
      </c>
      <c r="H75" s="41">
        <f t="shared" si="2"/>
        <v>2.5</v>
      </c>
      <c r="I75" s="219">
        <f t="shared" si="3"/>
        <v>0</v>
      </c>
      <c r="J75" s="12">
        <f t="shared" si="0"/>
        <v>0</v>
      </c>
      <c r="K75" s="12">
        <f t="shared" si="4"/>
        <v>0</v>
      </c>
      <c r="L75" s="12">
        <f t="shared" si="1"/>
        <v>0</v>
      </c>
    </row>
    <row r="76" spans="2:12" ht="18">
      <c r="B76" s="293">
        <v>133</v>
      </c>
      <c r="C76" s="294" t="s">
        <v>629</v>
      </c>
      <c r="D76" s="295" t="s">
        <v>130</v>
      </c>
      <c r="E76" s="296">
        <v>5.64</v>
      </c>
      <c r="F76" s="297">
        <v>43028</v>
      </c>
      <c r="G76" s="41">
        <v>1</v>
      </c>
      <c r="H76" s="41">
        <f t="shared" si="2"/>
        <v>5.64</v>
      </c>
      <c r="I76" s="219">
        <f t="shared" si="3"/>
        <v>0</v>
      </c>
      <c r="J76" s="12">
        <f t="shared" si="0"/>
        <v>0</v>
      </c>
      <c r="K76" s="12">
        <f t="shared" si="4"/>
        <v>0</v>
      </c>
      <c r="L76" s="12">
        <f t="shared" si="1"/>
        <v>0</v>
      </c>
    </row>
    <row r="77" spans="2:12" ht="54">
      <c r="B77" s="293">
        <v>132</v>
      </c>
      <c r="C77" s="294" t="s">
        <v>630</v>
      </c>
      <c r="D77" s="295" t="s">
        <v>131</v>
      </c>
      <c r="E77" s="296">
        <v>108</v>
      </c>
      <c r="F77" s="297">
        <v>43027</v>
      </c>
      <c r="G77" s="41">
        <v>1</v>
      </c>
      <c r="H77" s="41">
        <f t="shared" si="2"/>
        <v>108</v>
      </c>
      <c r="I77" s="219">
        <f t="shared" si="3"/>
        <v>0</v>
      </c>
      <c r="J77" s="12">
        <f t="shared" si="0"/>
        <v>108</v>
      </c>
      <c r="K77" s="12">
        <f t="shared" si="4"/>
        <v>0</v>
      </c>
      <c r="L77" s="12">
        <f t="shared" si="1"/>
        <v>0</v>
      </c>
    </row>
    <row r="78" spans="2:12" ht="54">
      <c r="B78" s="293">
        <v>131</v>
      </c>
      <c r="C78" s="294" t="s">
        <v>631</v>
      </c>
      <c r="D78" s="295" t="s">
        <v>142</v>
      </c>
      <c r="E78" s="296">
        <v>1.2</v>
      </c>
      <c r="F78" s="297">
        <v>43027</v>
      </c>
      <c r="G78" s="41">
        <v>1</v>
      </c>
      <c r="H78" s="41">
        <f t="shared" si="2"/>
        <v>1.2</v>
      </c>
      <c r="I78" s="219">
        <f t="shared" si="3"/>
        <v>0</v>
      </c>
      <c r="J78" s="12">
        <f t="shared" si="0"/>
        <v>0</v>
      </c>
      <c r="K78" s="12">
        <f t="shared" si="4"/>
        <v>0</v>
      </c>
      <c r="L78" s="12">
        <f t="shared" si="1"/>
        <v>0</v>
      </c>
    </row>
    <row r="79" spans="2:12" ht="54">
      <c r="B79" s="293">
        <v>130</v>
      </c>
      <c r="C79" s="294" t="s">
        <v>632</v>
      </c>
      <c r="D79" s="295" t="s">
        <v>633</v>
      </c>
      <c r="E79" s="296">
        <v>5</v>
      </c>
      <c r="F79" s="297">
        <v>43025</v>
      </c>
      <c r="G79" s="41">
        <v>1</v>
      </c>
      <c r="H79" s="41">
        <f t="shared" si="2"/>
        <v>5</v>
      </c>
      <c r="I79" s="219">
        <f t="shared" si="3"/>
        <v>0</v>
      </c>
      <c r="J79" s="12">
        <f t="shared" ref="J79:J142" si="6">OR(IF((D79="DG"),1,0),IF(D79="DG/FO",1,0),IF(D79="DG/FO/Linyit",1,0))*E79</f>
        <v>0</v>
      </c>
      <c r="K79" s="12">
        <f t="shared" si="4"/>
        <v>0</v>
      </c>
      <c r="L79" s="12">
        <f t="shared" ref="L79:L142" si="7">(IF((D79="LİNYİT"),1,0))*E79</f>
        <v>0</v>
      </c>
    </row>
    <row r="80" spans="2:12" ht="18">
      <c r="B80" s="293">
        <v>129</v>
      </c>
      <c r="C80" s="294" t="s">
        <v>598</v>
      </c>
      <c r="D80" s="295" t="s">
        <v>132</v>
      </c>
      <c r="E80" s="296">
        <v>6.5</v>
      </c>
      <c r="F80" s="297">
        <v>43022</v>
      </c>
      <c r="G80" s="41">
        <v>1</v>
      </c>
      <c r="H80" s="41">
        <f t="shared" ref="H80:H143" si="8">E80*G80</f>
        <v>6.5</v>
      </c>
      <c r="I80" s="219">
        <f t="shared" ref="I80:I143" si="9">E80-H80</f>
        <v>0</v>
      </c>
      <c r="J80" s="12">
        <f t="shared" si="6"/>
        <v>0</v>
      </c>
      <c r="K80" s="12">
        <f t="shared" ref="K80:K143" si="10">OR(IF((D80="KÖMÜR+DİĞER"),1,0),IF(D80="KÖMÜR",1,0))*E80</f>
        <v>0</v>
      </c>
      <c r="L80" s="12">
        <f t="shared" si="7"/>
        <v>0</v>
      </c>
    </row>
    <row r="81" spans="2:12" ht="36">
      <c r="B81" s="293">
        <v>128</v>
      </c>
      <c r="C81" s="294" t="s">
        <v>606</v>
      </c>
      <c r="D81" s="295" t="s">
        <v>132</v>
      </c>
      <c r="E81" s="296">
        <v>13.52</v>
      </c>
      <c r="F81" s="297">
        <v>43021</v>
      </c>
      <c r="G81" s="41">
        <v>1</v>
      </c>
      <c r="H81" s="41">
        <f t="shared" si="8"/>
        <v>13.52</v>
      </c>
      <c r="I81" s="219">
        <f t="shared" si="9"/>
        <v>0</v>
      </c>
      <c r="J81" s="12">
        <f t="shared" si="6"/>
        <v>0</v>
      </c>
      <c r="K81" s="12">
        <f t="shared" si="10"/>
        <v>0</v>
      </c>
      <c r="L81" s="12">
        <f t="shared" si="7"/>
        <v>0</v>
      </c>
    </row>
    <row r="82" spans="2:12" ht="72">
      <c r="B82" s="293">
        <v>127</v>
      </c>
      <c r="C82" s="294" t="s">
        <v>634</v>
      </c>
      <c r="D82" s="295" t="s">
        <v>131</v>
      </c>
      <c r="E82" s="314">
        <v>3.7959999999999998</v>
      </c>
      <c r="F82" s="297">
        <v>43021</v>
      </c>
      <c r="G82" s="41">
        <v>1</v>
      </c>
      <c r="H82" s="41">
        <f t="shared" si="8"/>
        <v>3.7959999999999998</v>
      </c>
      <c r="I82" s="219">
        <f t="shared" si="9"/>
        <v>0</v>
      </c>
      <c r="J82" s="12">
        <f t="shared" si="6"/>
        <v>3.7959999999999998</v>
      </c>
      <c r="K82" s="12">
        <f t="shared" si="10"/>
        <v>0</v>
      </c>
      <c r="L82" s="12">
        <f t="shared" si="7"/>
        <v>0</v>
      </c>
    </row>
    <row r="83" spans="2:12" ht="18">
      <c r="B83" s="293">
        <v>126</v>
      </c>
      <c r="C83" s="294" t="s">
        <v>609</v>
      </c>
      <c r="D83" s="295" t="s">
        <v>132</v>
      </c>
      <c r="E83" s="296">
        <v>10.050000000000001</v>
      </c>
      <c r="F83" s="297">
        <v>43021</v>
      </c>
      <c r="G83" s="41">
        <v>1</v>
      </c>
      <c r="H83" s="41">
        <f t="shared" si="8"/>
        <v>10.050000000000001</v>
      </c>
      <c r="I83" s="219">
        <f t="shared" si="9"/>
        <v>0</v>
      </c>
      <c r="J83" s="12">
        <f t="shared" si="6"/>
        <v>0</v>
      </c>
      <c r="K83" s="12">
        <f t="shared" si="10"/>
        <v>0</v>
      </c>
      <c r="L83" s="12">
        <f t="shared" si="7"/>
        <v>0</v>
      </c>
    </row>
    <row r="84" spans="2:12" ht="18">
      <c r="B84" s="300">
        <v>125</v>
      </c>
      <c r="C84" s="301" t="s">
        <v>602</v>
      </c>
      <c r="D84" s="318" t="s">
        <v>132</v>
      </c>
      <c r="E84" s="303">
        <v>13.263999999999999</v>
      </c>
      <c r="F84" s="304">
        <v>43021</v>
      </c>
      <c r="G84" s="305">
        <v>0</v>
      </c>
      <c r="H84" s="305">
        <f t="shared" si="8"/>
        <v>0</v>
      </c>
      <c r="I84" s="306">
        <f t="shared" si="9"/>
        <v>13.263999999999999</v>
      </c>
      <c r="J84" s="16">
        <f t="shared" si="6"/>
        <v>0</v>
      </c>
      <c r="K84" s="16">
        <f t="shared" si="10"/>
        <v>0</v>
      </c>
      <c r="L84" s="16">
        <f t="shared" si="7"/>
        <v>0</v>
      </c>
    </row>
    <row r="85" spans="2:12" ht="36">
      <c r="B85" s="293">
        <v>124</v>
      </c>
      <c r="C85" s="294" t="s">
        <v>635</v>
      </c>
      <c r="D85" s="295" t="s">
        <v>137</v>
      </c>
      <c r="E85" s="296">
        <v>12.8</v>
      </c>
      <c r="F85" s="297">
        <v>43021</v>
      </c>
      <c r="G85" s="41">
        <v>1</v>
      </c>
      <c r="H85" s="41">
        <f t="shared" si="8"/>
        <v>12.8</v>
      </c>
      <c r="I85" s="219">
        <f t="shared" si="9"/>
        <v>0</v>
      </c>
      <c r="J85" s="12">
        <f t="shared" si="6"/>
        <v>0</v>
      </c>
      <c r="K85" s="12">
        <f t="shared" si="10"/>
        <v>0</v>
      </c>
      <c r="L85" s="12">
        <f t="shared" si="7"/>
        <v>0</v>
      </c>
    </row>
    <row r="86" spans="2:12" ht="36">
      <c r="B86" s="300">
        <v>123</v>
      </c>
      <c r="C86" s="301" t="s">
        <v>599</v>
      </c>
      <c r="D86" s="302" t="s">
        <v>480</v>
      </c>
      <c r="E86" s="308">
        <v>1</v>
      </c>
      <c r="F86" s="304">
        <v>43021</v>
      </c>
      <c r="G86" s="305">
        <v>0</v>
      </c>
      <c r="H86" s="305">
        <f t="shared" si="8"/>
        <v>0</v>
      </c>
      <c r="I86" s="306">
        <f t="shared" si="9"/>
        <v>1</v>
      </c>
      <c r="J86" s="16">
        <f t="shared" si="6"/>
        <v>0</v>
      </c>
      <c r="K86" s="16">
        <f t="shared" si="10"/>
        <v>0</v>
      </c>
      <c r="L86" s="16">
        <f t="shared" si="7"/>
        <v>0</v>
      </c>
    </row>
    <row r="87" spans="2:12" ht="54">
      <c r="B87" s="293">
        <v>122</v>
      </c>
      <c r="C87" s="294" t="s">
        <v>636</v>
      </c>
      <c r="D87" s="295" t="s">
        <v>131</v>
      </c>
      <c r="E87" s="296">
        <v>5.8</v>
      </c>
      <c r="F87" s="297">
        <v>43021</v>
      </c>
      <c r="G87" s="41">
        <v>1</v>
      </c>
      <c r="H87" s="41">
        <f t="shared" si="8"/>
        <v>5.8</v>
      </c>
      <c r="I87" s="219">
        <f t="shared" si="9"/>
        <v>0</v>
      </c>
      <c r="J87" s="12">
        <f t="shared" si="6"/>
        <v>5.8</v>
      </c>
      <c r="K87" s="12">
        <f t="shared" si="10"/>
        <v>0</v>
      </c>
      <c r="L87" s="12">
        <f t="shared" si="7"/>
        <v>0</v>
      </c>
    </row>
    <row r="88" spans="2:12" ht="36">
      <c r="B88" s="293">
        <v>121</v>
      </c>
      <c r="C88" s="294" t="s">
        <v>637</v>
      </c>
      <c r="D88" s="295" t="s">
        <v>134</v>
      </c>
      <c r="E88" s="296">
        <v>2.83</v>
      </c>
      <c r="F88" s="297">
        <v>43021</v>
      </c>
      <c r="G88" s="41">
        <v>1</v>
      </c>
      <c r="H88" s="41">
        <f t="shared" si="8"/>
        <v>2.83</v>
      </c>
      <c r="I88" s="219">
        <f t="shared" si="9"/>
        <v>0</v>
      </c>
      <c r="J88" s="12">
        <f t="shared" si="6"/>
        <v>0</v>
      </c>
      <c r="K88" s="12">
        <f t="shared" si="10"/>
        <v>0</v>
      </c>
      <c r="L88" s="12">
        <f t="shared" si="7"/>
        <v>0</v>
      </c>
    </row>
    <row r="89" spans="2:12" ht="54">
      <c r="B89" s="293">
        <v>120</v>
      </c>
      <c r="C89" s="294" t="s">
        <v>638</v>
      </c>
      <c r="D89" s="295" t="s">
        <v>485</v>
      </c>
      <c r="E89" s="311">
        <v>5.4820000000000002</v>
      </c>
      <c r="F89" s="297">
        <v>43017</v>
      </c>
      <c r="G89" s="41">
        <v>1</v>
      </c>
      <c r="H89" s="41">
        <f t="shared" si="8"/>
        <v>5.4820000000000002</v>
      </c>
      <c r="I89" s="219">
        <f t="shared" si="9"/>
        <v>0</v>
      </c>
      <c r="J89" s="12">
        <f t="shared" si="6"/>
        <v>0</v>
      </c>
      <c r="K89" s="12">
        <f t="shared" si="10"/>
        <v>0</v>
      </c>
      <c r="L89" s="12">
        <f t="shared" si="7"/>
        <v>0</v>
      </c>
    </row>
    <row r="90" spans="2:12" ht="36">
      <c r="B90" s="293">
        <v>119</v>
      </c>
      <c r="C90" s="294" t="s">
        <v>338</v>
      </c>
      <c r="D90" s="295" t="s">
        <v>130</v>
      </c>
      <c r="E90" s="314">
        <v>1.7629999999999999</v>
      </c>
      <c r="F90" s="297">
        <v>43014</v>
      </c>
      <c r="G90" s="41">
        <v>1</v>
      </c>
      <c r="H90" s="41">
        <f t="shared" si="8"/>
        <v>1.7629999999999999</v>
      </c>
      <c r="I90" s="219">
        <f t="shared" si="9"/>
        <v>0</v>
      </c>
      <c r="J90" s="12">
        <f t="shared" si="6"/>
        <v>0</v>
      </c>
      <c r="K90" s="12">
        <f t="shared" si="10"/>
        <v>0</v>
      </c>
      <c r="L90" s="12">
        <f t="shared" si="7"/>
        <v>0</v>
      </c>
    </row>
    <row r="91" spans="2:12" ht="18">
      <c r="B91" s="300">
        <v>118</v>
      </c>
      <c r="C91" s="301" t="s">
        <v>221</v>
      </c>
      <c r="D91" s="302" t="s">
        <v>132</v>
      </c>
      <c r="E91" s="308">
        <v>14.7</v>
      </c>
      <c r="F91" s="304">
        <v>43014</v>
      </c>
      <c r="G91" s="305">
        <v>0</v>
      </c>
      <c r="H91" s="305">
        <f t="shared" si="8"/>
        <v>0</v>
      </c>
      <c r="I91" s="306">
        <f t="shared" si="9"/>
        <v>14.7</v>
      </c>
      <c r="J91" s="16">
        <f t="shared" si="6"/>
        <v>0</v>
      </c>
      <c r="K91" s="16">
        <f t="shared" si="10"/>
        <v>0</v>
      </c>
      <c r="L91" s="16">
        <f t="shared" si="7"/>
        <v>0</v>
      </c>
    </row>
    <row r="92" spans="2:12" ht="54">
      <c r="B92" s="293">
        <v>117</v>
      </c>
      <c r="C92" s="294" t="s">
        <v>639</v>
      </c>
      <c r="D92" s="295" t="s">
        <v>612</v>
      </c>
      <c r="E92" s="314">
        <v>4.2679999999999998</v>
      </c>
      <c r="F92" s="297">
        <v>43013</v>
      </c>
      <c r="G92" s="41">
        <v>1</v>
      </c>
      <c r="H92" s="41">
        <f t="shared" si="8"/>
        <v>4.2679999999999998</v>
      </c>
      <c r="I92" s="219">
        <f t="shared" si="9"/>
        <v>0</v>
      </c>
      <c r="J92" s="12">
        <f t="shared" si="6"/>
        <v>0</v>
      </c>
      <c r="K92" s="12">
        <f t="shared" si="10"/>
        <v>0</v>
      </c>
      <c r="L92" s="12">
        <f t="shared" si="7"/>
        <v>0</v>
      </c>
    </row>
    <row r="93" spans="2:12" ht="18">
      <c r="B93" s="293">
        <v>116</v>
      </c>
      <c r="C93" s="294" t="s">
        <v>595</v>
      </c>
      <c r="D93" s="295" t="s">
        <v>131</v>
      </c>
      <c r="E93" s="296">
        <v>203</v>
      </c>
      <c r="F93" s="297">
        <v>43006</v>
      </c>
      <c r="G93" s="41">
        <v>1</v>
      </c>
      <c r="H93" s="41">
        <f t="shared" si="8"/>
        <v>203</v>
      </c>
      <c r="I93" s="219">
        <f t="shared" si="9"/>
        <v>0</v>
      </c>
      <c r="J93" s="12">
        <f t="shared" si="6"/>
        <v>203</v>
      </c>
      <c r="K93" s="12">
        <f t="shared" si="10"/>
        <v>0</v>
      </c>
      <c r="L93" s="12">
        <f t="shared" si="7"/>
        <v>0</v>
      </c>
    </row>
    <row r="94" spans="2:12" ht="18">
      <c r="B94" s="300">
        <v>115</v>
      </c>
      <c r="C94" s="301" t="s">
        <v>471</v>
      </c>
      <c r="D94" s="302" t="s">
        <v>132</v>
      </c>
      <c r="E94" s="308">
        <v>0</v>
      </c>
      <c r="F94" s="304">
        <v>43006</v>
      </c>
      <c r="G94" s="305">
        <v>0</v>
      </c>
      <c r="H94" s="305">
        <f t="shared" si="8"/>
        <v>0</v>
      </c>
      <c r="I94" s="306">
        <f t="shared" si="9"/>
        <v>0</v>
      </c>
      <c r="J94" s="16">
        <f t="shared" si="6"/>
        <v>0</v>
      </c>
      <c r="K94" s="16">
        <f t="shared" si="10"/>
        <v>0</v>
      </c>
      <c r="L94" s="16">
        <f t="shared" si="7"/>
        <v>0</v>
      </c>
    </row>
    <row r="95" spans="2:12" ht="18">
      <c r="B95" s="300">
        <v>114</v>
      </c>
      <c r="C95" s="301" t="s">
        <v>507</v>
      </c>
      <c r="D95" s="318" t="s">
        <v>132</v>
      </c>
      <c r="E95" s="308">
        <v>0</v>
      </c>
      <c r="F95" s="304">
        <v>43005</v>
      </c>
      <c r="G95" s="305">
        <v>0</v>
      </c>
      <c r="H95" s="305">
        <f t="shared" si="8"/>
        <v>0</v>
      </c>
      <c r="I95" s="306">
        <f t="shared" si="9"/>
        <v>0</v>
      </c>
      <c r="J95" s="16">
        <f t="shared" si="6"/>
        <v>0</v>
      </c>
      <c r="K95" s="16">
        <f t="shared" si="10"/>
        <v>0</v>
      </c>
      <c r="L95" s="16">
        <f t="shared" si="7"/>
        <v>0</v>
      </c>
    </row>
    <row r="96" spans="2:12" ht="18">
      <c r="B96" s="300">
        <v>113</v>
      </c>
      <c r="C96" s="301" t="s">
        <v>221</v>
      </c>
      <c r="D96" s="302" t="s">
        <v>132</v>
      </c>
      <c r="E96" s="308">
        <v>22.7</v>
      </c>
      <c r="F96" s="304">
        <v>43000</v>
      </c>
      <c r="G96" s="305">
        <v>0</v>
      </c>
      <c r="H96" s="305">
        <f t="shared" si="8"/>
        <v>0</v>
      </c>
      <c r="I96" s="306">
        <f t="shared" si="9"/>
        <v>22.7</v>
      </c>
      <c r="J96" s="16">
        <f t="shared" si="6"/>
        <v>0</v>
      </c>
      <c r="K96" s="16">
        <f t="shared" si="10"/>
        <v>0</v>
      </c>
      <c r="L96" s="16">
        <f t="shared" si="7"/>
        <v>0</v>
      </c>
    </row>
    <row r="97" spans="2:12" ht="18">
      <c r="B97" s="300">
        <v>112</v>
      </c>
      <c r="C97" s="301" t="s">
        <v>640</v>
      </c>
      <c r="D97" s="302" t="s">
        <v>132</v>
      </c>
      <c r="E97" s="308">
        <v>4.5</v>
      </c>
      <c r="F97" s="304">
        <v>42999</v>
      </c>
      <c r="G97" s="305">
        <v>0</v>
      </c>
      <c r="H97" s="305">
        <f t="shared" si="8"/>
        <v>0</v>
      </c>
      <c r="I97" s="306">
        <f t="shared" si="9"/>
        <v>4.5</v>
      </c>
      <c r="J97" s="16">
        <f t="shared" si="6"/>
        <v>0</v>
      </c>
      <c r="K97" s="16">
        <f t="shared" si="10"/>
        <v>0</v>
      </c>
      <c r="L97" s="16">
        <f t="shared" si="7"/>
        <v>0</v>
      </c>
    </row>
    <row r="98" spans="2:12" ht="18">
      <c r="B98" s="293">
        <v>111</v>
      </c>
      <c r="C98" s="294" t="s">
        <v>608</v>
      </c>
      <c r="D98" s="295" t="s">
        <v>130</v>
      </c>
      <c r="E98" s="296">
        <v>6.56</v>
      </c>
      <c r="F98" s="297">
        <v>42995</v>
      </c>
      <c r="G98" s="41">
        <v>1</v>
      </c>
      <c r="H98" s="41">
        <f t="shared" si="8"/>
        <v>6.56</v>
      </c>
      <c r="I98" s="219">
        <f t="shared" si="9"/>
        <v>0</v>
      </c>
      <c r="J98" s="12">
        <f t="shared" si="6"/>
        <v>0</v>
      </c>
      <c r="K98" s="12">
        <f t="shared" si="10"/>
        <v>0</v>
      </c>
      <c r="L98" s="12">
        <f t="shared" si="7"/>
        <v>0</v>
      </c>
    </row>
    <row r="99" spans="2:12" ht="18">
      <c r="B99" s="300">
        <v>110</v>
      </c>
      <c r="C99" s="301" t="s">
        <v>602</v>
      </c>
      <c r="D99" s="318" t="s">
        <v>132</v>
      </c>
      <c r="E99" s="308">
        <v>13.26</v>
      </c>
      <c r="F99" s="304">
        <v>42993</v>
      </c>
      <c r="G99" s="305">
        <v>0</v>
      </c>
      <c r="H99" s="305">
        <f t="shared" si="8"/>
        <v>0</v>
      </c>
      <c r="I99" s="306">
        <f t="shared" si="9"/>
        <v>13.26</v>
      </c>
      <c r="J99" s="16">
        <f t="shared" si="6"/>
        <v>0</v>
      </c>
      <c r="K99" s="16">
        <f t="shared" si="10"/>
        <v>0</v>
      </c>
      <c r="L99" s="16">
        <f t="shared" si="7"/>
        <v>0</v>
      </c>
    </row>
    <row r="100" spans="2:12" ht="18">
      <c r="B100" s="293">
        <v>109</v>
      </c>
      <c r="C100" s="294" t="s">
        <v>641</v>
      </c>
      <c r="D100" s="295" t="s">
        <v>131</v>
      </c>
      <c r="E100" s="296">
        <v>6</v>
      </c>
      <c r="F100" s="297">
        <v>42993</v>
      </c>
      <c r="G100" s="41">
        <v>1</v>
      </c>
      <c r="H100" s="41">
        <f t="shared" si="8"/>
        <v>6</v>
      </c>
      <c r="I100" s="219">
        <f t="shared" si="9"/>
        <v>0</v>
      </c>
      <c r="J100" s="12">
        <f t="shared" si="6"/>
        <v>6</v>
      </c>
      <c r="K100" s="12">
        <f t="shared" si="10"/>
        <v>0</v>
      </c>
      <c r="L100" s="12">
        <f t="shared" si="7"/>
        <v>0</v>
      </c>
    </row>
    <row r="101" spans="2:12" ht="36">
      <c r="B101" s="293">
        <v>108</v>
      </c>
      <c r="C101" s="294" t="s">
        <v>637</v>
      </c>
      <c r="D101" s="295" t="s">
        <v>134</v>
      </c>
      <c r="E101" s="296">
        <v>11.32</v>
      </c>
      <c r="F101" s="297">
        <v>42989</v>
      </c>
      <c r="G101" s="41">
        <v>1</v>
      </c>
      <c r="H101" s="41">
        <f t="shared" si="8"/>
        <v>11.32</v>
      </c>
      <c r="I101" s="219">
        <f t="shared" si="9"/>
        <v>0</v>
      </c>
      <c r="J101" s="12">
        <f t="shared" si="6"/>
        <v>0</v>
      </c>
      <c r="K101" s="12">
        <f t="shared" si="10"/>
        <v>0</v>
      </c>
      <c r="L101" s="12">
        <f t="shared" si="7"/>
        <v>0</v>
      </c>
    </row>
    <row r="102" spans="2:12" ht="18">
      <c r="B102" s="293">
        <v>107</v>
      </c>
      <c r="C102" s="294" t="s">
        <v>642</v>
      </c>
      <c r="D102" s="295" t="s">
        <v>130</v>
      </c>
      <c r="E102" s="296">
        <v>3.65</v>
      </c>
      <c r="F102" s="297">
        <v>42987</v>
      </c>
      <c r="G102" s="41">
        <v>1</v>
      </c>
      <c r="H102" s="41">
        <f t="shared" si="8"/>
        <v>3.65</v>
      </c>
      <c r="I102" s="219">
        <f t="shared" si="9"/>
        <v>0</v>
      </c>
      <c r="J102" s="12">
        <f t="shared" si="6"/>
        <v>0</v>
      </c>
      <c r="K102" s="12">
        <f t="shared" si="10"/>
        <v>0</v>
      </c>
      <c r="L102" s="12">
        <f t="shared" si="7"/>
        <v>0</v>
      </c>
    </row>
    <row r="103" spans="2:12" ht="18">
      <c r="B103" s="300">
        <v>106</v>
      </c>
      <c r="C103" s="301" t="s">
        <v>640</v>
      </c>
      <c r="D103" s="302" t="s">
        <v>132</v>
      </c>
      <c r="E103" s="308">
        <v>20</v>
      </c>
      <c r="F103" s="304">
        <v>42987</v>
      </c>
      <c r="G103" s="305">
        <v>0</v>
      </c>
      <c r="H103" s="305">
        <f t="shared" si="8"/>
        <v>0</v>
      </c>
      <c r="I103" s="306">
        <f t="shared" si="9"/>
        <v>20</v>
      </c>
      <c r="J103" s="16">
        <f t="shared" si="6"/>
        <v>0</v>
      </c>
      <c r="K103" s="16">
        <f t="shared" si="10"/>
        <v>0</v>
      </c>
      <c r="L103" s="16">
        <f t="shared" si="7"/>
        <v>0</v>
      </c>
    </row>
    <row r="104" spans="2:12" ht="18">
      <c r="B104" s="293">
        <v>105</v>
      </c>
      <c r="C104" s="294" t="s">
        <v>643</v>
      </c>
      <c r="D104" s="295" t="s">
        <v>132</v>
      </c>
      <c r="E104" s="296">
        <v>12</v>
      </c>
      <c r="F104" s="297">
        <v>42986</v>
      </c>
      <c r="G104" s="41">
        <v>1</v>
      </c>
      <c r="H104" s="41">
        <f t="shared" si="8"/>
        <v>12</v>
      </c>
      <c r="I104" s="219">
        <f t="shared" si="9"/>
        <v>0</v>
      </c>
      <c r="J104" s="12">
        <f t="shared" si="6"/>
        <v>0</v>
      </c>
      <c r="K104" s="12">
        <f t="shared" si="10"/>
        <v>0</v>
      </c>
      <c r="L104" s="12">
        <f t="shared" si="7"/>
        <v>0</v>
      </c>
    </row>
    <row r="105" spans="2:12" ht="36">
      <c r="B105" s="293">
        <v>104</v>
      </c>
      <c r="C105" s="294" t="s">
        <v>189</v>
      </c>
      <c r="D105" s="295" t="s">
        <v>130</v>
      </c>
      <c r="E105" s="314">
        <v>7.3920000000000003</v>
      </c>
      <c r="F105" s="297">
        <v>42986</v>
      </c>
      <c r="G105" s="41">
        <v>1</v>
      </c>
      <c r="H105" s="41">
        <f t="shared" si="8"/>
        <v>7.3920000000000003</v>
      </c>
      <c r="I105" s="219">
        <f t="shared" si="9"/>
        <v>0</v>
      </c>
      <c r="J105" s="12">
        <f t="shared" si="6"/>
        <v>0</v>
      </c>
      <c r="K105" s="12">
        <f t="shared" si="10"/>
        <v>0</v>
      </c>
      <c r="L105" s="12">
        <f t="shared" si="7"/>
        <v>0</v>
      </c>
    </row>
    <row r="106" spans="2:12" ht="18">
      <c r="B106" s="300">
        <v>103</v>
      </c>
      <c r="C106" s="301" t="s">
        <v>366</v>
      </c>
      <c r="D106" s="302" t="s">
        <v>132</v>
      </c>
      <c r="E106" s="308">
        <v>4.7</v>
      </c>
      <c r="F106" s="304">
        <v>42972</v>
      </c>
      <c r="G106" s="305">
        <v>0</v>
      </c>
      <c r="H106" s="305">
        <f t="shared" si="8"/>
        <v>0</v>
      </c>
      <c r="I106" s="306">
        <f t="shared" si="9"/>
        <v>4.7</v>
      </c>
      <c r="J106" s="16">
        <f t="shared" si="6"/>
        <v>0</v>
      </c>
      <c r="K106" s="16">
        <f t="shared" si="10"/>
        <v>0</v>
      </c>
      <c r="L106" s="16">
        <f t="shared" si="7"/>
        <v>0</v>
      </c>
    </row>
    <row r="107" spans="2:12" ht="36">
      <c r="B107" s="293">
        <v>102</v>
      </c>
      <c r="C107" s="294" t="s">
        <v>644</v>
      </c>
      <c r="D107" s="295" t="s">
        <v>131</v>
      </c>
      <c r="E107" s="314">
        <v>-0.98399999999999999</v>
      </c>
      <c r="F107" s="297">
        <v>42972</v>
      </c>
      <c r="G107" s="41">
        <v>1</v>
      </c>
      <c r="H107" s="41">
        <f t="shared" si="8"/>
        <v>-0.98399999999999999</v>
      </c>
      <c r="I107" s="219">
        <f t="shared" si="9"/>
        <v>0</v>
      </c>
      <c r="J107" s="12">
        <f t="shared" si="6"/>
        <v>-0.98399999999999999</v>
      </c>
      <c r="K107" s="12">
        <f t="shared" si="10"/>
        <v>0</v>
      </c>
      <c r="L107" s="12">
        <f t="shared" si="7"/>
        <v>0</v>
      </c>
    </row>
    <row r="108" spans="2:12" ht="36">
      <c r="B108" s="293">
        <v>101</v>
      </c>
      <c r="C108" s="294" t="s">
        <v>645</v>
      </c>
      <c r="D108" s="295" t="s">
        <v>130</v>
      </c>
      <c r="E108" s="314">
        <v>5.0279999999999996</v>
      </c>
      <c r="F108" s="297">
        <v>42971</v>
      </c>
      <c r="G108" s="41">
        <v>1</v>
      </c>
      <c r="H108" s="41">
        <f t="shared" si="8"/>
        <v>5.0279999999999996</v>
      </c>
      <c r="I108" s="219">
        <f t="shared" si="9"/>
        <v>0</v>
      </c>
      <c r="J108" s="12">
        <f t="shared" si="6"/>
        <v>0</v>
      </c>
      <c r="K108" s="12">
        <f t="shared" si="10"/>
        <v>0</v>
      </c>
      <c r="L108" s="12">
        <f t="shared" si="7"/>
        <v>0</v>
      </c>
    </row>
    <row r="109" spans="2:12" ht="36">
      <c r="B109" s="293">
        <v>100</v>
      </c>
      <c r="C109" s="294" t="s">
        <v>646</v>
      </c>
      <c r="D109" s="295" t="s">
        <v>131</v>
      </c>
      <c r="E109" s="296">
        <v>336</v>
      </c>
      <c r="F109" s="297">
        <v>42971</v>
      </c>
      <c r="G109" s="41">
        <v>1</v>
      </c>
      <c r="H109" s="41">
        <f t="shared" si="8"/>
        <v>336</v>
      </c>
      <c r="I109" s="219">
        <f t="shared" si="9"/>
        <v>0</v>
      </c>
      <c r="J109" s="12">
        <f t="shared" si="6"/>
        <v>336</v>
      </c>
      <c r="K109" s="12">
        <f t="shared" si="10"/>
        <v>0</v>
      </c>
      <c r="L109" s="12">
        <f t="shared" si="7"/>
        <v>0</v>
      </c>
    </row>
    <row r="110" spans="2:12" ht="36">
      <c r="B110" s="293">
        <v>99</v>
      </c>
      <c r="C110" s="294" t="s">
        <v>647</v>
      </c>
      <c r="D110" s="295" t="s">
        <v>137</v>
      </c>
      <c r="E110" s="296">
        <v>22.6</v>
      </c>
      <c r="F110" s="297">
        <v>42967</v>
      </c>
      <c r="G110" s="41">
        <v>1</v>
      </c>
      <c r="H110" s="41">
        <f t="shared" si="8"/>
        <v>22.6</v>
      </c>
      <c r="I110" s="219">
        <f t="shared" si="9"/>
        <v>0</v>
      </c>
      <c r="J110" s="12">
        <f t="shared" si="6"/>
        <v>0</v>
      </c>
      <c r="K110" s="12">
        <f t="shared" si="10"/>
        <v>0</v>
      </c>
      <c r="L110" s="12">
        <f t="shared" si="7"/>
        <v>0</v>
      </c>
    </row>
    <row r="111" spans="2:12" ht="18">
      <c r="B111" s="293">
        <v>98</v>
      </c>
      <c r="C111" s="294" t="s">
        <v>648</v>
      </c>
      <c r="D111" s="295" t="s">
        <v>130</v>
      </c>
      <c r="E111" s="296">
        <v>2.4900000000000002</v>
      </c>
      <c r="F111" s="297">
        <v>42965</v>
      </c>
      <c r="G111" s="41">
        <v>1</v>
      </c>
      <c r="H111" s="41">
        <f t="shared" si="8"/>
        <v>2.4900000000000002</v>
      </c>
      <c r="I111" s="219">
        <f t="shared" si="9"/>
        <v>0</v>
      </c>
      <c r="J111" s="12">
        <f t="shared" si="6"/>
        <v>0</v>
      </c>
      <c r="K111" s="12">
        <f t="shared" si="10"/>
        <v>0</v>
      </c>
      <c r="L111" s="12">
        <f t="shared" si="7"/>
        <v>0</v>
      </c>
    </row>
    <row r="112" spans="2:12" ht="36">
      <c r="B112" s="293">
        <v>97</v>
      </c>
      <c r="C112" s="294" t="s">
        <v>649</v>
      </c>
      <c r="D112" s="295" t="s">
        <v>137</v>
      </c>
      <c r="E112" s="296">
        <v>99.49</v>
      </c>
      <c r="F112" s="297">
        <v>42965</v>
      </c>
      <c r="G112" s="41">
        <v>1</v>
      </c>
      <c r="H112" s="41">
        <f t="shared" si="8"/>
        <v>99.49</v>
      </c>
      <c r="I112" s="219">
        <f t="shared" si="9"/>
        <v>0</v>
      </c>
      <c r="J112" s="12">
        <f t="shared" si="6"/>
        <v>0</v>
      </c>
      <c r="K112" s="12">
        <f t="shared" si="10"/>
        <v>0</v>
      </c>
      <c r="L112" s="12">
        <f t="shared" si="7"/>
        <v>0</v>
      </c>
    </row>
    <row r="113" spans="2:12" ht="54">
      <c r="B113" s="293">
        <v>96</v>
      </c>
      <c r="C113" s="294" t="s">
        <v>630</v>
      </c>
      <c r="D113" s="295" t="s">
        <v>131</v>
      </c>
      <c r="E113" s="296">
        <v>271</v>
      </c>
      <c r="F113" s="297">
        <v>42965</v>
      </c>
      <c r="G113" s="41">
        <v>1</v>
      </c>
      <c r="H113" s="41">
        <f t="shared" si="8"/>
        <v>271</v>
      </c>
      <c r="I113" s="219">
        <f t="shared" si="9"/>
        <v>0</v>
      </c>
      <c r="J113" s="12">
        <f t="shared" si="6"/>
        <v>271</v>
      </c>
      <c r="K113" s="12">
        <f t="shared" si="10"/>
        <v>0</v>
      </c>
      <c r="L113" s="12">
        <f t="shared" si="7"/>
        <v>0</v>
      </c>
    </row>
    <row r="114" spans="2:12" ht="36">
      <c r="B114" s="293">
        <v>95</v>
      </c>
      <c r="C114" s="294" t="s">
        <v>650</v>
      </c>
      <c r="D114" s="295" t="s">
        <v>137</v>
      </c>
      <c r="E114" s="296">
        <v>2.76</v>
      </c>
      <c r="F114" s="297">
        <v>42964</v>
      </c>
      <c r="G114" s="41">
        <v>1</v>
      </c>
      <c r="H114" s="41">
        <f t="shared" si="8"/>
        <v>2.76</v>
      </c>
      <c r="I114" s="219">
        <f t="shared" si="9"/>
        <v>0</v>
      </c>
      <c r="J114" s="12">
        <f t="shared" si="6"/>
        <v>0</v>
      </c>
      <c r="K114" s="12">
        <f t="shared" si="10"/>
        <v>0</v>
      </c>
      <c r="L114" s="12">
        <f t="shared" si="7"/>
        <v>0</v>
      </c>
    </row>
    <row r="115" spans="2:12" ht="18">
      <c r="B115" s="293">
        <v>94</v>
      </c>
      <c r="C115" s="294" t="s">
        <v>595</v>
      </c>
      <c r="D115" s="295" t="s">
        <v>131</v>
      </c>
      <c r="E115" s="296">
        <v>375</v>
      </c>
      <c r="F115" s="297">
        <v>42963</v>
      </c>
      <c r="G115" s="41">
        <v>1</v>
      </c>
      <c r="H115" s="41">
        <f t="shared" si="8"/>
        <v>375</v>
      </c>
      <c r="I115" s="219">
        <f t="shared" si="9"/>
        <v>0</v>
      </c>
      <c r="J115" s="12">
        <f t="shared" si="6"/>
        <v>375</v>
      </c>
      <c r="K115" s="12">
        <f t="shared" si="10"/>
        <v>0</v>
      </c>
      <c r="L115" s="12">
        <f t="shared" si="7"/>
        <v>0</v>
      </c>
    </row>
    <row r="116" spans="2:12" ht="72">
      <c r="B116" s="293">
        <v>93</v>
      </c>
      <c r="C116" s="294" t="s">
        <v>651</v>
      </c>
      <c r="D116" s="295" t="s">
        <v>131</v>
      </c>
      <c r="E116" s="296">
        <v>4.3</v>
      </c>
      <c r="F116" s="297">
        <v>42961</v>
      </c>
      <c r="G116" s="41">
        <v>1</v>
      </c>
      <c r="H116" s="41">
        <f t="shared" si="8"/>
        <v>4.3</v>
      </c>
      <c r="I116" s="219">
        <f t="shared" si="9"/>
        <v>0</v>
      </c>
      <c r="J116" s="12">
        <f t="shared" si="6"/>
        <v>4.3</v>
      </c>
      <c r="K116" s="12">
        <f t="shared" si="10"/>
        <v>0</v>
      </c>
      <c r="L116" s="12">
        <f t="shared" si="7"/>
        <v>0</v>
      </c>
    </row>
    <row r="117" spans="2:12" ht="18">
      <c r="B117" s="293">
        <v>92</v>
      </c>
      <c r="C117" s="294" t="s">
        <v>476</v>
      </c>
      <c r="D117" s="309" t="s">
        <v>137</v>
      </c>
      <c r="E117" s="296">
        <v>6.3</v>
      </c>
      <c r="F117" s="297">
        <v>42958</v>
      </c>
      <c r="G117" s="41">
        <v>1</v>
      </c>
      <c r="H117" s="41">
        <f t="shared" si="8"/>
        <v>6.3</v>
      </c>
      <c r="I117" s="219">
        <f t="shared" si="9"/>
        <v>0</v>
      </c>
      <c r="J117" s="12">
        <f t="shared" si="6"/>
        <v>0</v>
      </c>
      <c r="K117" s="12">
        <f t="shared" si="10"/>
        <v>0</v>
      </c>
      <c r="L117" s="12">
        <f t="shared" si="7"/>
        <v>0</v>
      </c>
    </row>
    <row r="118" spans="2:12" ht="18">
      <c r="B118" s="293">
        <v>91</v>
      </c>
      <c r="C118" s="294" t="s">
        <v>527</v>
      </c>
      <c r="D118" s="295" t="s">
        <v>130</v>
      </c>
      <c r="E118" s="296">
        <v>15.31</v>
      </c>
      <c r="F118" s="297">
        <v>42958</v>
      </c>
      <c r="G118" s="41">
        <v>1</v>
      </c>
      <c r="H118" s="41">
        <f t="shared" si="8"/>
        <v>15.31</v>
      </c>
      <c r="I118" s="219">
        <f t="shared" si="9"/>
        <v>0</v>
      </c>
      <c r="J118" s="12">
        <f t="shared" si="6"/>
        <v>0</v>
      </c>
      <c r="K118" s="12">
        <f t="shared" si="10"/>
        <v>0</v>
      </c>
      <c r="L118" s="12">
        <f t="shared" si="7"/>
        <v>0</v>
      </c>
    </row>
    <row r="119" spans="2:12" ht="54">
      <c r="B119" s="293">
        <v>90</v>
      </c>
      <c r="C119" s="294" t="s">
        <v>652</v>
      </c>
      <c r="D119" s="295" t="s">
        <v>131</v>
      </c>
      <c r="E119" s="296">
        <v>2.5</v>
      </c>
      <c r="F119" s="297">
        <v>42951</v>
      </c>
      <c r="G119" s="41">
        <v>1</v>
      </c>
      <c r="H119" s="41">
        <f t="shared" si="8"/>
        <v>2.5</v>
      </c>
      <c r="I119" s="219">
        <f t="shared" si="9"/>
        <v>0</v>
      </c>
      <c r="J119" s="12">
        <f t="shared" si="6"/>
        <v>2.5</v>
      </c>
      <c r="K119" s="12">
        <f t="shared" si="10"/>
        <v>0</v>
      </c>
      <c r="L119" s="12">
        <f t="shared" si="7"/>
        <v>0</v>
      </c>
    </row>
    <row r="120" spans="2:12" ht="18">
      <c r="B120" s="300">
        <v>89</v>
      </c>
      <c r="C120" s="301" t="s">
        <v>643</v>
      </c>
      <c r="D120" s="302" t="s">
        <v>132</v>
      </c>
      <c r="E120" s="308">
        <v>12</v>
      </c>
      <c r="F120" s="304">
        <v>42951</v>
      </c>
      <c r="G120" s="305">
        <v>0</v>
      </c>
      <c r="H120" s="305">
        <f t="shared" si="8"/>
        <v>0</v>
      </c>
      <c r="I120" s="306">
        <f t="shared" si="9"/>
        <v>12</v>
      </c>
      <c r="J120" s="16">
        <f t="shared" si="6"/>
        <v>0</v>
      </c>
      <c r="K120" s="16">
        <f t="shared" si="10"/>
        <v>0</v>
      </c>
      <c r="L120" s="16">
        <f t="shared" si="7"/>
        <v>0</v>
      </c>
    </row>
    <row r="121" spans="2:12" ht="18">
      <c r="B121" s="293">
        <v>88</v>
      </c>
      <c r="C121" s="294" t="s">
        <v>653</v>
      </c>
      <c r="D121" s="295" t="s">
        <v>132</v>
      </c>
      <c r="E121" s="314">
        <v>4.4119999999999999</v>
      </c>
      <c r="F121" s="297">
        <v>42943</v>
      </c>
      <c r="G121" s="41">
        <v>1</v>
      </c>
      <c r="H121" s="41">
        <f t="shared" si="8"/>
        <v>4.4119999999999999</v>
      </c>
      <c r="I121" s="219">
        <f t="shared" si="9"/>
        <v>0</v>
      </c>
      <c r="J121" s="12">
        <f t="shared" si="6"/>
        <v>0</v>
      </c>
      <c r="K121" s="12">
        <f t="shared" si="10"/>
        <v>0</v>
      </c>
      <c r="L121" s="12">
        <f t="shared" si="7"/>
        <v>0</v>
      </c>
    </row>
    <row r="122" spans="2:12" ht="18">
      <c r="B122" s="300">
        <v>87</v>
      </c>
      <c r="C122" s="301" t="s">
        <v>366</v>
      </c>
      <c r="D122" s="302" t="s">
        <v>132</v>
      </c>
      <c r="E122" s="308">
        <v>4.7</v>
      </c>
      <c r="F122" s="304">
        <v>42943</v>
      </c>
      <c r="G122" s="305">
        <v>0</v>
      </c>
      <c r="H122" s="305">
        <f t="shared" si="8"/>
        <v>0</v>
      </c>
      <c r="I122" s="306">
        <f t="shared" si="9"/>
        <v>4.7</v>
      </c>
      <c r="J122" s="16">
        <f t="shared" si="6"/>
        <v>0</v>
      </c>
      <c r="K122" s="16">
        <f t="shared" si="10"/>
        <v>0</v>
      </c>
      <c r="L122" s="16">
        <f t="shared" si="7"/>
        <v>0</v>
      </c>
    </row>
    <row r="123" spans="2:12" ht="36">
      <c r="B123" s="293">
        <v>86</v>
      </c>
      <c r="C123" s="294" t="s">
        <v>343</v>
      </c>
      <c r="D123" s="295" t="s">
        <v>134</v>
      </c>
      <c r="E123" s="314">
        <v>1.413</v>
      </c>
      <c r="F123" s="297">
        <v>42942</v>
      </c>
      <c r="G123" s="41">
        <v>1</v>
      </c>
      <c r="H123" s="41">
        <f t="shared" si="8"/>
        <v>1.413</v>
      </c>
      <c r="I123" s="219">
        <f t="shared" si="9"/>
        <v>0</v>
      </c>
      <c r="J123" s="12">
        <f t="shared" si="6"/>
        <v>0</v>
      </c>
      <c r="K123" s="12">
        <f t="shared" si="10"/>
        <v>0</v>
      </c>
      <c r="L123" s="12">
        <f t="shared" si="7"/>
        <v>0</v>
      </c>
    </row>
    <row r="124" spans="2:12" ht="18">
      <c r="B124" s="300">
        <v>85</v>
      </c>
      <c r="C124" s="301" t="s">
        <v>643</v>
      </c>
      <c r="D124" s="302" t="s">
        <v>132</v>
      </c>
      <c r="E124" s="308">
        <v>21</v>
      </c>
      <c r="F124" s="304">
        <v>42937</v>
      </c>
      <c r="G124" s="305">
        <v>0</v>
      </c>
      <c r="H124" s="305">
        <f t="shared" si="8"/>
        <v>0</v>
      </c>
      <c r="I124" s="306">
        <f t="shared" si="9"/>
        <v>21</v>
      </c>
      <c r="J124" s="16">
        <f t="shared" si="6"/>
        <v>0</v>
      </c>
      <c r="K124" s="16">
        <f t="shared" si="10"/>
        <v>0</v>
      </c>
      <c r="L124" s="16">
        <f t="shared" si="7"/>
        <v>0</v>
      </c>
    </row>
    <row r="125" spans="2:12" ht="54">
      <c r="B125" s="293">
        <v>84</v>
      </c>
      <c r="C125" s="294" t="s">
        <v>200</v>
      </c>
      <c r="D125" s="295" t="s">
        <v>612</v>
      </c>
      <c r="E125" s="311">
        <v>1.204</v>
      </c>
      <c r="F125" s="297">
        <v>42933</v>
      </c>
      <c r="G125" s="41">
        <v>1</v>
      </c>
      <c r="H125" s="41">
        <f t="shared" si="8"/>
        <v>1.204</v>
      </c>
      <c r="I125" s="219">
        <f t="shared" si="9"/>
        <v>0</v>
      </c>
      <c r="J125" s="12">
        <f t="shared" si="6"/>
        <v>0</v>
      </c>
      <c r="K125" s="12">
        <f t="shared" si="10"/>
        <v>0</v>
      </c>
      <c r="L125" s="12">
        <f t="shared" si="7"/>
        <v>0</v>
      </c>
    </row>
    <row r="126" spans="2:12" ht="54">
      <c r="B126" s="319">
        <v>83</v>
      </c>
      <c r="C126" s="320" t="s">
        <v>654</v>
      </c>
      <c r="D126" s="321" t="s">
        <v>655</v>
      </c>
      <c r="E126" s="322">
        <v>23.646000000000001</v>
      </c>
      <c r="F126" s="323">
        <v>42931</v>
      </c>
      <c r="G126" s="41">
        <v>1</v>
      </c>
      <c r="H126" s="41">
        <f t="shared" si="8"/>
        <v>23.646000000000001</v>
      </c>
      <c r="I126" s="219">
        <f t="shared" si="9"/>
        <v>0</v>
      </c>
      <c r="J126" s="12">
        <f t="shared" si="6"/>
        <v>0</v>
      </c>
      <c r="K126" s="12">
        <f t="shared" si="10"/>
        <v>0</v>
      </c>
      <c r="L126" s="12">
        <f t="shared" si="7"/>
        <v>0</v>
      </c>
    </row>
    <row r="127" spans="2:12" ht="18">
      <c r="B127" s="293">
        <v>82</v>
      </c>
      <c r="C127" s="294" t="s">
        <v>447</v>
      </c>
      <c r="D127" s="309" t="s">
        <v>132</v>
      </c>
      <c r="E127" s="296">
        <v>14</v>
      </c>
      <c r="F127" s="297">
        <v>42930</v>
      </c>
      <c r="G127" s="41">
        <v>1</v>
      </c>
      <c r="H127" s="41">
        <f t="shared" si="8"/>
        <v>14</v>
      </c>
      <c r="I127" s="219">
        <f t="shared" si="9"/>
        <v>0</v>
      </c>
      <c r="J127" s="12">
        <f t="shared" si="6"/>
        <v>0</v>
      </c>
      <c r="K127" s="12">
        <f t="shared" si="10"/>
        <v>0</v>
      </c>
      <c r="L127" s="12">
        <f t="shared" si="7"/>
        <v>0</v>
      </c>
    </row>
    <row r="128" spans="2:12" ht="36">
      <c r="B128" s="300">
        <v>81</v>
      </c>
      <c r="C128" s="301" t="s">
        <v>346</v>
      </c>
      <c r="D128" s="302" t="s">
        <v>134</v>
      </c>
      <c r="E128" s="303">
        <v>1.0629999999999999</v>
      </c>
      <c r="F128" s="304">
        <v>42929</v>
      </c>
      <c r="G128" s="305">
        <v>0</v>
      </c>
      <c r="H128" s="305">
        <f t="shared" si="8"/>
        <v>0</v>
      </c>
      <c r="I128" s="306">
        <f t="shared" si="9"/>
        <v>1.0629999999999999</v>
      </c>
      <c r="J128" s="16">
        <f t="shared" si="6"/>
        <v>0</v>
      </c>
      <c r="K128" s="16">
        <f t="shared" si="10"/>
        <v>0</v>
      </c>
      <c r="L128" s="16">
        <f t="shared" si="7"/>
        <v>0</v>
      </c>
    </row>
    <row r="129" spans="2:12" ht="36">
      <c r="B129" s="293">
        <v>80</v>
      </c>
      <c r="C129" s="294" t="s">
        <v>177</v>
      </c>
      <c r="D129" s="295" t="s">
        <v>130</v>
      </c>
      <c r="E129" s="296">
        <v>10.09</v>
      </c>
      <c r="F129" s="297">
        <v>42923</v>
      </c>
      <c r="G129" s="41">
        <v>1</v>
      </c>
      <c r="H129" s="41">
        <f t="shared" si="8"/>
        <v>10.09</v>
      </c>
      <c r="I129" s="219">
        <f t="shared" si="9"/>
        <v>0</v>
      </c>
      <c r="J129" s="12">
        <f t="shared" si="6"/>
        <v>0</v>
      </c>
      <c r="K129" s="12">
        <f t="shared" si="10"/>
        <v>0</v>
      </c>
      <c r="L129" s="12">
        <f t="shared" si="7"/>
        <v>0</v>
      </c>
    </row>
    <row r="130" spans="2:12" ht="18">
      <c r="B130" s="300">
        <v>79</v>
      </c>
      <c r="C130" s="301" t="s">
        <v>656</v>
      </c>
      <c r="D130" s="318" t="s">
        <v>132</v>
      </c>
      <c r="E130" s="308">
        <v>9.15</v>
      </c>
      <c r="F130" s="304">
        <v>42916</v>
      </c>
      <c r="G130" s="305">
        <v>0</v>
      </c>
      <c r="H130" s="305">
        <f t="shared" si="8"/>
        <v>0</v>
      </c>
      <c r="I130" s="306">
        <f t="shared" si="9"/>
        <v>9.15</v>
      </c>
      <c r="J130" s="16">
        <f t="shared" si="6"/>
        <v>0</v>
      </c>
      <c r="K130" s="16">
        <f t="shared" si="10"/>
        <v>0</v>
      </c>
      <c r="L130" s="16">
        <f t="shared" si="7"/>
        <v>0</v>
      </c>
    </row>
    <row r="131" spans="2:12" ht="18">
      <c r="B131" s="300">
        <v>78</v>
      </c>
      <c r="C131" s="301" t="s">
        <v>439</v>
      </c>
      <c r="D131" s="302" t="s">
        <v>132</v>
      </c>
      <c r="E131" s="308">
        <v>2</v>
      </c>
      <c r="F131" s="304">
        <v>42908</v>
      </c>
      <c r="G131" s="305">
        <v>0</v>
      </c>
      <c r="H131" s="305">
        <f t="shared" si="8"/>
        <v>0</v>
      </c>
      <c r="I131" s="306">
        <f t="shared" si="9"/>
        <v>2</v>
      </c>
      <c r="J131" s="16">
        <f t="shared" si="6"/>
        <v>0</v>
      </c>
      <c r="K131" s="16">
        <f t="shared" si="10"/>
        <v>0</v>
      </c>
      <c r="L131" s="16">
        <f t="shared" si="7"/>
        <v>0</v>
      </c>
    </row>
    <row r="132" spans="2:12" ht="18">
      <c r="B132" s="293">
        <v>77</v>
      </c>
      <c r="C132" s="294" t="s">
        <v>595</v>
      </c>
      <c r="D132" s="295" t="s">
        <v>131</v>
      </c>
      <c r="E132" s="296">
        <v>203</v>
      </c>
      <c r="F132" s="297">
        <v>42902</v>
      </c>
      <c r="G132" s="41">
        <v>1</v>
      </c>
      <c r="H132" s="41">
        <f t="shared" si="8"/>
        <v>203</v>
      </c>
      <c r="I132" s="219">
        <f t="shared" si="9"/>
        <v>0</v>
      </c>
      <c r="J132" s="12">
        <f t="shared" si="6"/>
        <v>203</v>
      </c>
      <c r="K132" s="12">
        <f t="shared" si="10"/>
        <v>0</v>
      </c>
      <c r="L132" s="12">
        <f t="shared" si="7"/>
        <v>0</v>
      </c>
    </row>
    <row r="133" spans="2:12" ht="18">
      <c r="B133" s="293">
        <v>76</v>
      </c>
      <c r="C133" s="294" t="s">
        <v>657</v>
      </c>
      <c r="D133" s="295" t="s">
        <v>130</v>
      </c>
      <c r="E133" s="310">
        <v>46.92</v>
      </c>
      <c r="F133" s="297">
        <v>42901</v>
      </c>
      <c r="G133" s="41">
        <v>1</v>
      </c>
      <c r="H133" s="41">
        <f t="shared" si="8"/>
        <v>46.92</v>
      </c>
      <c r="I133" s="219">
        <f t="shared" si="9"/>
        <v>0</v>
      </c>
      <c r="J133" s="12">
        <f t="shared" si="6"/>
        <v>0</v>
      </c>
      <c r="K133" s="12">
        <f t="shared" si="10"/>
        <v>0</v>
      </c>
      <c r="L133" s="12">
        <f t="shared" si="7"/>
        <v>0</v>
      </c>
    </row>
    <row r="134" spans="2:12" ht="36">
      <c r="B134" s="293">
        <v>75</v>
      </c>
      <c r="C134" s="294" t="s">
        <v>658</v>
      </c>
      <c r="D134" s="295" t="s">
        <v>130</v>
      </c>
      <c r="E134" s="310">
        <v>14.9</v>
      </c>
      <c r="F134" s="297">
        <v>42901</v>
      </c>
      <c r="G134" s="41">
        <v>1</v>
      </c>
      <c r="H134" s="41">
        <f t="shared" si="8"/>
        <v>14.9</v>
      </c>
      <c r="I134" s="219">
        <f t="shared" si="9"/>
        <v>0</v>
      </c>
      <c r="J134" s="12">
        <f t="shared" si="6"/>
        <v>0</v>
      </c>
      <c r="K134" s="12">
        <f t="shared" si="10"/>
        <v>0</v>
      </c>
      <c r="L134" s="12">
        <f t="shared" si="7"/>
        <v>0</v>
      </c>
    </row>
    <row r="135" spans="2:12" ht="18">
      <c r="B135" s="293">
        <v>74</v>
      </c>
      <c r="C135" s="294" t="s">
        <v>659</v>
      </c>
      <c r="D135" s="295" t="s">
        <v>130</v>
      </c>
      <c r="E135" s="311">
        <v>4.468</v>
      </c>
      <c r="F135" s="297">
        <v>42892</v>
      </c>
      <c r="G135" s="41">
        <v>1</v>
      </c>
      <c r="H135" s="41">
        <f t="shared" si="8"/>
        <v>4.468</v>
      </c>
      <c r="I135" s="219">
        <f t="shared" si="9"/>
        <v>0</v>
      </c>
      <c r="J135" s="12">
        <f t="shared" si="6"/>
        <v>0</v>
      </c>
      <c r="K135" s="12">
        <f t="shared" si="10"/>
        <v>0</v>
      </c>
      <c r="L135" s="12">
        <f t="shared" si="7"/>
        <v>0</v>
      </c>
    </row>
    <row r="136" spans="2:12" ht="36">
      <c r="B136" s="293">
        <v>73</v>
      </c>
      <c r="C136" s="294" t="s">
        <v>660</v>
      </c>
      <c r="D136" s="295" t="s">
        <v>137</v>
      </c>
      <c r="E136" s="296">
        <v>10</v>
      </c>
      <c r="F136" s="297">
        <v>42889</v>
      </c>
      <c r="G136" s="41">
        <v>1</v>
      </c>
      <c r="H136" s="41">
        <f t="shared" si="8"/>
        <v>10</v>
      </c>
      <c r="I136" s="219">
        <f t="shared" si="9"/>
        <v>0</v>
      </c>
      <c r="J136" s="12">
        <f t="shared" si="6"/>
        <v>0</v>
      </c>
      <c r="K136" s="12">
        <f t="shared" si="10"/>
        <v>0</v>
      </c>
      <c r="L136" s="12">
        <f t="shared" si="7"/>
        <v>0</v>
      </c>
    </row>
    <row r="137" spans="2:12" ht="18">
      <c r="B137" s="293">
        <v>72</v>
      </c>
      <c r="C137" s="294" t="s">
        <v>661</v>
      </c>
      <c r="D137" s="295" t="s">
        <v>130</v>
      </c>
      <c r="E137" s="296">
        <v>8.84</v>
      </c>
      <c r="F137" s="297">
        <v>42888</v>
      </c>
      <c r="G137" s="41">
        <v>1</v>
      </c>
      <c r="H137" s="41">
        <f t="shared" si="8"/>
        <v>8.84</v>
      </c>
      <c r="I137" s="219">
        <f t="shared" si="9"/>
        <v>0</v>
      </c>
      <c r="J137" s="12">
        <f t="shared" si="6"/>
        <v>0</v>
      </c>
      <c r="K137" s="12">
        <f t="shared" si="10"/>
        <v>0</v>
      </c>
      <c r="L137" s="12">
        <f t="shared" si="7"/>
        <v>0</v>
      </c>
    </row>
    <row r="138" spans="2:12" ht="72">
      <c r="B138" s="293">
        <v>71</v>
      </c>
      <c r="C138" s="294" t="s">
        <v>662</v>
      </c>
      <c r="D138" s="295" t="s">
        <v>131</v>
      </c>
      <c r="E138" s="311">
        <v>2.145</v>
      </c>
      <c r="F138" s="297">
        <v>42887</v>
      </c>
      <c r="G138" s="41">
        <v>1</v>
      </c>
      <c r="H138" s="41">
        <f t="shared" si="8"/>
        <v>2.145</v>
      </c>
      <c r="I138" s="219">
        <f t="shared" si="9"/>
        <v>0</v>
      </c>
      <c r="J138" s="12">
        <f t="shared" si="6"/>
        <v>2.145</v>
      </c>
      <c r="K138" s="12">
        <f t="shared" si="10"/>
        <v>0</v>
      </c>
      <c r="L138" s="12">
        <f t="shared" si="7"/>
        <v>0</v>
      </c>
    </row>
    <row r="139" spans="2:12" ht="18">
      <c r="B139" s="300">
        <v>70</v>
      </c>
      <c r="C139" s="301" t="s">
        <v>161</v>
      </c>
      <c r="D139" s="302" t="s">
        <v>132</v>
      </c>
      <c r="E139" s="308">
        <v>12.5</v>
      </c>
      <c r="F139" s="304">
        <v>42885</v>
      </c>
      <c r="G139" s="324">
        <v>0</v>
      </c>
      <c r="H139" s="324">
        <f t="shared" si="8"/>
        <v>0</v>
      </c>
      <c r="I139" s="325">
        <f t="shared" si="9"/>
        <v>12.5</v>
      </c>
      <c r="J139" s="16">
        <f t="shared" si="6"/>
        <v>0</v>
      </c>
      <c r="K139" s="16">
        <f t="shared" si="10"/>
        <v>0</v>
      </c>
      <c r="L139" s="16">
        <f t="shared" si="7"/>
        <v>0</v>
      </c>
    </row>
    <row r="140" spans="2:12" ht="18">
      <c r="B140" s="300">
        <v>69</v>
      </c>
      <c r="C140" s="301" t="s">
        <v>663</v>
      </c>
      <c r="D140" s="302" t="s">
        <v>132</v>
      </c>
      <c r="E140" s="308">
        <v>41.15</v>
      </c>
      <c r="F140" s="304">
        <v>42881</v>
      </c>
      <c r="G140" s="305">
        <v>0</v>
      </c>
      <c r="H140" s="305">
        <f t="shared" si="8"/>
        <v>0</v>
      </c>
      <c r="I140" s="306">
        <f t="shared" si="9"/>
        <v>41.15</v>
      </c>
      <c r="J140" s="16">
        <f t="shared" si="6"/>
        <v>0</v>
      </c>
      <c r="K140" s="16">
        <f t="shared" si="10"/>
        <v>0</v>
      </c>
      <c r="L140" s="16">
        <f t="shared" si="7"/>
        <v>0</v>
      </c>
    </row>
    <row r="141" spans="2:12" ht="18">
      <c r="B141" s="293">
        <v>68</v>
      </c>
      <c r="C141" s="294" t="s">
        <v>657</v>
      </c>
      <c r="D141" s="295" t="s">
        <v>130</v>
      </c>
      <c r="E141" s="296">
        <v>3.6</v>
      </c>
      <c r="F141" s="297">
        <v>42873</v>
      </c>
      <c r="G141" s="41">
        <v>1</v>
      </c>
      <c r="H141" s="41">
        <f t="shared" si="8"/>
        <v>3.6</v>
      </c>
      <c r="I141" s="219">
        <f t="shared" si="9"/>
        <v>0</v>
      </c>
      <c r="J141" s="12">
        <f t="shared" si="6"/>
        <v>0</v>
      </c>
      <c r="K141" s="12">
        <f t="shared" si="10"/>
        <v>0</v>
      </c>
      <c r="L141" s="12">
        <f t="shared" si="7"/>
        <v>0</v>
      </c>
    </row>
    <row r="142" spans="2:12" ht="18">
      <c r="B142" s="293">
        <v>67</v>
      </c>
      <c r="C142" s="294" t="s">
        <v>664</v>
      </c>
      <c r="D142" s="295" t="s">
        <v>132</v>
      </c>
      <c r="E142" s="296">
        <v>0.6</v>
      </c>
      <c r="F142" s="297">
        <v>42873</v>
      </c>
      <c r="G142" s="41">
        <v>1</v>
      </c>
      <c r="H142" s="41">
        <f t="shared" si="8"/>
        <v>0.6</v>
      </c>
      <c r="I142" s="219">
        <f t="shared" si="9"/>
        <v>0</v>
      </c>
      <c r="J142" s="12">
        <f t="shared" si="6"/>
        <v>0</v>
      </c>
      <c r="K142" s="12">
        <f t="shared" si="10"/>
        <v>0</v>
      </c>
      <c r="L142" s="12">
        <f t="shared" si="7"/>
        <v>0</v>
      </c>
    </row>
    <row r="143" spans="2:12" ht="36">
      <c r="B143" s="293">
        <v>66</v>
      </c>
      <c r="C143" s="294" t="s">
        <v>646</v>
      </c>
      <c r="D143" s="295" t="s">
        <v>131</v>
      </c>
      <c r="E143" s="296">
        <v>295.7</v>
      </c>
      <c r="F143" s="297">
        <v>42872</v>
      </c>
      <c r="G143" s="41">
        <v>1</v>
      </c>
      <c r="H143" s="41">
        <f t="shared" si="8"/>
        <v>295.7</v>
      </c>
      <c r="I143" s="219">
        <f t="shared" si="9"/>
        <v>0</v>
      </c>
      <c r="J143" s="12">
        <f t="shared" ref="J143:J206" si="11">OR(IF((D143="DG"),1,0),IF(D143="DG/FO",1,0),IF(D143="DG/FO/Linyit",1,0))*E143</f>
        <v>295.7</v>
      </c>
      <c r="K143" s="12">
        <f t="shared" si="10"/>
        <v>0</v>
      </c>
      <c r="L143" s="12">
        <f t="shared" ref="L143:L206" si="12">(IF((D143="LİNYİT"),1,0))*E143</f>
        <v>0</v>
      </c>
    </row>
    <row r="144" spans="2:12" ht="18">
      <c r="B144" s="293">
        <v>65</v>
      </c>
      <c r="C144" s="294" t="s">
        <v>455</v>
      </c>
      <c r="D144" s="295" t="s">
        <v>132</v>
      </c>
      <c r="E144" s="296">
        <v>18</v>
      </c>
      <c r="F144" s="297">
        <v>42867</v>
      </c>
      <c r="G144" s="41">
        <v>1</v>
      </c>
      <c r="H144" s="41">
        <f t="shared" ref="H144:H207" si="13">E144*G144</f>
        <v>18</v>
      </c>
      <c r="I144" s="219">
        <f t="shared" ref="I144:I163" si="14">E144-H144</f>
        <v>0</v>
      </c>
      <c r="J144" s="12">
        <f t="shared" si="11"/>
        <v>0</v>
      </c>
      <c r="K144" s="12">
        <f t="shared" ref="K144:K207" si="15">OR(IF((D144="KÖMÜR+DİĞER"),1,0),IF(D144="KÖMÜR",1,0))*E144</f>
        <v>0</v>
      </c>
      <c r="L144" s="12">
        <f t="shared" si="12"/>
        <v>0</v>
      </c>
    </row>
    <row r="145" spans="2:12" ht="18">
      <c r="B145" s="293">
        <v>64</v>
      </c>
      <c r="C145" s="294" t="s">
        <v>665</v>
      </c>
      <c r="D145" s="295" t="s">
        <v>132</v>
      </c>
      <c r="E145" s="296">
        <v>26.2</v>
      </c>
      <c r="F145" s="297">
        <v>42867</v>
      </c>
      <c r="G145" s="41">
        <v>1</v>
      </c>
      <c r="H145" s="41">
        <f t="shared" si="13"/>
        <v>26.2</v>
      </c>
      <c r="I145" s="219">
        <f t="shared" si="14"/>
        <v>0</v>
      </c>
      <c r="J145" s="12">
        <f t="shared" si="11"/>
        <v>0</v>
      </c>
      <c r="K145" s="12">
        <f t="shared" si="15"/>
        <v>0</v>
      </c>
      <c r="L145" s="12">
        <f t="shared" si="12"/>
        <v>0</v>
      </c>
    </row>
    <row r="146" spans="2:12" ht="36">
      <c r="B146" s="293">
        <v>63</v>
      </c>
      <c r="C146" s="294" t="s">
        <v>666</v>
      </c>
      <c r="D146" s="295" t="s">
        <v>130</v>
      </c>
      <c r="E146" s="296">
        <v>2.2799999999999998</v>
      </c>
      <c r="F146" s="297">
        <v>42864</v>
      </c>
      <c r="G146" s="41">
        <v>1</v>
      </c>
      <c r="H146" s="41">
        <f t="shared" si="13"/>
        <v>2.2799999999999998</v>
      </c>
      <c r="I146" s="219">
        <f t="shared" si="14"/>
        <v>0</v>
      </c>
      <c r="J146" s="12">
        <f t="shared" si="11"/>
        <v>0</v>
      </c>
      <c r="K146" s="12">
        <f t="shared" si="15"/>
        <v>0</v>
      </c>
      <c r="L146" s="12">
        <f t="shared" si="12"/>
        <v>0</v>
      </c>
    </row>
    <row r="147" spans="2:12" ht="18">
      <c r="B147" s="293">
        <v>62</v>
      </c>
      <c r="C147" s="294" t="s">
        <v>595</v>
      </c>
      <c r="D147" s="295" t="s">
        <v>131</v>
      </c>
      <c r="E147" s="296">
        <v>375</v>
      </c>
      <c r="F147" s="297">
        <v>42860</v>
      </c>
      <c r="G147" s="41">
        <v>1</v>
      </c>
      <c r="H147" s="41">
        <f t="shared" si="13"/>
        <v>375</v>
      </c>
      <c r="I147" s="219">
        <f t="shared" si="14"/>
        <v>0</v>
      </c>
      <c r="J147" s="12">
        <f t="shared" si="11"/>
        <v>375</v>
      </c>
      <c r="K147" s="12">
        <f t="shared" si="15"/>
        <v>0</v>
      </c>
      <c r="L147" s="12">
        <f t="shared" si="12"/>
        <v>0</v>
      </c>
    </row>
    <row r="148" spans="2:12" ht="18">
      <c r="B148" s="293">
        <v>61</v>
      </c>
      <c r="C148" s="294" t="s">
        <v>664</v>
      </c>
      <c r="D148" s="295" t="s">
        <v>132</v>
      </c>
      <c r="E148" s="296">
        <v>12.8</v>
      </c>
      <c r="F148" s="297">
        <v>42860</v>
      </c>
      <c r="G148" s="41">
        <v>1</v>
      </c>
      <c r="H148" s="41">
        <f t="shared" si="13"/>
        <v>12.8</v>
      </c>
      <c r="I148" s="219">
        <f t="shared" si="14"/>
        <v>0</v>
      </c>
      <c r="J148" s="12">
        <f t="shared" si="11"/>
        <v>0</v>
      </c>
      <c r="K148" s="12">
        <f t="shared" si="15"/>
        <v>0</v>
      </c>
      <c r="L148" s="12">
        <f t="shared" si="12"/>
        <v>0</v>
      </c>
    </row>
    <row r="149" spans="2:12" ht="18">
      <c r="B149" s="300">
        <v>60</v>
      </c>
      <c r="C149" s="301" t="s">
        <v>384</v>
      </c>
      <c r="D149" s="302" t="s">
        <v>132</v>
      </c>
      <c r="E149" s="308">
        <v>9</v>
      </c>
      <c r="F149" s="304">
        <v>42859</v>
      </c>
      <c r="G149" s="305">
        <v>0</v>
      </c>
      <c r="H149" s="305">
        <f t="shared" si="13"/>
        <v>0</v>
      </c>
      <c r="I149" s="306">
        <f t="shared" si="14"/>
        <v>9</v>
      </c>
      <c r="J149" s="16">
        <f t="shared" si="11"/>
        <v>0</v>
      </c>
      <c r="K149" s="16">
        <f t="shared" si="15"/>
        <v>0</v>
      </c>
      <c r="L149" s="16">
        <f t="shared" si="12"/>
        <v>0</v>
      </c>
    </row>
    <row r="150" spans="2:12" ht="72">
      <c r="B150" s="293">
        <v>59</v>
      </c>
      <c r="C150" s="294" t="s">
        <v>667</v>
      </c>
      <c r="D150" s="295" t="s">
        <v>138</v>
      </c>
      <c r="E150" s="296">
        <v>2.66</v>
      </c>
      <c r="F150" s="297">
        <v>42853</v>
      </c>
      <c r="G150" s="41">
        <v>1</v>
      </c>
      <c r="H150" s="41">
        <f t="shared" si="13"/>
        <v>2.66</v>
      </c>
      <c r="I150" s="219">
        <f t="shared" si="14"/>
        <v>0</v>
      </c>
      <c r="J150" s="12">
        <f t="shared" si="11"/>
        <v>0</v>
      </c>
      <c r="K150" s="12">
        <f t="shared" si="15"/>
        <v>0</v>
      </c>
      <c r="L150" s="12">
        <f t="shared" si="12"/>
        <v>2.66</v>
      </c>
    </row>
    <row r="151" spans="2:12" ht="36">
      <c r="B151" s="293">
        <v>58</v>
      </c>
      <c r="C151" s="294" t="s">
        <v>646</v>
      </c>
      <c r="D151" s="295" t="s">
        <v>131</v>
      </c>
      <c r="E151" s="296">
        <v>295.7</v>
      </c>
      <c r="F151" s="297">
        <v>42853</v>
      </c>
      <c r="G151" s="41">
        <v>1</v>
      </c>
      <c r="H151" s="41">
        <f t="shared" si="13"/>
        <v>295.7</v>
      </c>
      <c r="I151" s="219">
        <f t="shared" si="14"/>
        <v>0</v>
      </c>
      <c r="J151" s="12">
        <f t="shared" si="11"/>
        <v>295.7</v>
      </c>
      <c r="K151" s="12">
        <f t="shared" si="15"/>
        <v>0</v>
      </c>
      <c r="L151" s="12">
        <f t="shared" si="12"/>
        <v>0</v>
      </c>
    </row>
    <row r="152" spans="2:12" ht="18">
      <c r="B152" s="300">
        <v>57</v>
      </c>
      <c r="C152" s="301" t="s">
        <v>663</v>
      </c>
      <c r="D152" s="302" t="s">
        <v>132</v>
      </c>
      <c r="E152" s="308">
        <v>28.8</v>
      </c>
      <c r="F152" s="304">
        <v>42845</v>
      </c>
      <c r="G152" s="305">
        <v>0</v>
      </c>
      <c r="H152" s="305">
        <f t="shared" si="13"/>
        <v>0</v>
      </c>
      <c r="I152" s="306">
        <f t="shared" si="14"/>
        <v>28.8</v>
      </c>
      <c r="J152" s="16">
        <f t="shared" si="11"/>
        <v>0</v>
      </c>
      <c r="K152" s="16">
        <f t="shared" si="15"/>
        <v>0</v>
      </c>
      <c r="L152" s="16">
        <f t="shared" si="12"/>
        <v>0</v>
      </c>
    </row>
    <row r="153" spans="2:12" ht="18">
      <c r="B153" s="293">
        <v>56</v>
      </c>
      <c r="C153" s="294" t="s">
        <v>657</v>
      </c>
      <c r="D153" s="295" t="s">
        <v>130</v>
      </c>
      <c r="E153" s="296">
        <v>46.92</v>
      </c>
      <c r="F153" s="297">
        <v>42845</v>
      </c>
      <c r="G153" s="41">
        <v>1</v>
      </c>
      <c r="H153" s="41">
        <f t="shared" si="13"/>
        <v>46.92</v>
      </c>
      <c r="I153" s="219">
        <f t="shared" si="14"/>
        <v>0</v>
      </c>
      <c r="J153" s="12">
        <f t="shared" si="11"/>
        <v>0</v>
      </c>
      <c r="K153" s="12">
        <f t="shared" si="15"/>
        <v>0</v>
      </c>
      <c r="L153" s="12">
        <f t="shared" si="12"/>
        <v>0</v>
      </c>
    </row>
    <row r="154" spans="2:12" ht="18">
      <c r="B154" s="293">
        <v>55</v>
      </c>
      <c r="C154" s="294" t="s">
        <v>668</v>
      </c>
      <c r="D154" s="295" t="s">
        <v>130</v>
      </c>
      <c r="E154" s="314">
        <v>6.1879999999999997</v>
      </c>
      <c r="F154" s="297">
        <v>42839</v>
      </c>
      <c r="G154" s="41">
        <v>1</v>
      </c>
      <c r="H154" s="41">
        <f t="shared" si="13"/>
        <v>6.1879999999999997</v>
      </c>
      <c r="I154" s="219">
        <f t="shared" si="14"/>
        <v>0</v>
      </c>
      <c r="J154" s="12">
        <f t="shared" si="11"/>
        <v>0</v>
      </c>
      <c r="K154" s="12">
        <f t="shared" si="15"/>
        <v>0</v>
      </c>
      <c r="L154" s="12">
        <f t="shared" si="12"/>
        <v>0</v>
      </c>
    </row>
    <row r="155" spans="2:12" ht="54">
      <c r="B155" s="293">
        <v>54</v>
      </c>
      <c r="C155" s="294" t="s">
        <v>669</v>
      </c>
      <c r="D155" s="295" t="s">
        <v>134</v>
      </c>
      <c r="E155" s="296">
        <v>1.2</v>
      </c>
      <c r="F155" s="297">
        <v>42839</v>
      </c>
      <c r="G155" s="41">
        <v>1</v>
      </c>
      <c r="H155" s="41">
        <f t="shared" si="13"/>
        <v>1.2</v>
      </c>
      <c r="I155" s="219">
        <f t="shared" si="14"/>
        <v>0</v>
      </c>
      <c r="J155" s="12">
        <f t="shared" si="11"/>
        <v>0</v>
      </c>
      <c r="K155" s="12">
        <f t="shared" si="15"/>
        <v>0</v>
      </c>
      <c r="L155" s="12">
        <f t="shared" si="12"/>
        <v>0</v>
      </c>
    </row>
    <row r="156" spans="2:12" ht="18">
      <c r="B156" s="300">
        <v>53</v>
      </c>
      <c r="C156" s="301" t="s">
        <v>384</v>
      </c>
      <c r="D156" s="302" t="s">
        <v>132</v>
      </c>
      <c r="E156" s="308">
        <v>12</v>
      </c>
      <c r="F156" s="304">
        <v>42838</v>
      </c>
      <c r="G156" s="41">
        <v>0</v>
      </c>
      <c r="H156" s="41">
        <f t="shared" si="13"/>
        <v>0</v>
      </c>
      <c r="I156" s="219">
        <f t="shared" si="14"/>
        <v>12</v>
      </c>
      <c r="J156" s="12">
        <f t="shared" si="11"/>
        <v>0</v>
      </c>
      <c r="K156" s="12">
        <f t="shared" si="15"/>
        <v>0</v>
      </c>
      <c r="L156" s="12">
        <f t="shared" si="12"/>
        <v>0</v>
      </c>
    </row>
    <row r="157" spans="2:12" ht="36">
      <c r="B157" s="293">
        <v>52</v>
      </c>
      <c r="C157" s="294" t="s">
        <v>670</v>
      </c>
      <c r="D157" s="295" t="s">
        <v>130</v>
      </c>
      <c r="E157" s="296">
        <v>7.8</v>
      </c>
      <c r="F157" s="297">
        <v>42825</v>
      </c>
      <c r="G157" s="41">
        <v>1</v>
      </c>
      <c r="H157" s="41">
        <f t="shared" si="13"/>
        <v>7.8</v>
      </c>
      <c r="I157" s="219">
        <f t="shared" si="14"/>
        <v>0</v>
      </c>
      <c r="J157" s="12">
        <f t="shared" si="11"/>
        <v>0</v>
      </c>
      <c r="K157" s="12">
        <f t="shared" si="15"/>
        <v>0</v>
      </c>
      <c r="L157" s="12">
        <f t="shared" si="12"/>
        <v>0</v>
      </c>
    </row>
    <row r="158" spans="2:12" ht="18">
      <c r="B158" s="300">
        <v>51</v>
      </c>
      <c r="C158" s="301" t="s">
        <v>214</v>
      </c>
      <c r="D158" s="318" t="s">
        <v>132</v>
      </c>
      <c r="E158" s="308">
        <v>9.9</v>
      </c>
      <c r="F158" s="304">
        <v>42825</v>
      </c>
      <c r="G158" s="305">
        <v>0</v>
      </c>
      <c r="H158" s="305">
        <f t="shared" si="13"/>
        <v>0</v>
      </c>
      <c r="I158" s="306">
        <f t="shared" si="14"/>
        <v>9.9</v>
      </c>
      <c r="J158" s="16">
        <f t="shared" si="11"/>
        <v>0</v>
      </c>
      <c r="K158" s="16">
        <f t="shared" si="15"/>
        <v>0</v>
      </c>
      <c r="L158" s="16">
        <f t="shared" si="12"/>
        <v>0</v>
      </c>
    </row>
    <row r="159" spans="2:12" ht="18">
      <c r="B159" s="293">
        <v>50</v>
      </c>
      <c r="C159" s="294" t="s">
        <v>447</v>
      </c>
      <c r="D159" s="309" t="s">
        <v>132</v>
      </c>
      <c r="E159" s="296">
        <v>11.2</v>
      </c>
      <c r="F159" s="297">
        <v>42825</v>
      </c>
      <c r="G159" s="41">
        <v>1</v>
      </c>
      <c r="H159" s="41">
        <f t="shared" si="13"/>
        <v>11.2</v>
      </c>
      <c r="I159" s="219">
        <f t="shared" si="14"/>
        <v>0</v>
      </c>
      <c r="J159" s="12">
        <f t="shared" si="11"/>
        <v>0</v>
      </c>
      <c r="K159" s="12">
        <f t="shared" si="15"/>
        <v>0</v>
      </c>
      <c r="L159" s="12">
        <f t="shared" si="12"/>
        <v>0</v>
      </c>
    </row>
    <row r="160" spans="2:12" ht="36">
      <c r="B160" s="293">
        <v>49</v>
      </c>
      <c r="C160" s="294" t="s">
        <v>522</v>
      </c>
      <c r="D160" s="295" t="s">
        <v>130</v>
      </c>
      <c r="E160" s="296">
        <v>1.19</v>
      </c>
      <c r="F160" s="297">
        <v>42825</v>
      </c>
      <c r="G160" s="41">
        <v>1</v>
      </c>
      <c r="H160" s="41">
        <f t="shared" si="13"/>
        <v>1.19</v>
      </c>
      <c r="I160" s="219">
        <f t="shared" si="14"/>
        <v>0</v>
      </c>
      <c r="J160" s="12">
        <f t="shared" si="11"/>
        <v>0</v>
      </c>
      <c r="K160" s="12">
        <f t="shared" si="15"/>
        <v>0</v>
      </c>
      <c r="L160" s="12">
        <f t="shared" si="12"/>
        <v>0</v>
      </c>
    </row>
    <row r="161" spans="2:12" ht="54">
      <c r="B161" s="293">
        <v>48</v>
      </c>
      <c r="C161" s="294" t="s">
        <v>671</v>
      </c>
      <c r="D161" s="295" t="s">
        <v>131</v>
      </c>
      <c r="E161" s="296">
        <v>9.73</v>
      </c>
      <c r="F161" s="297">
        <v>42825</v>
      </c>
      <c r="G161" s="41">
        <v>1</v>
      </c>
      <c r="H161" s="41">
        <f t="shared" si="13"/>
        <v>9.73</v>
      </c>
      <c r="I161" s="219">
        <f t="shared" si="14"/>
        <v>0</v>
      </c>
      <c r="J161" s="12">
        <f t="shared" si="11"/>
        <v>9.73</v>
      </c>
      <c r="K161" s="12">
        <f t="shared" si="15"/>
        <v>0</v>
      </c>
      <c r="L161" s="12">
        <f t="shared" si="12"/>
        <v>0</v>
      </c>
    </row>
    <row r="162" spans="2:12" ht="18">
      <c r="B162" s="300">
        <v>47</v>
      </c>
      <c r="C162" s="301" t="s">
        <v>162</v>
      </c>
      <c r="D162" s="302" t="s">
        <v>132</v>
      </c>
      <c r="E162" s="308">
        <v>9.4</v>
      </c>
      <c r="F162" s="304">
        <v>42825</v>
      </c>
      <c r="G162" s="305">
        <v>0</v>
      </c>
      <c r="H162" s="305">
        <f t="shared" si="13"/>
        <v>0</v>
      </c>
      <c r="I162" s="306">
        <f t="shared" si="14"/>
        <v>9.4</v>
      </c>
      <c r="J162" s="16">
        <f t="shared" si="11"/>
        <v>0</v>
      </c>
      <c r="K162" s="16">
        <f t="shared" si="15"/>
        <v>0</v>
      </c>
      <c r="L162" s="16">
        <f t="shared" si="12"/>
        <v>0</v>
      </c>
    </row>
    <row r="163" spans="2:12" ht="36">
      <c r="B163" s="293">
        <v>46</v>
      </c>
      <c r="C163" s="294" t="s">
        <v>672</v>
      </c>
      <c r="D163" s="295" t="s">
        <v>130</v>
      </c>
      <c r="E163" s="296">
        <v>61.95</v>
      </c>
      <c r="F163" s="297">
        <v>42825</v>
      </c>
      <c r="G163" s="41">
        <v>1</v>
      </c>
      <c r="H163" s="41">
        <f t="shared" si="13"/>
        <v>61.95</v>
      </c>
      <c r="I163" s="219">
        <f t="shared" si="14"/>
        <v>0</v>
      </c>
      <c r="J163" s="12">
        <f t="shared" si="11"/>
        <v>0</v>
      </c>
      <c r="K163" s="12">
        <f t="shared" si="15"/>
        <v>0</v>
      </c>
      <c r="L163" s="12">
        <f t="shared" si="12"/>
        <v>0</v>
      </c>
    </row>
    <row r="164" spans="2:12" ht="54">
      <c r="B164" s="293">
        <v>45</v>
      </c>
      <c r="C164" s="294" t="s">
        <v>673</v>
      </c>
      <c r="D164" s="309" t="s">
        <v>139</v>
      </c>
      <c r="E164" s="296">
        <v>2.2000000000000002</v>
      </c>
      <c r="F164" s="297">
        <v>42825</v>
      </c>
      <c r="G164" s="41">
        <v>1</v>
      </c>
      <c r="H164" s="41">
        <f t="shared" si="13"/>
        <v>2.2000000000000002</v>
      </c>
      <c r="I164" s="219">
        <f>E164-H164</f>
        <v>0</v>
      </c>
      <c r="J164" s="12">
        <f t="shared" si="11"/>
        <v>0</v>
      </c>
      <c r="K164" s="12">
        <f t="shared" si="15"/>
        <v>0</v>
      </c>
      <c r="L164" s="12">
        <f t="shared" si="12"/>
        <v>0</v>
      </c>
    </row>
    <row r="165" spans="2:12" ht="18">
      <c r="B165" s="293">
        <v>44</v>
      </c>
      <c r="C165" s="294" t="s">
        <v>513</v>
      </c>
      <c r="D165" s="309" t="s">
        <v>132</v>
      </c>
      <c r="E165" s="296">
        <v>2.25</v>
      </c>
      <c r="F165" s="297">
        <v>42823</v>
      </c>
      <c r="G165" s="41">
        <v>1</v>
      </c>
      <c r="H165" s="41">
        <f t="shared" si="13"/>
        <v>2.25</v>
      </c>
      <c r="I165" s="219">
        <f t="shared" ref="I165:I179" si="16">E165-H165</f>
        <v>0</v>
      </c>
      <c r="J165" s="12">
        <f t="shared" si="11"/>
        <v>0</v>
      </c>
      <c r="K165" s="12">
        <f t="shared" si="15"/>
        <v>0</v>
      </c>
      <c r="L165" s="12">
        <f t="shared" si="12"/>
        <v>0</v>
      </c>
    </row>
    <row r="166" spans="2:12" ht="18">
      <c r="B166" s="293">
        <v>43</v>
      </c>
      <c r="C166" s="294" t="s">
        <v>476</v>
      </c>
      <c r="D166" s="309" t="s">
        <v>137</v>
      </c>
      <c r="E166" s="296">
        <v>6.4</v>
      </c>
      <c r="F166" s="297">
        <v>42823</v>
      </c>
      <c r="G166" s="41"/>
      <c r="H166" s="41">
        <f t="shared" si="13"/>
        <v>0</v>
      </c>
      <c r="I166" s="219">
        <f t="shared" si="16"/>
        <v>6.4</v>
      </c>
      <c r="J166" s="12">
        <f t="shared" si="11"/>
        <v>0</v>
      </c>
      <c r="K166" s="12">
        <f t="shared" si="15"/>
        <v>0</v>
      </c>
      <c r="L166" s="12">
        <f t="shared" si="12"/>
        <v>0</v>
      </c>
    </row>
    <row r="167" spans="2:12" ht="18">
      <c r="B167" s="293">
        <v>42</v>
      </c>
      <c r="C167" s="294" t="s">
        <v>653</v>
      </c>
      <c r="D167" s="295" t="s">
        <v>132</v>
      </c>
      <c r="E167" s="314">
        <v>20.588000000000001</v>
      </c>
      <c r="F167" s="297">
        <v>42819</v>
      </c>
      <c r="G167" s="41">
        <v>1</v>
      </c>
      <c r="H167" s="41">
        <f t="shared" si="13"/>
        <v>20.588000000000001</v>
      </c>
      <c r="I167" s="219">
        <f t="shared" si="16"/>
        <v>0</v>
      </c>
      <c r="J167" s="12">
        <f t="shared" si="11"/>
        <v>0</v>
      </c>
      <c r="K167" s="12">
        <f t="shared" si="15"/>
        <v>0</v>
      </c>
      <c r="L167" s="12">
        <f t="shared" si="12"/>
        <v>0</v>
      </c>
    </row>
    <row r="168" spans="2:12" ht="18">
      <c r="B168" s="300">
        <v>41</v>
      </c>
      <c r="C168" s="301" t="s">
        <v>602</v>
      </c>
      <c r="D168" s="318" t="s">
        <v>132</v>
      </c>
      <c r="E168" s="303">
        <v>9.9480000000000004</v>
      </c>
      <c r="F168" s="304">
        <v>42818</v>
      </c>
      <c r="G168" s="305">
        <v>0</v>
      </c>
      <c r="H168" s="305">
        <f t="shared" si="13"/>
        <v>0</v>
      </c>
      <c r="I168" s="306">
        <f t="shared" si="16"/>
        <v>9.9480000000000004</v>
      </c>
      <c r="J168" s="16">
        <f t="shared" si="11"/>
        <v>0</v>
      </c>
      <c r="K168" s="16">
        <f t="shared" si="15"/>
        <v>0</v>
      </c>
      <c r="L168" s="16">
        <f t="shared" si="12"/>
        <v>0</v>
      </c>
    </row>
    <row r="169" spans="2:12" ht="54">
      <c r="B169" s="293">
        <v>40</v>
      </c>
      <c r="C169" s="294" t="s">
        <v>674</v>
      </c>
      <c r="D169" s="295" t="s">
        <v>131</v>
      </c>
      <c r="E169" s="296">
        <v>2</v>
      </c>
      <c r="F169" s="297">
        <v>42818</v>
      </c>
      <c r="G169" s="41">
        <v>1</v>
      </c>
      <c r="H169" s="41">
        <f t="shared" si="13"/>
        <v>2</v>
      </c>
      <c r="I169" s="219">
        <f t="shared" si="16"/>
        <v>0</v>
      </c>
      <c r="J169" s="12">
        <f t="shared" si="11"/>
        <v>2</v>
      </c>
      <c r="K169" s="12">
        <f t="shared" si="15"/>
        <v>0</v>
      </c>
      <c r="L169" s="12">
        <f t="shared" si="12"/>
        <v>0</v>
      </c>
    </row>
    <row r="170" spans="2:12" ht="90">
      <c r="B170" s="293">
        <v>39</v>
      </c>
      <c r="C170" s="294" t="s">
        <v>675</v>
      </c>
      <c r="D170" s="295" t="s">
        <v>131</v>
      </c>
      <c r="E170" s="296">
        <v>4.5</v>
      </c>
      <c r="F170" s="297">
        <v>42818</v>
      </c>
      <c r="G170" s="41">
        <v>1</v>
      </c>
      <c r="H170" s="41">
        <f t="shared" si="13"/>
        <v>4.5</v>
      </c>
      <c r="I170" s="219">
        <f t="shared" si="16"/>
        <v>0</v>
      </c>
      <c r="J170" s="12">
        <f t="shared" si="11"/>
        <v>4.5</v>
      </c>
      <c r="K170" s="12">
        <f t="shared" si="15"/>
        <v>0</v>
      </c>
      <c r="L170" s="12">
        <f t="shared" si="12"/>
        <v>0</v>
      </c>
    </row>
    <row r="171" spans="2:12" ht="36">
      <c r="B171" s="293">
        <v>38</v>
      </c>
      <c r="C171" s="294" t="s">
        <v>676</v>
      </c>
      <c r="D171" s="295" t="s">
        <v>137</v>
      </c>
      <c r="E171" s="296">
        <v>8.52</v>
      </c>
      <c r="F171" s="297">
        <v>42818</v>
      </c>
      <c r="G171" s="41">
        <v>1</v>
      </c>
      <c r="H171" s="41">
        <f t="shared" si="13"/>
        <v>8.52</v>
      </c>
      <c r="I171" s="219">
        <f t="shared" si="16"/>
        <v>0</v>
      </c>
      <c r="J171" s="12">
        <f t="shared" si="11"/>
        <v>0</v>
      </c>
      <c r="K171" s="12">
        <f t="shared" si="15"/>
        <v>0</v>
      </c>
      <c r="L171" s="12">
        <f t="shared" si="12"/>
        <v>0</v>
      </c>
    </row>
    <row r="172" spans="2:12" ht="36">
      <c r="B172" s="293">
        <v>37</v>
      </c>
      <c r="C172" s="294" t="s">
        <v>677</v>
      </c>
      <c r="D172" s="295" t="s">
        <v>130</v>
      </c>
      <c r="E172" s="296">
        <v>6.39</v>
      </c>
      <c r="F172" s="297">
        <v>42817</v>
      </c>
      <c r="G172" s="41">
        <v>1</v>
      </c>
      <c r="H172" s="41">
        <f t="shared" si="13"/>
        <v>6.39</v>
      </c>
      <c r="I172" s="219">
        <f t="shared" si="16"/>
        <v>0</v>
      </c>
      <c r="J172" s="12">
        <f t="shared" si="11"/>
        <v>0</v>
      </c>
      <c r="K172" s="12">
        <f t="shared" si="15"/>
        <v>0</v>
      </c>
      <c r="L172" s="12">
        <f t="shared" si="12"/>
        <v>0</v>
      </c>
    </row>
    <row r="173" spans="2:12" ht="54">
      <c r="B173" s="293">
        <v>36</v>
      </c>
      <c r="C173" s="294" t="s">
        <v>678</v>
      </c>
      <c r="D173" s="295" t="s">
        <v>131</v>
      </c>
      <c r="E173" s="296">
        <v>1.56</v>
      </c>
      <c r="F173" s="297">
        <v>42811</v>
      </c>
      <c r="G173" s="41">
        <v>1</v>
      </c>
      <c r="H173" s="41">
        <f t="shared" si="13"/>
        <v>1.56</v>
      </c>
      <c r="I173" s="219">
        <f t="shared" si="16"/>
        <v>0</v>
      </c>
      <c r="J173" s="12">
        <f t="shared" si="11"/>
        <v>1.56</v>
      </c>
      <c r="K173" s="12">
        <f t="shared" si="15"/>
        <v>0</v>
      </c>
      <c r="L173" s="12">
        <f t="shared" si="12"/>
        <v>0</v>
      </c>
    </row>
    <row r="174" spans="2:12" ht="18">
      <c r="B174" s="300">
        <v>35</v>
      </c>
      <c r="C174" s="301" t="s">
        <v>461</v>
      </c>
      <c r="D174" s="302" t="s">
        <v>132</v>
      </c>
      <c r="E174" s="308">
        <v>2.9</v>
      </c>
      <c r="F174" s="304">
        <v>42810</v>
      </c>
      <c r="G174" s="305">
        <v>0</v>
      </c>
      <c r="H174" s="305">
        <f t="shared" si="13"/>
        <v>0</v>
      </c>
      <c r="I174" s="306">
        <f t="shared" si="16"/>
        <v>2.9</v>
      </c>
      <c r="J174" s="16">
        <f t="shared" si="11"/>
        <v>0</v>
      </c>
      <c r="K174" s="16">
        <f t="shared" si="15"/>
        <v>0</v>
      </c>
      <c r="L174" s="16">
        <f t="shared" si="12"/>
        <v>0</v>
      </c>
    </row>
    <row r="175" spans="2:12" ht="18">
      <c r="B175" s="293">
        <v>34</v>
      </c>
      <c r="C175" s="294" t="s">
        <v>450</v>
      </c>
      <c r="D175" s="309" t="s">
        <v>130</v>
      </c>
      <c r="E175" s="310">
        <v>40.9</v>
      </c>
      <c r="F175" s="297">
        <v>42809</v>
      </c>
      <c r="G175" s="41">
        <v>1</v>
      </c>
      <c r="H175" s="41">
        <f t="shared" si="13"/>
        <v>40.9</v>
      </c>
      <c r="I175" s="219">
        <f t="shared" si="16"/>
        <v>0</v>
      </c>
      <c r="J175" s="12">
        <f t="shared" si="11"/>
        <v>0</v>
      </c>
      <c r="K175" s="12">
        <f t="shared" si="15"/>
        <v>0</v>
      </c>
      <c r="L175" s="12">
        <f t="shared" si="12"/>
        <v>0</v>
      </c>
    </row>
    <row r="176" spans="2:12" ht="18">
      <c r="B176" s="293">
        <v>33</v>
      </c>
      <c r="C176" s="294" t="s">
        <v>596</v>
      </c>
      <c r="D176" s="309" t="s">
        <v>130</v>
      </c>
      <c r="E176" s="311">
        <v>5.3250000000000002</v>
      </c>
      <c r="F176" s="297">
        <v>42804</v>
      </c>
      <c r="G176" s="41">
        <v>1</v>
      </c>
      <c r="H176" s="41">
        <f t="shared" si="13"/>
        <v>5.3250000000000002</v>
      </c>
      <c r="I176" s="219">
        <f t="shared" si="16"/>
        <v>0</v>
      </c>
      <c r="J176" s="12">
        <f t="shared" si="11"/>
        <v>0</v>
      </c>
      <c r="K176" s="12">
        <f t="shared" si="15"/>
        <v>0</v>
      </c>
      <c r="L176" s="12">
        <f t="shared" si="12"/>
        <v>0</v>
      </c>
    </row>
    <row r="177" spans="2:12" ht="18">
      <c r="B177" s="300">
        <v>32</v>
      </c>
      <c r="C177" s="301" t="s">
        <v>214</v>
      </c>
      <c r="D177" s="318" t="s">
        <v>132</v>
      </c>
      <c r="E177" s="308">
        <v>16.5</v>
      </c>
      <c r="F177" s="304">
        <v>42799</v>
      </c>
      <c r="G177" s="305">
        <v>0</v>
      </c>
      <c r="H177" s="305">
        <f t="shared" si="13"/>
        <v>0</v>
      </c>
      <c r="I177" s="306">
        <f t="shared" si="16"/>
        <v>16.5</v>
      </c>
      <c r="J177" s="16">
        <f t="shared" si="11"/>
        <v>0</v>
      </c>
      <c r="K177" s="16">
        <f t="shared" si="15"/>
        <v>0</v>
      </c>
      <c r="L177" s="16">
        <f t="shared" si="12"/>
        <v>0</v>
      </c>
    </row>
    <row r="178" spans="2:12" ht="18">
      <c r="B178" s="300">
        <v>31</v>
      </c>
      <c r="C178" s="301" t="s">
        <v>602</v>
      </c>
      <c r="D178" s="318" t="s">
        <v>132</v>
      </c>
      <c r="E178" s="303">
        <v>6.6319999999999997</v>
      </c>
      <c r="F178" s="304">
        <v>42797</v>
      </c>
      <c r="G178" s="305">
        <v>0</v>
      </c>
      <c r="H178" s="305">
        <f t="shared" si="13"/>
        <v>0</v>
      </c>
      <c r="I178" s="306">
        <f t="shared" si="16"/>
        <v>6.6319999999999997</v>
      </c>
      <c r="J178" s="16">
        <f t="shared" si="11"/>
        <v>0</v>
      </c>
      <c r="K178" s="16">
        <f t="shared" si="15"/>
        <v>0</v>
      </c>
      <c r="L178" s="16">
        <f t="shared" si="12"/>
        <v>0</v>
      </c>
    </row>
    <row r="179" spans="2:12" ht="18">
      <c r="B179" s="293">
        <v>30</v>
      </c>
      <c r="C179" s="294" t="s">
        <v>447</v>
      </c>
      <c r="D179" s="309" t="s">
        <v>132</v>
      </c>
      <c r="E179" s="296">
        <v>11.2</v>
      </c>
      <c r="F179" s="297">
        <v>42797</v>
      </c>
      <c r="G179" s="41">
        <v>1</v>
      </c>
      <c r="H179" s="41">
        <f t="shared" si="13"/>
        <v>11.2</v>
      </c>
      <c r="I179" s="219">
        <f t="shared" si="16"/>
        <v>0</v>
      </c>
      <c r="J179" s="12">
        <f t="shared" si="11"/>
        <v>0</v>
      </c>
      <c r="K179" s="12">
        <f t="shared" si="15"/>
        <v>0</v>
      </c>
      <c r="L179" s="12">
        <f t="shared" si="12"/>
        <v>0</v>
      </c>
    </row>
    <row r="180" spans="2:12" ht="54">
      <c r="B180" s="293">
        <v>29</v>
      </c>
      <c r="C180" s="294" t="s">
        <v>679</v>
      </c>
      <c r="D180" s="309" t="s">
        <v>130</v>
      </c>
      <c r="E180" s="296">
        <v>2.16</v>
      </c>
      <c r="F180" s="297">
        <v>42797</v>
      </c>
      <c r="G180" s="41">
        <v>1</v>
      </c>
      <c r="H180" s="41">
        <f t="shared" si="13"/>
        <v>2.16</v>
      </c>
      <c r="I180" s="219">
        <f>E180-H180</f>
        <v>0</v>
      </c>
      <c r="J180" s="12">
        <f t="shared" si="11"/>
        <v>0</v>
      </c>
      <c r="K180" s="12">
        <f t="shared" si="15"/>
        <v>0</v>
      </c>
      <c r="L180" s="12">
        <f t="shared" si="12"/>
        <v>0</v>
      </c>
    </row>
    <row r="181" spans="2:12" ht="54">
      <c r="B181" s="293">
        <v>28</v>
      </c>
      <c r="C181" s="294" t="s">
        <v>316</v>
      </c>
      <c r="D181" s="295" t="s">
        <v>134</v>
      </c>
      <c r="E181" s="314">
        <v>1.413</v>
      </c>
      <c r="F181" s="297">
        <v>42790</v>
      </c>
      <c r="G181" s="41">
        <v>1</v>
      </c>
      <c r="H181" s="41">
        <f t="shared" si="13"/>
        <v>1.413</v>
      </c>
      <c r="I181" s="219">
        <f t="shared" ref="I181:I208" si="17">E181-H181</f>
        <v>0</v>
      </c>
      <c r="J181" s="12">
        <f t="shared" si="11"/>
        <v>0</v>
      </c>
      <c r="K181" s="12">
        <f t="shared" si="15"/>
        <v>0</v>
      </c>
      <c r="L181" s="12">
        <f t="shared" si="12"/>
        <v>0</v>
      </c>
    </row>
    <row r="182" spans="2:12" ht="36">
      <c r="B182" s="293">
        <v>27</v>
      </c>
      <c r="C182" s="294" t="s">
        <v>676</v>
      </c>
      <c r="D182" s="295" t="s">
        <v>137</v>
      </c>
      <c r="E182" s="296">
        <v>15</v>
      </c>
      <c r="F182" s="297">
        <v>42790</v>
      </c>
      <c r="G182" s="41">
        <v>1</v>
      </c>
      <c r="H182" s="41">
        <f t="shared" si="13"/>
        <v>15</v>
      </c>
      <c r="I182" s="219">
        <f t="shared" si="17"/>
        <v>0</v>
      </c>
      <c r="J182" s="12">
        <f t="shared" si="11"/>
        <v>0</v>
      </c>
      <c r="K182" s="12">
        <f t="shared" si="15"/>
        <v>0</v>
      </c>
      <c r="L182" s="12">
        <f t="shared" si="12"/>
        <v>0</v>
      </c>
    </row>
    <row r="183" spans="2:12" ht="18">
      <c r="B183" s="293">
        <v>26</v>
      </c>
      <c r="C183" s="294" t="s">
        <v>446</v>
      </c>
      <c r="D183" s="295" t="s">
        <v>132</v>
      </c>
      <c r="E183" s="296">
        <v>10.8</v>
      </c>
      <c r="F183" s="297">
        <v>42790</v>
      </c>
      <c r="G183" s="41">
        <v>1</v>
      </c>
      <c r="H183" s="41">
        <f t="shared" si="13"/>
        <v>10.8</v>
      </c>
      <c r="I183" s="219">
        <f t="shared" si="17"/>
        <v>0</v>
      </c>
      <c r="J183" s="12">
        <f t="shared" si="11"/>
        <v>0</v>
      </c>
      <c r="K183" s="12">
        <f t="shared" si="15"/>
        <v>0</v>
      </c>
      <c r="L183" s="12">
        <f t="shared" si="12"/>
        <v>0</v>
      </c>
    </row>
    <row r="184" spans="2:12" ht="54">
      <c r="B184" s="293">
        <v>25</v>
      </c>
      <c r="C184" s="294" t="s">
        <v>680</v>
      </c>
      <c r="D184" s="309" t="s">
        <v>131</v>
      </c>
      <c r="E184" s="296">
        <v>1</v>
      </c>
      <c r="F184" s="297">
        <v>42790</v>
      </c>
      <c r="G184" s="41">
        <v>1</v>
      </c>
      <c r="H184" s="41">
        <f t="shared" si="13"/>
        <v>1</v>
      </c>
      <c r="I184" s="219">
        <f t="shared" si="17"/>
        <v>0</v>
      </c>
      <c r="J184" s="12">
        <f t="shared" si="11"/>
        <v>1</v>
      </c>
      <c r="K184" s="12">
        <f t="shared" si="15"/>
        <v>0</v>
      </c>
      <c r="L184" s="12">
        <f t="shared" si="12"/>
        <v>0</v>
      </c>
    </row>
    <row r="185" spans="2:12" ht="18">
      <c r="B185" s="300">
        <v>24</v>
      </c>
      <c r="C185" s="301" t="s">
        <v>312</v>
      </c>
      <c r="D185" s="318" t="s">
        <v>132</v>
      </c>
      <c r="E185" s="308">
        <v>3.3</v>
      </c>
      <c r="F185" s="304">
        <v>42789</v>
      </c>
      <c r="G185" s="305">
        <v>0</v>
      </c>
      <c r="H185" s="305">
        <f t="shared" si="13"/>
        <v>0</v>
      </c>
      <c r="I185" s="306">
        <f t="shared" si="17"/>
        <v>3.3</v>
      </c>
      <c r="J185" s="16">
        <f t="shared" si="11"/>
        <v>0</v>
      </c>
      <c r="K185" s="16">
        <f t="shared" si="15"/>
        <v>0</v>
      </c>
      <c r="L185" s="16">
        <f t="shared" si="12"/>
        <v>0</v>
      </c>
    </row>
    <row r="186" spans="2:12" ht="36">
      <c r="B186" s="293">
        <v>23</v>
      </c>
      <c r="C186" s="294" t="s">
        <v>362</v>
      </c>
      <c r="D186" s="309" t="s">
        <v>142</v>
      </c>
      <c r="E186" s="311">
        <v>2.1339999999999999</v>
      </c>
      <c r="F186" s="297">
        <v>42789</v>
      </c>
      <c r="G186" s="41">
        <v>1</v>
      </c>
      <c r="H186" s="41">
        <f t="shared" si="13"/>
        <v>2.1339999999999999</v>
      </c>
      <c r="I186" s="219">
        <f t="shared" si="17"/>
        <v>0</v>
      </c>
      <c r="J186" s="12">
        <f t="shared" si="11"/>
        <v>0</v>
      </c>
      <c r="K186" s="12">
        <f t="shared" si="15"/>
        <v>0</v>
      </c>
      <c r="L186" s="12">
        <f t="shared" si="12"/>
        <v>0</v>
      </c>
    </row>
    <row r="187" spans="2:12" ht="18">
      <c r="B187" s="293">
        <v>22</v>
      </c>
      <c r="C187" s="294" t="s">
        <v>681</v>
      </c>
      <c r="D187" s="309" t="s">
        <v>130</v>
      </c>
      <c r="E187" s="311">
        <v>4.5430000000000001</v>
      </c>
      <c r="F187" s="297">
        <v>42787</v>
      </c>
      <c r="G187" s="41">
        <v>1</v>
      </c>
      <c r="H187" s="41">
        <f t="shared" si="13"/>
        <v>4.5430000000000001</v>
      </c>
      <c r="I187" s="219">
        <f t="shared" si="17"/>
        <v>0</v>
      </c>
      <c r="J187" s="12">
        <f t="shared" si="11"/>
        <v>0</v>
      </c>
      <c r="K187" s="12">
        <f t="shared" si="15"/>
        <v>0</v>
      </c>
      <c r="L187" s="12">
        <f t="shared" si="12"/>
        <v>0</v>
      </c>
    </row>
    <row r="188" spans="2:12" ht="36">
      <c r="B188" s="293">
        <v>21</v>
      </c>
      <c r="C188" s="294" t="s">
        <v>482</v>
      </c>
      <c r="D188" s="309" t="s">
        <v>130</v>
      </c>
      <c r="E188" s="296">
        <v>4.66</v>
      </c>
      <c r="F188" s="297">
        <v>42786</v>
      </c>
      <c r="G188" s="41">
        <v>1</v>
      </c>
      <c r="H188" s="41">
        <f t="shared" si="13"/>
        <v>4.66</v>
      </c>
      <c r="I188" s="219">
        <f t="shared" si="17"/>
        <v>0</v>
      </c>
      <c r="J188" s="12">
        <f t="shared" si="11"/>
        <v>0</v>
      </c>
      <c r="K188" s="12">
        <f t="shared" si="15"/>
        <v>0</v>
      </c>
      <c r="L188" s="12">
        <f t="shared" si="12"/>
        <v>0</v>
      </c>
    </row>
    <row r="189" spans="2:12" ht="18">
      <c r="B189" s="293">
        <v>20</v>
      </c>
      <c r="C189" s="294" t="s">
        <v>682</v>
      </c>
      <c r="D189" s="295" t="s">
        <v>132</v>
      </c>
      <c r="E189" s="296">
        <v>5</v>
      </c>
      <c r="F189" s="297">
        <v>42783</v>
      </c>
      <c r="G189" s="41">
        <v>1</v>
      </c>
      <c r="H189" s="41">
        <f t="shared" si="13"/>
        <v>5</v>
      </c>
      <c r="I189" s="219">
        <f t="shared" si="17"/>
        <v>0</v>
      </c>
      <c r="J189" s="12">
        <f t="shared" si="11"/>
        <v>0</v>
      </c>
      <c r="K189" s="12">
        <f t="shared" si="15"/>
        <v>0</v>
      </c>
      <c r="L189" s="12">
        <f t="shared" si="12"/>
        <v>0</v>
      </c>
    </row>
    <row r="190" spans="2:12" ht="18">
      <c r="B190" s="293">
        <v>19</v>
      </c>
      <c r="C190" s="294" t="s">
        <v>664</v>
      </c>
      <c r="D190" s="295" t="s">
        <v>132</v>
      </c>
      <c r="E190" s="296">
        <v>41.6</v>
      </c>
      <c r="F190" s="297">
        <v>42783</v>
      </c>
      <c r="G190" s="41">
        <v>1</v>
      </c>
      <c r="H190" s="41">
        <f t="shared" si="13"/>
        <v>41.6</v>
      </c>
      <c r="I190" s="219">
        <f t="shared" si="17"/>
        <v>0</v>
      </c>
      <c r="J190" s="12">
        <f t="shared" si="11"/>
        <v>0</v>
      </c>
      <c r="K190" s="12">
        <f t="shared" si="15"/>
        <v>0</v>
      </c>
      <c r="L190" s="12">
        <f t="shared" si="12"/>
        <v>0</v>
      </c>
    </row>
    <row r="191" spans="2:12" ht="18">
      <c r="B191" s="300">
        <v>18</v>
      </c>
      <c r="C191" s="301" t="s">
        <v>133</v>
      </c>
      <c r="D191" s="318" t="s">
        <v>132</v>
      </c>
      <c r="E191" s="308">
        <v>9.2899999999999991</v>
      </c>
      <c r="F191" s="304">
        <v>42782</v>
      </c>
      <c r="G191" s="305">
        <v>0</v>
      </c>
      <c r="H191" s="305">
        <f t="shared" si="13"/>
        <v>0</v>
      </c>
      <c r="I191" s="306">
        <f t="shared" si="17"/>
        <v>9.2899999999999991</v>
      </c>
      <c r="J191" s="16">
        <f t="shared" si="11"/>
        <v>0</v>
      </c>
      <c r="K191" s="16">
        <f t="shared" si="15"/>
        <v>0</v>
      </c>
      <c r="L191" s="16">
        <f t="shared" si="12"/>
        <v>0</v>
      </c>
    </row>
    <row r="192" spans="2:12" ht="72">
      <c r="B192" s="293">
        <v>17</v>
      </c>
      <c r="C192" s="294" t="s">
        <v>683</v>
      </c>
      <c r="D192" s="295" t="s">
        <v>131</v>
      </c>
      <c r="E192" s="314">
        <v>8.125</v>
      </c>
      <c r="F192" s="297">
        <v>42777</v>
      </c>
      <c r="G192" s="41">
        <v>1</v>
      </c>
      <c r="H192" s="41">
        <f t="shared" si="13"/>
        <v>8.125</v>
      </c>
      <c r="I192" s="219">
        <f t="shared" si="17"/>
        <v>0</v>
      </c>
      <c r="J192" s="12">
        <f t="shared" si="11"/>
        <v>8.125</v>
      </c>
      <c r="K192" s="12">
        <f t="shared" si="15"/>
        <v>0</v>
      </c>
      <c r="L192" s="12">
        <f t="shared" si="12"/>
        <v>0</v>
      </c>
    </row>
    <row r="193" spans="2:12" ht="36">
      <c r="B193" s="293">
        <v>16</v>
      </c>
      <c r="C193" s="294" t="s">
        <v>684</v>
      </c>
      <c r="D193" s="295" t="s">
        <v>130</v>
      </c>
      <c r="E193" s="311">
        <v>74.462000000000003</v>
      </c>
      <c r="F193" s="297">
        <v>42777</v>
      </c>
      <c r="G193" s="41">
        <v>1</v>
      </c>
      <c r="H193" s="41">
        <f t="shared" si="13"/>
        <v>74.462000000000003</v>
      </c>
      <c r="I193" s="219">
        <f t="shared" si="17"/>
        <v>0</v>
      </c>
      <c r="J193" s="12">
        <f t="shared" si="11"/>
        <v>0</v>
      </c>
      <c r="K193" s="12">
        <f t="shared" si="15"/>
        <v>0</v>
      </c>
      <c r="L193" s="12">
        <f t="shared" si="12"/>
        <v>0</v>
      </c>
    </row>
    <row r="194" spans="2:12" ht="18">
      <c r="B194" s="300">
        <v>15</v>
      </c>
      <c r="C194" s="301" t="s">
        <v>244</v>
      </c>
      <c r="D194" s="302" t="s">
        <v>132</v>
      </c>
      <c r="E194" s="308">
        <v>9.9</v>
      </c>
      <c r="F194" s="304">
        <v>42776</v>
      </c>
      <c r="G194" s="305">
        <v>0</v>
      </c>
      <c r="H194" s="305">
        <f t="shared" si="13"/>
        <v>0</v>
      </c>
      <c r="I194" s="306">
        <f t="shared" si="17"/>
        <v>9.9</v>
      </c>
      <c r="J194" s="16">
        <f t="shared" si="11"/>
        <v>0</v>
      </c>
      <c r="K194" s="16">
        <f t="shared" si="15"/>
        <v>0</v>
      </c>
      <c r="L194" s="16">
        <f t="shared" si="12"/>
        <v>0</v>
      </c>
    </row>
    <row r="195" spans="2:12" ht="36">
      <c r="B195" s="293">
        <v>14</v>
      </c>
      <c r="C195" s="294" t="s">
        <v>491</v>
      </c>
      <c r="D195" s="295" t="s">
        <v>134</v>
      </c>
      <c r="E195" s="296">
        <v>3.6</v>
      </c>
      <c r="F195" s="297">
        <v>42769</v>
      </c>
      <c r="G195" s="41">
        <v>1</v>
      </c>
      <c r="H195" s="41">
        <f t="shared" si="13"/>
        <v>3.6</v>
      </c>
      <c r="I195" s="219">
        <f t="shared" si="17"/>
        <v>0</v>
      </c>
      <c r="J195" s="12">
        <f t="shared" si="11"/>
        <v>0</v>
      </c>
      <c r="K195" s="12">
        <f t="shared" si="15"/>
        <v>0</v>
      </c>
      <c r="L195" s="12">
        <f t="shared" si="12"/>
        <v>0</v>
      </c>
    </row>
    <row r="196" spans="2:12" ht="18">
      <c r="B196" s="300">
        <v>13</v>
      </c>
      <c r="C196" s="301" t="s">
        <v>656</v>
      </c>
      <c r="D196" s="318" t="s">
        <v>132</v>
      </c>
      <c r="E196" s="308">
        <v>2.85</v>
      </c>
      <c r="F196" s="304">
        <v>42769</v>
      </c>
      <c r="G196" s="305">
        <v>0</v>
      </c>
      <c r="H196" s="305">
        <f t="shared" si="13"/>
        <v>0</v>
      </c>
      <c r="I196" s="306">
        <f t="shared" si="17"/>
        <v>2.85</v>
      </c>
      <c r="J196" s="16">
        <f t="shared" si="11"/>
        <v>0</v>
      </c>
      <c r="K196" s="16">
        <f t="shared" si="15"/>
        <v>0</v>
      </c>
      <c r="L196" s="16">
        <f t="shared" si="12"/>
        <v>0</v>
      </c>
    </row>
    <row r="197" spans="2:12" ht="18">
      <c r="B197" s="300">
        <v>12</v>
      </c>
      <c r="C197" s="301" t="s">
        <v>385</v>
      </c>
      <c r="D197" s="318" t="s">
        <v>132</v>
      </c>
      <c r="E197" s="326">
        <v>9.1999999999999993</v>
      </c>
      <c r="F197" s="304">
        <v>42769</v>
      </c>
      <c r="G197" s="305">
        <v>0</v>
      </c>
      <c r="H197" s="305">
        <f t="shared" si="13"/>
        <v>0</v>
      </c>
      <c r="I197" s="306">
        <f t="shared" si="17"/>
        <v>9.1999999999999993</v>
      </c>
      <c r="J197" s="16">
        <f t="shared" si="11"/>
        <v>0</v>
      </c>
      <c r="K197" s="16">
        <f t="shared" si="15"/>
        <v>0</v>
      </c>
      <c r="L197" s="16">
        <f t="shared" si="12"/>
        <v>0</v>
      </c>
    </row>
    <row r="198" spans="2:12" ht="54">
      <c r="B198" s="293">
        <v>11</v>
      </c>
      <c r="C198" s="294" t="s">
        <v>685</v>
      </c>
      <c r="D198" s="309" t="s">
        <v>131</v>
      </c>
      <c r="E198" s="311">
        <v>6.0839999999999996</v>
      </c>
      <c r="F198" s="297">
        <v>42768</v>
      </c>
      <c r="G198" s="41">
        <v>1</v>
      </c>
      <c r="H198" s="41">
        <f t="shared" si="13"/>
        <v>6.0839999999999996</v>
      </c>
      <c r="I198" s="219">
        <f t="shared" si="17"/>
        <v>0</v>
      </c>
      <c r="J198" s="12">
        <f t="shared" si="11"/>
        <v>6.0839999999999996</v>
      </c>
      <c r="K198" s="12">
        <f t="shared" si="15"/>
        <v>0</v>
      </c>
      <c r="L198" s="12">
        <f t="shared" si="12"/>
        <v>0</v>
      </c>
    </row>
    <row r="199" spans="2:12" ht="54">
      <c r="B199" s="293">
        <v>10</v>
      </c>
      <c r="C199" s="294" t="s">
        <v>686</v>
      </c>
      <c r="D199" s="309" t="s">
        <v>131</v>
      </c>
      <c r="E199" s="296">
        <v>1</v>
      </c>
      <c r="F199" s="297">
        <v>42762</v>
      </c>
      <c r="G199" s="41">
        <v>1</v>
      </c>
      <c r="H199" s="41">
        <f t="shared" si="13"/>
        <v>1</v>
      </c>
      <c r="I199" s="219">
        <f t="shared" si="17"/>
        <v>0</v>
      </c>
      <c r="J199" s="12">
        <f t="shared" si="11"/>
        <v>1</v>
      </c>
      <c r="K199" s="12">
        <f t="shared" si="15"/>
        <v>0</v>
      </c>
      <c r="L199" s="12">
        <f t="shared" si="12"/>
        <v>0</v>
      </c>
    </row>
    <row r="200" spans="2:12" ht="18">
      <c r="B200" s="293">
        <v>9</v>
      </c>
      <c r="C200" s="294" t="s">
        <v>687</v>
      </c>
      <c r="D200" s="309" t="s">
        <v>132</v>
      </c>
      <c r="E200" s="296">
        <v>13.2</v>
      </c>
      <c r="F200" s="297">
        <v>42762</v>
      </c>
      <c r="G200" s="41">
        <v>1</v>
      </c>
      <c r="H200" s="41">
        <f t="shared" si="13"/>
        <v>13.2</v>
      </c>
      <c r="I200" s="219">
        <f t="shared" si="17"/>
        <v>0</v>
      </c>
      <c r="J200" s="12">
        <f t="shared" si="11"/>
        <v>0</v>
      </c>
      <c r="K200" s="12">
        <f t="shared" si="15"/>
        <v>0</v>
      </c>
      <c r="L200" s="12">
        <f t="shared" si="12"/>
        <v>0</v>
      </c>
    </row>
    <row r="201" spans="2:12" ht="18">
      <c r="B201" s="300">
        <v>8</v>
      </c>
      <c r="C201" s="301" t="s">
        <v>133</v>
      </c>
      <c r="D201" s="318" t="s">
        <v>132</v>
      </c>
      <c r="E201" s="308">
        <v>9.2899999999999991</v>
      </c>
      <c r="F201" s="304">
        <v>42762</v>
      </c>
      <c r="G201" s="305">
        <v>0</v>
      </c>
      <c r="H201" s="305">
        <f t="shared" si="13"/>
        <v>0</v>
      </c>
      <c r="I201" s="306">
        <f t="shared" si="17"/>
        <v>9.2899999999999991</v>
      </c>
      <c r="J201" s="16">
        <f t="shared" si="11"/>
        <v>0</v>
      </c>
      <c r="K201" s="16">
        <f t="shared" si="15"/>
        <v>0</v>
      </c>
      <c r="L201" s="16">
        <f t="shared" si="12"/>
        <v>0</v>
      </c>
    </row>
    <row r="202" spans="2:12" ht="18">
      <c r="B202" s="293">
        <v>7</v>
      </c>
      <c r="C202" s="294" t="s">
        <v>446</v>
      </c>
      <c r="D202" s="295" t="s">
        <v>132</v>
      </c>
      <c r="E202" s="296">
        <v>11.4</v>
      </c>
      <c r="F202" s="297">
        <v>42762</v>
      </c>
      <c r="G202" s="41">
        <v>1</v>
      </c>
      <c r="H202" s="41">
        <f t="shared" si="13"/>
        <v>11.4</v>
      </c>
      <c r="I202" s="219">
        <f t="shared" si="17"/>
        <v>0</v>
      </c>
      <c r="J202" s="12">
        <f t="shared" si="11"/>
        <v>0</v>
      </c>
      <c r="K202" s="12">
        <f t="shared" si="15"/>
        <v>0</v>
      </c>
      <c r="L202" s="12">
        <f t="shared" si="12"/>
        <v>0</v>
      </c>
    </row>
    <row r="203" spans="2:12" ht="54">
      <c r="B203" s="293">
        <v>6</v>
      </c>
      <c r="C203" s="294" t="s">
        <v>679</v>
      </c>
      <c r="D203" s="309" t="s">
        <v>130</v>
      </c>
      <c r="E203" s="296">
        <v>3.12</v>
      </c>
      <c r="F203" s="297">
        <v>42755</v>
      </c>
      <c r="G203" s="41">
        <v>1</v>
      </c>
      <c r="H203" s="41">
        <f t="shared" si="13"/>
        <v>3.12</v>
      </c>
      <c r="I203" s="219">
        <f t="shared" si="17"/>
        <v>0</v>
      </c>
      <c r="J203" s="12">
        <f t="shared" si="11"/>
        <v>0</v>
      </c>
      <c r="K203" s="12">
        <f t="shared" si="15"/>
        <v>0</v>
      </c>
      <c r="L203" s="12">
        <f t="shared" si="12"/>
        <v>0</v>
      </c>
    </row>
    <row r="204" spans="2:12" ht="18">
      <c r="B204" s="293">
        <v>5</v>
      </c>
      <c r="C204" s="294" t="s">
        <v>688</v>
      </c>
      <c r="D204" s="309" t="s">
        <v>131</v>
      </c>
      <c r="E204" s="296">
        <v>2</v>
      </c>
      <c r="F204" s="297">
        <v>42755</v>
      </c>
      <c r="G204" s="41">
        <v>1</v>
      </c>
      <c r="H204" s="41">
        <f t="shared" si="13"/>
        <v>2</v>
      </c>
      <c r="I204" s="219">
        <f t="shared" si="17"/>
        <v>0</v>
      </c>
      <c r="J204" s="12">
        <f t="shared" si="11"/>
        <v>2</v>
      </c>
      <c r="K204" s="12">
        <f t="shared" si="15"/>
        <v>0</v>
      </c>
      <c r="L204" s="12">
        <f t="shared" si="12"/>
        <v>0</v>
      </c>
    </row>
    <row r="205" spans="2:12" ht="54">
      <c r="B205" s="300">
        <v>4</v>
      </c>
      <c r="C205" s="301" t="s">
        <v>689</v>
      </c>
      <c r="D205" s="318" t="s">
        <v>130</v>
      </c>
      <c r="E205" s="327">
        <v>5.6470000000000002</v>
      </c>
      <c r="F205" s="304">
        <v>42748</v>
      </c>
      <c r="G205" s="305">
        <v>0</v>
      </c>
      <c r="H205" s="305">
        <f t="shared" si="13"/>
        <v>0</v>
      </c>
      <c r="I205" s="306">
        <f t="shared" si="17"/>
        <v>5.6470000000000002</v>
      </c>
      <c r="J205" s="16">
        <f t="shared" si="11"/>
        <v>0</v>
      </c>
      <c r="K205" s="16">
        <f t="shared" si="15"/>
        <v>0</v>
      </c>
      <c r="L205" s="16">
        <f t="shared" si="12"/>
        <v>0</v>
      </c>
    </row>
    <row r="206" spans="2:12" ht="54">
      <c r="B206" s="293">
        <v>3</v>
      </c>
      <c r="C206" s="294" t="s">
        <v>690</v>
      </c>
      <c r="D206" s="309" t="s">
        <v>432</v>
      </c>
      <c r="E206" s="296">
        <v>50</v>
      </c>
      <c r="F206" s="297">
        <v>42741</v>
      </c>
      <c r="G206" s="41">
        <v>1</v>
      </c>
      <c r="H206" s="41">
        <f t="shared" si="13"/>
        <v>50</v>
      </c>
      <c r="I206" s="219">
        <f t="shared" si="17"/>
        <v>0</v>
      </c>
      <c r="J206" s="12">
        <f t="shared" si="11"/>
        <v>0</v>
      </c>
      <c r="K206" s="12">
        <f t="shared" si="15"/>
        <v>50</v>
      </c>
      <c r="L206" s="12">
        <f t="shared" si="12"/>
        <v>0</v>
      </c>
    </row>
    <row r="207" spans="2:12" ht="36">
      <c r="B207" s="300">
        <v>2</v>
      </c>
      <c r="C207" s="301" t="s">
        <v>477</v>
      </c>
      <c r="D207" s="302" t="s">
        <v>130</v>
      </c>
      <c r="E207" s="303">
        <v>5.0549999999999997</v>
      </c>
      <c r="F207" s="304">
        <v>42741</v>
      </c>
      <c r="G207" s="305">
        <v>0</v>
      </c>
      <c r="H207" s="305">
        <f t="shared" si="13"/>
        <v>0</v>
      </c>
      <c r="I207" s="306">
        <f t="shared" si="17"/>
        <v>5.0549999999999997</v>
      </c>
      <c r="J207" s="16">
        <f t="shared" ref="J207:J270" si="18">OR(IF((D207="DG"),1,0),IF(D207="DG/FO",1,0),IF(D207="DG/FO/Linyit",1,0))*E207</f>
        <v>0</v>
      </c>
      <c r="K207" s="16">
        <f t="shared" si="15"/>
        <v>0</v>
      </c>
      <c r="L207" s="16">
        <f t="shared" ref="L207:L270" si="19">(IF((D207="LİNYİT"),1,0))*E207</f>
        <v>0</v>
      </c>
    </row>
    <row r="208" spans="2:12" ht="18">
      <c r="B208" s="300">
        <v>1</v>
      </c>
      <c r="C208" s="301" t="s">
        <v>250</v>
      </c>
      <c r="D208" s="318" t="s">
        <v>132</v>
      </c>
      <c r="E208" s="308">
        <v>3.2</v>
      </c>
      <c r="F208" s="304">
        <v>42741</v>
      </c>
      <c r="G208" s="305">
        <v>0</v>
      </c>
      <c r="H208" s="305">
        <f>E208*G208</f>
        <v>0</v>
      </c>
      <c r="I208" s="306">
        <f t="shared" si="17"/>
        <v>3.2</v>
      </c>
      <c r="J208" s="16">
        <f t="shared" si="18"/>
        <v>0</v>
      </c>
      <c r="K208" s="16">
        <f t="shared" ref="K208:K271" si="20">OR(IF((D208="KÖMÜR+DİĞER"),1,0),IF(D208="KÖMÜR",1,0))*E208</f>
        <v>0</v>
      </c>
      <c r="L208" s="16">
        <f t="shared" si="19"/>
        <v>0</v>
      </c>
    </row>
    <row r="209" spans="1:12">
      <c r="B209" s="328"/>
      <c r="C209" s="329"/>
      <c r="D209" s="330"/>
      <c r="E209" s="331">
        <f>SUM(E15:E208)</f>
        <v>5840.4609999999975</v>
      </c>
      <c r="F209" s="332"/>
      <c r="G209" s="333">
        <f>SUM(G8:G208)</f>
        <v>145</v>
      </c>
      <c r="H209" s="333">
        <f>SUM(H15:H208)</f>
        <v>5348.583999999998</v>
      </c>
      <c r="I209" s="333">
        <f>SUM(I15:I208)</f>
        <v>491.87699999999978</v>
      </c>
      <c r="J209" s="333">
        <f>SUM(J15:J208)</f>
        <v>2621.5359999999996</v>
      </c>
      <c r="K209" s="333">
        <f>SUM(K15:K208)</f>
        <v>1370</v>
      </c>
      <c r="L209" s="333">
        <f>SUM(L15:L208)</f>
        <v>2.66</v>
      </c>
    </row>
    <row r="210" spans="1:12">
      <c r="C210" s="334"/>
      <c r="D210" s="335"/>
      <c r="E210" s="336"/>
      <c r="F210" s="337"/>
      <c r="I210" s="338"/>
      <c r="J210" s="6"/>
      <c r="K210" s="6"/>
      <c r="L210" s="6"/>
    </row>
    <row r="211" spans="1:12">
      <c r="A211" s="6"/>
      <c r="B211" s="339"/>
      <c r="C211" s="339"/>
      <c r="D211" s="339"/>
      <c r="E211" s="340"/>
      <c r="F211" s="339"/>
      <c r="G211" s="341"/>
      <c r="H211" s="342"/>
      <c r="I211" s="341"/>
      <c r="J211" s="6"/>
      <c r="K211" s="6"/>
      <c r="L211" s="6"/>
    </row>
    <row r="212" spans="1:12">
      <c r="A212" s="6"/>
      <c r="B212" s="523">
        <v>2016</v>
      </c>
      <c r="C212" s="524"/>
      <c r="D212" s="524"/>
      <c r="E212" s="524"/>
      <c r="F212" s="524"/>
      <c r="G212" s="524"/>
      <c r="H212" s="525"/>
      <c r="I212" s="343"/>
      <c r="J212" s="26"/>
      <c r="K212" s="26"/>
      <c r="L212" s="26"/>
    </row>
    <row r="213" spans="1:12">
      <c r="A213" s="6"/>
      <c r="B213" s="344"/>
      <c r="C213" s="345"/>
      <c r="D213" s="345"/>
      <c r="E213" s="345"/>
      <c r="F213" s="345"/>
      <c r="G213" s="345"/>
      <c r="H213" s="346"/>
      <c r="I213" s="343"/>
      <c r="J213" s="26"/>
      <c r="K213" s="26"/>
      <c r="L213" s="26"/>
    </row>
    <row r="214" spans="1:12" ht="18">
      <c r="A214" s="6"/>
      <c r="B214" s="300">
        <v>240</v>
      </c>
      <c r="C214" s="301" t="s">
        <v>439</v>
      </c>
      <c r="D214" s="302" t="s">
        <v>132</v>
      </c>
      <c r="E214" s="308">
        <v>6.9</v>
      </c>
      <c r="F214" s="304">
        <v>42735</v>
      </c>
      <c r="G214" s="16">
        <v>0</v>
      </c>
      <c r="H214" s="27">
        <f>E214*G214</f>
        <v>0</v>
      </c>
      <c r="I214" s="27">
        <f>E214-H214</f>
        <v>6.9</v>
      </c>
      <c r="J214" s="16">
        <f t="shared" si="18"/>
        <v>0</v>
      </c>
      <c r="K214" s="16">
        <f t="shared" si="20"/>
        <v>0</v>
      </c>
      <c r="L214" s="16">
        <f t="shared" si="19"/>
        <v>0</v>
      </c>
    </row>
    <row r="215" spans="1:12" ht="18">
      <c r="A215" s="6"/>
      <c r="B215" s="293">
        <v>239</v>
      </c>
      <c r="C215" s="294" t="s">
        <v>440</v>
      </c>
      <c r="D215" s="309" t="s">
        <v>137</v>
      </c>
      <c r="E215" s="296">
        <v>23</v>
      </c>
      <c r="F215" s="297">
        <v>42735</v>
      </c>
      <c r="G215" s="28">
        <v>1</v>
      </c>
      <c r="H215" s="19">
        <f t="shared" ref="H215:H278" si="21">E215*G215</f>
        <v>23</v>
      </c>
      <c r="I215" s="19">
        <f t="shared" ref="I215:I278" si="22">E215-H215</f>
        <v>0</v>
      </c>
      <c r="J215" s="12">
        <f t="shared" si="18"/>
        <v>0</v>
      </c>
      <c r="K215" s="12">
        <f t="shared" si="20"/>
        <v>0</v>
      </c>
      <c r="L215" s="12">
        <f t="shared" si="19"/>
        <v>0</v>
      </c>
    </row>
    <row r="216" spans="1:12" ht="18">
      <c r="A216" s="6"/>
      <c r="B216" s="300">
        <v>238</v>
      </c>
      <c r="C216" s="301" t="s">
        <v>133</v>
      </c>
      <c r="D216" s="302" t="s">
        <v>132</v>
      </c>
      <c r="E216" s="303">
        <v>7.4320000000000004</v>
      </c>
      <c r="F216" s="304">
        <v>42734</v>
      </c>
      <c r="G216" s="16">
        <v>0</v>
      </c>
      <c r="H216" s="27">
        <f t="shared" si="21"/>
        <v>0</v>
      </c>
      <c r="I216" s="27">
        <f t="shared" si="22"/>
        <v>7.4320000000000004</v>
      </c>
      <c r="J216" s="16">
        <f t="shared" si="18"/>
        <v>0</v>
      </c>
      <c r="K216" s="16">
        <f t="shared" si="20"/>
        <v>0</v>
      </c>
      <c r="L216" s="16">
        <f t="shared" si="19"/>
        <v>0</v>
      </c>
    </row>
    <row r="217" spans="1:12" ht="18">
      <c r="A217" s="6"/>
      <c r="B217" s="300">
        <v>237</v>
      </c>
      <c r="C217" s="301" t="s">
        <v>114</v>
      </c>
      <c r="D217" s="318" t="s">
        <v>132</v>
      </c>
      <c r="E217" s="308">
        <v>9.6</v>
      </c>
      <c r="F217" s="304">
        <v>42734</v>
      </c>
      <c r="G217" s="16">
        <v>0</v>
      </c>
      <c r="H217" s="27">
        <f t="shared" si="21"/>
        <v>0</v>
      </c>
      <c r="I217" s="27">
        <f t="shared" si="22"/>
        <v>9.6</v>
      </c>
      <c r="J217" s="16">
        <f t="shared" si="18"/>
        <v>0</v>
      </c>
      <c r="K217" s="16">
        <f t="shared" si="20"/>
        <v>0</v>
      </c>
      <c r="L217" s="16">
        <f t="shared" si="19"/>
        <v>0</v>
      </c>
    </row>
    <row r="218" spans="1:12" ht="18">
      <c r="A218" s="6"/>
      <c r="B218" s="300">
        <v>236</v>
      </c>
      <c r="C218" s="301" t="s">
        <v>441</v>
      </c>
      <c r="D218" s="302" t="s">
        <v>132</v>
      </c>
      <c r="E218" s="308">
        <v>16.5</v>
      </c>
      <c r="F218" s="304">
        <v>42733</v>
      </c>
      <c r="G218" s="16">
        <v>0</v>
      </c>
      <c r="H218" s="27">
        <f t="shared" si="21"/>
        <v>0</v>
      </c>
      <c r="I218" s="27">
        <f t="shared" si="22"/>
        <v>16.5</v>
      </c>
      <c r="J218" s="16">
        <f t="shared" si="18"/>
        <v>0</v>
      </c>
      <c r="K218" s="16">
        <f t="shared" si="20"/>
        <v>0</v>
      </c>
      <c r="L218" s="16">
        <f t="shared" si="19"/>
        <v>0</v>
      </c>
    </row>
    <row r="219" spans="1:12" ht="36">
      <c r="A219" s="6"/>
      <c r="B219" s="293">
        <v>235</v>
      </c>
      <c r="C219" s="294" t="s">
        <v>442</v>
      </c>
      <c r="D219" s="309" t="s">
        <v>130</v>
      </c>
      <c r="E219" s="296">
        <v>122.2</v>
      </c>
      <c r="F219" s="297">
        <v>42733</v>
      </c>
      <c r="G219" s="28">
        <v>1</v>
      </c>
      <c r="H219" s="19">
        <f t="shared" si="21"/>
        <v>122.2</v>
      </c>
      <c r="I219" s="19">
        <f t="shared" si="22"/>
        <v>0</v>
      </c>
      <c r="J219" s="12">
        <f t="shared" si="18"/>
        <v>0</v>
      </c>
      <c r="K219" s="12">
        <f t="shared" si="20"/>
        <v>0</v>
      </c>
      <c r="L219" s="12">
        <f t="shared" si="19"/>
        <v>0</v>
      </c>
    </row>
    <row r="220" spans="1:12" ht="36">
      <c r="A220" s="6"/>
      <c r="B220" s="293">
        <v>234</v>
      </c>
      <c r="C220" s="294" t="s">
        <v>443</v>
      </c>
      <c r="D220" s="309" t="s">
        <v>130</v>
      </c>
      <c r="E220" s="296">
        <v>4.8</v>
      </c>
      <c r="F220" s="297">
        <v>42733</v>
      </c>
      <c r="G220" s="28">
        <v>1</v>
      </c>
      <c r="H220" s="19">
        <f t="shared" si="21"/>
        <v>4.8</v>
      </c>
      <c r="I220" s="19">
        <f t="shared" si="22"/>
        <v>0</v>
      </c>
      <c r="J220" s="12">
        <f t="shared" si="18"/>
        <v>0</v>
      </c>
      <c r="K220" s="12">
        <f t="shared" si="20"/>
        <v>0</v>
      </c>
      <c r="L220" s="12">
        <f t="shared" si="19"/>
        <v>0</v>
      </c>
    </row>
    <row r="221" spans="1:12" ht="18">
      <c r="A221" s="6"/>
      <c r="B221" s="300">
        <v>233</v>
      </c>
      <c r="C221" s="301" t="s">
        <v>444</v>
      </c>
      <c r="D221" s="318" t="s">
        <v>132</v>
      </c>
      <c r="E221" s="308">
        <v>0</v>
      </c>
      <c r="F221" s="304">
        <v>42732</v>
      </c>
      <c r="G221" s="16">
        <v>0</v>
      </c>
      <c r="H221" s="27">
        <f t="shared" si="21"/>
        <v>0</v>
      </c>
      <c r="I221" s="27">
        <f t="shared" si="22"/>
        <v>0</v>
      </c>
      <c r="J221" s="16">
        <f t="shared" si="18"/>
        <v>0</v>
      </c>
      <c r="K221" s="16">
        <f t="shared" si="20"/>
        <v>0</v>
      </c>
      <c r="L221" s="16">
        <f t="shared" si="19"/>
        <v>0</v>
      </c>
    </row>
    <row r="222" spans="1:12" ht="36">
      <c r="A222" s="6"/>
      <c r="B222" s="300">
        <v>232</v>
      </c>
      <c r="C222" s="301" t="s">
        <v>445</v>
      </c>
      <c r="D222" s="302" t="s">
        <v>130</v>
      </c>
      <c r="E222" s="303">
        <v>5.7830000000000004</v>
      </c>
      <c r="F222" s="304">
        <v>42731</v>
      </c>
      <c r="G222" s="29">
        <v>0</v>
      </c>
      <c r="H222" s="27">
        <f t="shared" si="21"/>
        <v>0</v>
      </c>
      <c r="I222" s="27">
        <f t="shared" si="22"/>
        <v>5.7830000000000004</v>
      </c>
      <c r="J222" s="16">
        <f t="shared" si="18"/>
        <v>0</v>
      </c>
      <c r="K222" s="16">
        <f t="shared" si="20"/>
        <v>0</v>
      </c>
      <c r="L222" s="16">
        <f t="shared" si="19"/>
        <v>0</v>
      </c>
    </row>
    <row r="223" spans="1:12" ht="18">
      <c r="A223" s="6"/>
      <c r="B223" s="300">
        <v>231</v>
      </c>
      <c r="C223" s="301" t="s">
        <v>312</v>
      </c>
      <c r="D223" s="302" t="s">
        <v>132</v>
      </c>
      <c r="E223" s="308">
        <v>23.1</v>
      </c>
      <c r="F223" s="304">
        <v>42728</v>
      </c>
      <c r="G223" s="16">
        <v>0</v>
      </c>
      <c r="H223" s="27">
        <f t="shared" si="21"/>
        <v>0</v>
      </c>
      <c r="I223" s="27">
        <f t="shared" si="22"/>
        <v>23.1</v>
      </c>
      <c r="J223" s="16">
        <f t="shared" si="18"/>
        <v>0</v>
      </c>
      <c r="K223" s="16">
        <f t="shared" si="20"/>
        <v>0</v>
      </c>
      <c r="L223" s="16">
        <f t="shared" si="19"/>
        <v>0</v>
      </c>
    </row>
    <row r="224" spans="1:12" ht="18">
      <c r="A224" s="6"/>
      <c r="B224" s="293">
        <v>230</v>
      </c>
      <c r="C224" s="294" t="s">
        <v>446</v>
      </c>
      <c r="D224" s="295" t="s">
        <v>132</v>
      </c>
      <c r="E224" s="314">
        <v>17.100000000000001</v>
      </c>
      <c r="F224" s="297">
        <v>42727</v>
      </c>
      <c r="G224" s="28">
        <v>1</v>
      </c>
      <c r="H224" s="19">
        <f t="shared" si="21"/>
        <v>17.100000000000001</v>
      </c>
      <c r="I224" s="19">
        <f t="shared" si="22"/>
        <v>0</v>
      </c>
      <c r="J224" s="12">
        <f t="shared" si="18"/>
        <v>0</v>
      </c>
      <c r="K224" s="12">
        <f t="shared" si="20"/>
        <v>0</v>
      </c>
      <c r="L224" s="12">
        <f t="shared" si="19"/>
        <v>0</v>
      </c>
    </row>
    <row r="225" spans="1:12" ht="18">
      <c r="A225" s="6"/>
      <c r="B225" s="300">
        <v>229</v>
      </c>
      <c r="C225" s="301" t="s">
        <v>447</v>
      </c>
      <c r="D225" s="318" t="s">
        <v>132</v>
      </c>
      <c r="E225" s="303">
        <v>11.2</v>
      </c>
      <c r="F225" s="304">
        <v>42727</v>
      </c>
      <c r="G225" s="16">
        <v>0</v>
      </c>
      <c r="H225" s="27">
        <f t="shared" si="21"/>
        <v>0</v>
      </c>
      <c r="I225" s="27">
        <f t="shared" si="22"/>
        <v>11.2</v>
      </c>
      <c r="J225" s="16">
        <f t="shared" si="18"/>
        <v>0</v>
      </c>
      <c r="K225" s="16">
        <f t="shared" si="20"/>
        <v>0</v>
      </c>
      <c r="L225" s="16">
        <f t="shared" si="19"/>
        <v>0</v>
      </c>
    </row>
    <row r="226" spans="1:12" ht="36">
      <c r="A226" s="6"/>
      <c r="B226" s="293">
        <v>228</v>
      </c>
      <c r="C226" s="294" t="s">
        <v>448</v>
      </c>
      <c r="D226" s="295" t="s">
        <v>130</v>
      </c>
      <c r="E226" s="314">
        <v>6.75</v>
      </c>
      <c r="F226" s="297">
        <v>42727</v>
      </c>
      <c r="G226" s="30">
        <v>1</v>
      </c>
      <c r="H226" s="19">
        <f t="shared" si="21"/>
        <v>6.75</v>
      </c>
      <c r="I226" s="19">
        <f t="shared" si="22"/>
        <v>0</v>
      </c>
      <c r="J226" s="12">
        <f t="shared" si="18"/>
        <v>0</v>
      </c>
      <c r="K226" s="12">
        <f t="shared" si="20"/>
        <v>0</v>
      </c>
      <c r="L226" s="12">
        <f t="shared" si="19"/>
        <v>0</v>
      </c>
    </row>
    <row r="227" spans="1:12" ht="18">
      <c r="A227" s="6"/>
      <c r="B227" s="293">
        <v>227</v>
      </c>
      <c r="C227" s="294" t="s">
        <v>449</v>
      </c>
      <c r="D227" s="309" t="s">
        <v>137</v>
      </c>
      <c r="E227" s="296">
        <v>22.8</v>
      </c>
      <c r="F227" s="297">
        <v>42726</v>
      </c>
      <c r="G227" s="30">
        <v>1</v>
      </c>
      <c r="H227" s="19">
        <f t="shared" si="21"/>
        <v>22.8</v>
      </c>
      <c r="I227" s="19">
        <f t="shared" si="22"/>
        <v>0</v>
      </c>
      <c r="J227" s="12">
        <f t="shared" si="18"/>
        <v>0</v>
      </c>
      <c r="K227" s="12">
        <f t="shared" si="20"/>
        <v>0</v>
      </c>
      <c r="L227" s="12">
        <f t="shared" si="19"/>
        <v>0</v>
      </c>
    </row>
    <row r="228" spans="1:12" ht="18">
      <c r="A228" s="6"/>
      <c r="B228" s="293">
        <v>226</v>
      </c>
      <c r="C228" s="294" t="s">
        <v>450</v>
      </c>
      <c r="D228" s="309" t="s">
        <v>130</v>
      </c>
      <c r="E228" s="314">
        <v>20.45</v>
      </c>
      <c r="F228" s="297">
        <v>42725</v>
      </c>
      <c r="G228" s="30">
        <v>1</v>
      </c>
      <c r="H228" s="19">
        <f t="shared" si="21"/>
        <v>20.45</v>
      </c>
      <c r="I228" s="19">
        <f t="shared" si="22"/>
        <v>0</v>
      </c>
      <c r="J228" s="12">
        <f t="shared" si="18"/>
        <v>0</v>
      </c>
      <c r="K228" s="12">
        <f t="shared" si="20"/>
        <v>0</v>
      </c>
      <c r="L228" s="12">
        <f t="shared" si="19"/>
        <v>0</v>
      </c>
    </row>
    <row r="229" spans="1:12" ht="18">
      <c r="A229" s="6"/>
      <c r="B229" s="293">
        <v>225</v>
      </c>
      <c r="C229" s="294" t="s">
        <v>451</v>
      </c>
      <c r="D229" s="309" t="s">
        <v>130</v>
      </c>
      <c r="E229" s="314">
        <v>0.32500000000000001</v>
      </c>
      <c r="F229" s="297">
        <v>42722</v>
      </c>
      <c r="G229" s="30">
        <v>1</v>
      </c>
      <c r="H229" s="19">
        <f t="shared" si="21"/>
        <v>0.32500000000000001</v>
      </c>
      <c r="I229" s="19">
        <f t="shared" si="22"/>
        <v>0</v>
      </c>
      <c r="J229" s="12">
        <f t="shared" si="18"/>
        <v>0</v>
      </c>
      <c r="K229" s="12">
        <f t="shared" si="20"/>
        <v>0</v>
      </c>
      <c r="L229" s="12">
        <f t="shared" si="19"/>
        <v>0</v>
      </c>
    </row>
    <row r="230" spans="1:12" ht="18">
      <c r="A230" s="6"/>
      <c r="B230" s="300">
        <v>224</v>
      </c>
      <c r="C230" s="301" t="s">
        <v>115</v>
      </c>
      <c r="D230" s="302" t="s">
        <v>132</v>
      </c>
      <c r="E230" s="308">
        <v>9.1999999999999993</v>
      </c>
      <c r="F230" s="304">
        <v>42722</v>
      </c>
      <c r="G230" s="31">
        <v>0</v>
      </c>
      <c r="H230" s="27">
        <f t="shared" si="21"/>
        <v>0</v>
      </c>
      <c r="I230" s="27">
        <f t="shared" si="22"/>
        <v>9.1999999999999993</v>
      </c>
      <c r="J230" s="16">
        <f t="shared" si="18"/>
        <v>0</v>
      </c>
      <c r="K230" s="16">
        <f t="shared" si="20"/>
        <v>0</v>
      </c>
      <c r="L230" s="16">
        <f t="shared" si="19"/>
        <v>0</v>
      </c>
    </row>
    <row r="231" spans="1:12" ht="54">
      <c r="A231" s="6"/>
      <c r="B231" s="293">
        <v>223</v>
      </c>
      <c r="C231" s="294" t="s">
        <v>452</v>
      </c>
      <c r="D231" s="295" t="s">
        <v>131</v>
      </c>
      <c r="E231" s="296">
        <v>2.2999999999999998</v>
      </c>
      <c r="F231" s="297">
        <v>42721</v>
      </c>
      <c r="G231" s="30">
        <v>1</v>
      </c>
      <c r="H231" s="19">
        <f t="shared" si="21"/>
        <v>2.2999999999999998</v>
      </c>
      <c r="I231" s="19">
        <f t="shared" si="22"/>
        <v>0</v>
      </c>
      <c r="J231" s="12">
        <f t="shared" si="18"/>
        <v>2.2999999999999998</v>
      </c>
      <c r="K231" s="12">
        <f t="shared" si="20"/>
        <v>0</v>
      </c>
      <c r="L231" s="12">
        <f t="shared" si="19"/>
        <v>0</v>
      </c>
    </row>
    <row r="232" spans="1:12" ht="36">
      <c r="A232" s="6"/>
      <c r="B232" s="293">
        <v>222</v>
      </c>
      <c r="C232" s="294" t="s">
        <v>453</v>
      </c>
      <c r="D232" s="295" t="s">
        <v>131</v>
      </c>
      <c r="E232" s="310">
        <v>2</v>
      </c>
      <c r="F232" s="297">
        <v>42720</v>
      </c>
      <c r="G232" s="30">
        <v>1</v>
      </c>
      <c r="H232" s="19">
        <f t="shared" si="21"/>
        <v>2</v>
      </c>
      <c r="I232" s="19">
        <f t="shared" si="22"/>
        <v>0</v>
      </c>
      <c r="J232" s="12">
        <f t="shared" si="18"/>
        <v>2</v>
      </c>
      <c r="K232" s="12">
        <f t="shared" si="20"/>
        <v>0</v>
      </c>
      <c r="L232" s="12">
        <f t="shared" si="19"/>
        <v>0</v>
      </c>
    </row>
    <row r="233" spans="1:12" ht="18">
      <c r="A233" s="6"/>
      <c r="B233" s="300">
        <v>221</v>
      </c>
      <c r="C233" s="301" t="s">
        <v>113</v>
      </c>
      <c r="D233" s="302" t="s">
        <v>132</v>
      </c>
      <c r="E233" s="326">
        <v>9</v>
      </c>
      <c r="F233" s="304">
        <v>42720</v>
      </c>
      <c r="G233" s="16">
        <v>0</v>
      </c>
      <c r="H233" s="27">
        <f t="shared" si="21"/>
        <v>0</v>
      </c>
      <c r="I233" s="27">
        <f t="shared" si="22"/>
        <v>9</v>
      </c>
      <c r="J233" s="16">
        <f t="shared" si="18"/>
        <v>0</v>
      </c>
      <c r="K233" s="16">
        <f t="shared" si="20"/>
        <v>0</v>
      </c>
      <c r="L233" s="16">
        <f t="shared" si="19"/>
        <v>0</v>
      </c>
    </row>
    <row r="234" spans="1:12" ht="54">
      <c r="A234" s="6"/>
      <c r="B234" s="293">
        <v>220</v>
      </c>
      <c r="C234" s="294" t="s">
        <v>454</v>
      </c>
      <c r="D234" s="295" t="s">
        <v>131</v>
      </c>
      <c r="E234" s="311">
        <v>1.286</v>
      </c>
      <c r="F234" s="297">
        <v>42720</v>
      </c>
      <c r="G234" s="32">
        <v>1</v>
      </c>
      <c r="H234" s="19">
        <f t="shared" si="21"/>
        <v>1.286</v>
      </c>
      <c r="I234" s="19">
        <f t="shared" si="22"/>
        <v>0</v>
      </c>
      <c r="J234" s="12">
        <f t="shared" si="18"/>
        <v>1.286</v>
      </c>
      <c r="K234" s="12">
        <f t="shared" si="20"/>
        <v>0</v>
      </c>
      <c r="L234" s="12">
        <f t="shared" si="19"/>
        <v>0</v>
      </c>
    </row>
    <row r="235" spans="1:12" ht="18">
      <c r="A235" s="6"/>
      <c r="B235" s="300">
        <v>219</v>
      </c>
      <c r="C235" s="301" t="s">
        <v>441</v>
      </c>
      <c r="D235" s="302" t="s">
        <v>132</v>
      </c>
      <c r="E235" s="308">
        <v>16.5</v>
      </c>
      <c r="F235" s="304">
        <v>42720</v>
      </c>
      <c r="G235" s="16">
        <v>0</v>
      </c>
      <c r="H235" s="27">
        <f t="shared" si="21"/>
        <v>0</v>
      </c>
      <c r="I235" s="27">
        <f t="shared" si="22"/>
        <v>16.5</v>
      </c>
      <c r="J235" s="16">
        <f t="shared" si="18"/>
        <v>0</v>
      </c>
      <c r="K235" s="16">
        <f t="shared" si="20"/>
        <v>0</v>
      </c>
      <c r="L235" s="16">
        <f t="shared" si="19"/>
        <v>0</v>
      </c>
    </row>
    <row r="236" spans="1:12" ht="18">
      <c r="A236" s="6"/>
      <c r="B236" s="300">
        <v>218</v>
      </c>
      <c r="C236" s="301" t="s">
        <v>455</v>
      </c>
      <c r="D236" s="318" t="s">
        <v>132</v>
      </c>
      <c r="E236" s="308">
        <v>10.5</v>
      </c>
      <c r="F236" s="304">
        <v>42719</v>
      </c>
      <c r="G236" s="16">
        <v>0</v>
      </c>
      <c r="H236" s="27">
        <f t="shared" si="21"/>
        <v>0</v>
      </c>
      <c r="I236" s="27">
        <f t="shared" si="22"/>
        <v>10.5</v>
      </c>
      <c r="J236" s="16">
        <f t="shared" si="18"/>
        <v>0</v>
      </c>
      <c r="K236" s="16">
        <f t="shared" si="20"/>
        <v>0</v>
      </c>
      <c r="L236" s="16">
        <f t="shared" si="19"/>
        <v>0</v>
      </c>
    </row>
    <row r="237" spans="1:12" ht="18">
      <c r="A237" s="6"/>
      <c r="B237" s="300">
        <v>217</v>
      </c>
      <c r="C237" s="301" t="s">
        <v>153</v>
      </c>
      <c r="D237" s="302" t="s">
        <v>132</v>
      </c>
      <c r="E237" s="308">
        <v>3</v>
      </c>
      <c r="F237" s="304">
        <v>42719</v>
      </c>
      <c r="G237" s="16">
        <v>0</v>
      </c>
      <c r="H237" s="27">
        <f t="shared" si="21"/>
        <v>0</v>
      </c>
      <c r="I237" s="27">
        <f t="shared" si="22"/>
        <v>3</v>
      </c>
      <c r="J237" s="16">
        <f t="shared" si="18"/>
        <v>0</v>
      </c>
      <c r="K237" s="16">
        <f t="shared" si="20"/>
        <v>0</v>
      </c>
      <c r="L237" s="16">
        <f t="shared" si="19"/>
        <v>0</v>
      </c>
    </row>
    <row r="238" spans="1:12" ht="54">
      <c r="A238" s="6"/>
      <c r="B238" s="293">
        <v>216</v>
      </c>
      <c r="C238" s="294" t="s">
        <v>456</v>
      </c>
      <c r="D238" s="295" t="s">
        <v>131</v>
      </c>
      <c r="E238" s="314">
        <v>-0.16500000000000001</v>
      </c>
      <c r="F238" s="297">
        <v>42719</v>
      </c>
      <c r="G238" s="32">
        <v>1</v>
      </c>
      <c r="H238" s="19">
        <f t="shared" si="21"/>
        <v>-0.16500000000000001</v>
      </c>
      <c r="I238" s="19">
        <f t="shared" si="22"/>
        <v>0</v>
      </c>
      <c r="J238" s="12">
        <f t="shared" si="18"/>
        <v>-0.16500000000000001</v>
      </c>
      <c r="K238" s="12">
        <f t="shared" si="20"/>
        <v>0</v>
      </c>
      <c r="L238" s="12">
        <f t="shared" si="19"/>
        <v>0</v>
      </c>
    </row>
    <row r="239" spans="1:12" ht="18">
      <c r="A239" s="6"/>
      <c r="B239" s="300">
        <v>215</v>
      </c>
      <c r="C239" s="301" t="s">
        <v>439</v>
      </c>
      <c r="D239" s="302" t="s">
        <v>132</v>
      </c>
      <c r="E239" s="308">
        <v>11.5</v>
      </c>
      <c r="F239" s="304">
        <v>42713</v>
      </c>
      <c r="G239" s="16">
        <v>0</v>
      </c>
      <c r="H239" s="27">
        <f t="shared" si="21"/>
        <v>0</v>
      </c>
      <c r="I239" s="27">
        <f t="shared" si="22"/>
        <v>11.5</v>
      </c>
      <c r="J239" s="16">
        <f t="shared" si="18"/>
        <v>0</v>
      </c>
      <c r="K239" s="16">
        <f t="shared" si="20"/>
        <v>0</v>
      </c>
      <c r="L239" s="16">
        <f t="shared" si="19"/>
        <v>0</v>
      </c>
    </row>
    <row r="240" spans="1:12" ht="18">
      <c r="A240" s="6"/>
      <c r="B240" s="300">
        <v>214</v>
      </c>
      <c r="C240" s="301" t="s">
        <v>457</v>
      </c>
      <c r="D240" s="302" t="s">
        <v>132</v>
      </c>
      <c r="E240" s="308">
        <v>7.2</v>
      </c>
      <c r="F240" s="304">
        <v>42713</v>
      </c>
      <c r="G240" s="29">
        <v>0</v>
      </c>
      <c r="H240" s="27">
        <f t="shared" si="21"/>
        <v>0</v>
      </c>
      <c r="I240" s="27">
        <f t="shared" si="22"/>
        <v>7.2</v>
      </c>
      <c r="J240" s="16">
        <f t="shared" si="18"/>
        <v>0</v>
      </c>
      <c r="K240" s="16">
        <f t="shared" si="20"/>
        <v>0</v>
      </c>
      <c r="L240" s="16">
        <f t="shared" si="19"/>
        <v>0</v>
      </c>
    </row>
    <row r="241" spans="1:12" ht="36">
      <c r="A241" s="6"/>
      <c r="B241" s="300">
        <v>213</v>
      </c>
      <c r="C241" s="301" t="s">
        <v>458</v>
      </c>
      <c r="D241" s="302" t="s">
        <v>134</v>
      </c>
      <c r="E241" s="327">
        <v>1.415</v>
      </c>
      <c r="F241" s="304">
        <v>42713</v>
      </c>
      <c r="G241" s="29">
        <v>0</v>
      </c>
      <c r="H241" s="27">
        <f t="shared" si="21"/>
        <v>0</v>
      </c>
      <c r="I241" s="27">
        <f t="shared" si="22"/>
        <v>1.415</v>
      </c>
      <c r="J241" s="16">
        <f t="shared" si="18"/>
        <v>0</v>
      </c>
      <c r="K241" s="16">
        <f t="shared" si="20"/>
        <v>0</v>
      </c>
      <c r="L241" s="16">
        <f t="shared" si="19"/>
        <v>0</v>
      </c>
    </row>
    <row r="242" spans="1:12" ht="18">
      <c r="A242" s="6"/>
      <c r="B242" s="300">
        <v>212</v>
      </c>
      <c r="C242" s="301" t="s">
        <v>409</v>
      </c>
      <c r="D242" s="302" t="s">
        <v>132</v>
      </c>
      <c r="E242" s="308">
        <v>4</v>
      </c>
      <c r="F242" s="304">
        <v>42712</v>
      </c>
      <c r="G242" s="16">
        <v>0</v>
      </c>
      <c r="H242" s="27">
        <f t="shared" si="21"/>
        <v>0</v>
      </c>
      <c r="I242" s="27">
        <f t="shared" si="22"/>
        <v>4</v>
      </c>
      <c r="J242" s="16">
        <f t="shared" si="18"/>
        <v>0</v>
      </c>
      <c r="K242" s="16">
        <f t="shared" si="20"/>
        <v>0</v>
      </c>
      <c r="L242" s="16">
        <f t="shared" si="19"/>
        <v>0</v>
      </c>
    </row>
    <row r="243" spans="1:12" ht="18">
      <c r="A243" s="6"/>
      <c r="B243" s="300">
        <v>211</v>
      </c>
      <c r="C243" s="301" t="s">
        <v>459</v>
      </c>
      <c r="D243" s="302" t="s">
        <v>132</v>
      </c>
      <c r="E243" s="308">
        <v>7.5</v>
      </c>
      <c r="F243" s="304">
        <v>42712</v>
      </c>
      <c r="G243" s="16">
        <v>0</v>
      </c>
      <c r="H243" s="27">
        <f t="shared" si="21"/>
        <v>0</v>
      </c>
      <c r="I243" s="27">
        <f t="shared" si="22"/>
        <v>7.5</v>
      </c>
      <c r="J243" s="16">
        <f t="shared" si="18"/>
        <v>0</v>
      </c>
      <c r="K243" s="16">
        <f t="shared" si="20"/>
        <v>0</v>
      </c>
      <c r="L243" s="16">
        <f t="shared" si="19"/>
        <v>0</v>
      </c>
    </row>
    <row r="244" spans="1:12" ht="18">
      <c r="A244" s="6"/>
      <c r="B244" s="300">
        <v>210</v>
      </c>
      <c r="C244" s="301" t="s">
        <v>447</v>
      </c>
      <c r="D244" s="318" t="s">
        <v>132</v>
      </c>
      <c r="E244" s="308">
        <v>16.8</v>
      </c>
      <c r="F244" s="304">
        <v>42712</v>
      </c>
      <c r="G244" s="29">
        <v>0</v>
      </c>
      <c r="H244" s="27">
        <f t="shared" si="21"/>
        <v>0</v>
      </c>
      <c r="I244" s="27">
        <f t="shared" si="22"/>
        <v>16.8</v>
      </c>
      <c r="J244" s="16">
        <f t="shared" si="18"/>
        <v>0</v>
      </c>
      <c r="K244" s="16">
        <f t="shared" si="20"/>
        <v>0</v>
      </c>
      <c r="L244" s="16">
        <f t="shared" si="19"/>
        <v>0</v>
      </c>
    </row>
    <row r="245" spans="1:12" ht="18">
      <c r="A245" s="6"/>
      <c r="B245" s="293">
        <v>209</v>
      </c>
      <c r="C245" s="294" t="s">
        <v>460</v>
      </c>
      <c r="D245" s="309" t="s">
        <v>130</v>
      </c>
      <c r="E245" s="314">
        <v>3.2370000000000001</v>
      </c>
      <c r="F245" s="297">
        <v>42711</v>
      </c>
      <c r="G245" s="32">
        <v>1</v>
      </c>
      <c r="H245" s="19">
        <f t="shared" si="21"/>
        <v>3.2370000000000001</v>
      </c>
      <c r="I245" s="19">
        <f t="shared" si="22"/>
        <v>0</v>
      </c>
      <c r="J245" s="12">
        <f t="shared" si="18"/>
        <v>0</v>
      </c>
      <c r="K245" s="12">
        <f t="shared" si="20"/>
        <v>0</v>
      </c>
      <c r="L245" s="12">
        <f t="shared" si="19"/>
        <v>0</v>
      </c>
    </row>
    <row r="246" spans="1:12" ht="18">
      <c r="A246" s="6"/>
      <c r="B246" s="300">
        <v>208</v>
      </c>
      <c r="C246" s="301" t="s">
        <v>312</v>
      </c>
      <c r="D246" s="302" t="s">
        <v>132</v>
      </c>
      <c r="E246" s="308">
        <v>23.1</v>
      </c>
      <c r="F246" s="304">
        <v>42711</v>
      </c>
      <c r="G246" s="16">
        <v>0</v>
      </c>
      <c r="H246" s="27">
        <f t="shared" si="21"/>
        <v>0</v>
      </c>
      <c r="I246" s="27">
        <f t="shared" si="22"/>
        <v>23.1</v>
      </c>
      <c r="J246" s="16">
        <f t="shared" si="18"/>
        <v>0</v>
      </c>
      <c r="K246" s="16">
        <f t="shared" si="20"/>
        <v>0</v>
      </c>
      <c r="L246" s="16">
        <f t="shared" si="19"/>
        <v>0</v>
      </c>
    </row>
    <row r="247" spans="1:12" ht="18">
      <c r="A247" s="6"/>
      <c r="B247" s="300">
        <v>207</v>
      </c>
      <c r="C247" s="301" t="s">
        <v>461</v>
      </c>
      <c r="D247" s="318" t="s">
        <v>132</v>
      </c>
      <c r="E247" s="308">
        <v>10</v>
      </c>
      <c r="F247" s="304">
        <v>42711</v>
      </c>
      <c r="G247" s="29">
        <v>0</v>
      </c>
      <c r="H247" s="27">
        <f t="shared" si="21"/>
        <v>0</v>
      </c>
      <c r="I247" s="27">
        <f t="shared" si="22"/>
        <v>10</v>
      </c>
      <c r="J247" s="16">
        <f t="shared" si="18"/>
        <v>0</v>
      </c>
      <c r="K247" s="16">
        <f t="shared" si="20"/>
        <v>0</v>
      </c>
      <c r="L247" s="16">
        <f t="shared" si="19"/>
        <v>0</v>
      </c>
    </row>
    <row r="248" spans="1:12" ht="18">
      <c r="A248" s="6"/>
      <c r="B248" s="300">
        <v>206</v>
      </c>
      <c r="C248" s="301" t="s">
        <v>462</v>
      </c>
      <c r="D248" s="318" t="s">
        <v>132</v>
      </c>
      <c r="E248" s="303">
        <v>13.542</v>
      </c>
      <c r="F248" s="304">
        <v>42711</v>
      </c>
      <c r="G248" s="29">
        <v>0</v>
      </c>
      <c r="H248" s="27">
        <f t="shared" si="21"/>
        <v>0</v>
      </c>
      <c r="I248" s="27">
        <f t="shared" si="22"/>
        <v>13.542</v>
      </c>
      <c r="J248" s="16">
        <f t="shared" si="18"/>
        <v>0</v>
      </c>
      <c r="K248" s="16">
        <f t="shared" si="20"/>
        <v>0</v>
      </c>
      <c r="L248" s="16">
        <f t="shared" si="19"/>
        <v>0</v>
      </c>
    </row>
    <row r="249" spans="1:12" ht="36">
      <c r="A249" s="6"/>
      <c r="B249" s="293">
        <v>205</v>
      </c>
      <c r="C249" s="294" t="s">
        <v>463</v>
      </c>
      <c r="D249" s="295" t="s">
        <v>142</v>
      </c>
      <c r="E249" s="296">
        <v>1.2</v>
      </c>
      <c r="F249" s="297">
        <v>42711</v>
      </c>
      <c r="G249" s="32">
        <v>1</v>
      </c>
      <c r="H249" s="19">
        <f t="shared" si="21"/>
        <v>1.2</v>
      </c>
      <c r="I249" s="19">
        <f t="shared" si="22"/>
        <v>0</v>
      </c>
      <c r="J249" s="12">
        <f t="shared" si="18"/>
        <v>0</v>
      </c>
      <c r="K249" s="12">
        <f t="shared" si="20"/>
        <v>0</v>
      </c>
      <c r="L249" s="12">
        <f t="shared" si="19"/>
        <v>0</v>
      </c>
    </row>
    <row r="250" spans="1:12" ht="18">
      <c r="A250" s="6"/>
      <c r="B250" s="300">
        <v>204</v>
      </c>
      <c r="C250" s="301" t="s">
        <v>464</v>
      </c>
      <c r="D250" s="318" t="s">
        <v>132</v>
      </c>
      <c r="E250" s="308">
        <v>9</v>
      </c>
      <c r="F250" s="304">
        <v>42711</v>
      </c>
      <c r="G250" s="16">
        <v>0</v>
      </c>
      <c r="H250" s="27">
        <f t="shared" si="21"/>
        <v>0</v>
      </c>
      <c r="I250" s="27">
        <f t="shared" si="22"/>
        <v>9</v>
      </c>
      <c r="J250" s="16">
        <f t="shared" si="18"/>
        <v>0</v>
      </c>
      <c r="K250" s="16">
        <f t="shared" si="20"/>
        <v>0</v>
      </c>
      <c r="L250" s="16">
        <f t="shared" si="19"/>
        <v>0</v>
      </c>
    </row>
    <row r="251" spans="1:12" ht="18">
      <c r="A251" s="6"/>
      <c r="B251" s="300">
        <v>203</v>
      </c>
      <c r="C251" s="301" t="s">
        <v>161</v>
      </c>
      <c r="D251" s="302" t="s">
        <v>132</v>
      </c>
      <c r="E251" s="303">
        <v>0</v>
      </c>
      <c r="F251" s="304">
        <v>42710</v>
      </c>
      <c r="G251" s="29">
        <v>0</v>
      </c>
      <c r="H251" s="27">
        <f t="shared" si="21"/>
        <v>0</v>
      </c>
      <c r="I251" s="27">
        <f t="shared" si="22"/>
        <v>0</v>
      </c>
      <c r="J251" s="16">
        <f t="shared" si="18"/>
        <v>0</v>
      </c>
      <c r="K251" s="16">
        <f t="shared" si="20"/>
        <v>0</v>
      </c>
      <c r="L251" s="16">
        <f t="shared" si="19"/>
        <v>0</v>
      </c>
    </row>
    <row r="252" spans="1:12" ht="18">
      <c r="A252" s="6"/>
      <c r="B252" s="300">
        <v>202</v>
      </c>
      <c r="C252" s="301" t="s">
        <v>133</v>
      </c>
      <c r="D252" s="302" t="s">
        <v>132</v>
      </c>
      <c r="E252" s="303">
        <v>31.585999999999999</v>
      </c>
      <c r="F252" s="304">
        <v>42710</v>
      </c>
      <c r="G252" s="29">
        <v>0</v>
      </c>
      <c r="H252" s="27">
        <f t="shared" si="21"/>
        <v>0</v>
      </c>
      <c r="I252" s="27">
        <f t="shared" si="22"/>
        <v>31.585999999999999</v>
      </c>
      <c r="J252" s="16">
        <f t="shared" si="18"/>
        <v>0</v>
      </c>
      <c r="K252" s="16">
        <f t="shared" si="20"/>
        <v>0</v>
      </c>
      <c r="L252" s="16">
        <f t="shared" si="19"/>
        <v>0</v>
      </c>
    </row>
    <row r="253" spans="1:12" ht="18">
      <c r="A253" s="6"/>
      <c r="B253" s="300">
        <v>201</v>
      </c>
      <c r="C253" s="301" t="s">
        <v>205</v>
      </c>
      <c r="D253" s="318" t="s">
        <v>132</v>
      </c>
      <c r="E253" s="308">
        <v>14</v>
      </c>
      <c r="F253" s="304">
        <v>42710</v>
      </c>
      <c r="G253" s="29">
        <v>0</v>
      </c>
      <c r="H253" s="27">
        <f t="shared" si="21"/>
        <v>0</v>
      </c>
      <c r="I253" s="27">
        <f t="shared" si="22"/>
        <v>14</v>
      </c>
      <c r="J253" s="16">
        <f t="shared" si="18"/>
        <v>0</v>
      </c>
      <c r="K253" s="16">
        <f t="shared" si="20"/>
        <v>0</v>
      </c>
      <c r="L253" s="16">
        <f t="shared" si="19"/>
        <v>0</v>
      </c>
    </row>
    <row r="254" spans="1:12" ht="18">
      <c r="A254" s="6"/>
      <c r="B254" s="300">
        <v>200</v>
      </c>
      <c r="C254" s="301" t="s">
        <v>465</v>
      </c>
      <c r="D254" s="302" t="s">
        <v>132</v>
      </c>
      <c r="E254" s="308">
        <v>9</v>
      </c>
      <c r="F254" s="304">
        <v>42710</v>
      </c>
      <c r="G254" s="29">
        <v>0</v>
      </c>
      <c r="H254" s="27">
        <f t="shared" si="21"/>
        <v>0</v>
      </c>
      <c r="I254" s="27">
        <f t="shared" si="22"/>
        <v>9</v>
      </c>
      <c r="J254" s="16">
        <f t="shared" si="18"/>
        <v>0</v>
      </c>
      <c r="K254" s="16">
        <f t="shared" si="20"/>
        <v>0</v>
      </c>
      <c r="L254" s="16">
        <f t="shared" si="19"/>
        <v>0</v>
      </c>
    </row>
    <row r="255" spans="1:12" ht="18">
      <c r="A255" s="6"/>
      <c r="B255" s="300">
        <v>199</v>
      </c>
      <c r="C255" s="301" t="s">
        <v>466</v>
      </c>
      <c r="D255" s="318" t="s">
        <v>132</v>
      </c>
      <c r="E255" s="308">
        <v>48</v>
      </c>
      <c r="F255" s="304">
        <v>42709</v>
      </c>
      <c r="G255" s="29">
        <v>0</v>
      </c>
      <c r="H255" s="27">
        <f t="shared" si="21"/>
        <v>0</v>
      </c>
      <c r="I255" s="27">
        <f t="shared" si="22"/>
        <v>48</v>
      </c>
      <c r="J255" s="16">
        <f t="shared" si="18"/>
        <v>0</v>
      </c>
      <c r="K255" s="16">
        <f t="shared" si="20"/>
        <v>0</v>
      </c>
      <c r="L255" s="16">
        <f t="shared" si="19"/>
        <v>0</v>
      </c>
    </row>
    <row r="256" spans="1:12" ht="18">
      <c r="A256" s="6"/>
      <c r="B256" s="300">
        <v>198</v>
      </c>
      <c r="C256" s="301" t="s">
        <v>467</v>
      </c>
      <c r="D256" s="318" t="s">
        <v>132</v>
      </c>
      <c r="E256" s="308">
        <v>17</v>
      </c>
      <c r="F256" s="304">
        <v>42709</v>
      </c>
      <c r="G256" s="29">
        <v>0</v>
      </c>
      <c r="H256" s="27">
        <f t="shared" si="21"/>
        <v>0</v>
      </c>
      <c r="I256" s="27">
        <f t="shared" si="22"/>
        <v>17</v>
      </c>
      <c r="J256" s="16">
        <f t="shared" si="18"/>
        <v>0</v>
      </c>
      <c r="K256" s="16">
        <f t="shared" si="20"/>
        <v>0</v>
      </c>
      <c r="L256" s="16">
        <f t="shared" si="19"/>
        <v>0</v>
      </c>
    </row>
    <row r="257" spans="1:12" ht="18">
      <c r="A257" s="6"/>
      <c r="B257" s="293">
        <v>197</v>
      </c>
      <c r="C257" s="294" t="s">
        <v>468</v>
      </c>
      <c r="D257" s="295" t="s">
        <v>130</v>
      </c>
      <c r="E257" s="310">
        <v>3.1</v>
      </c>
      <c r="F257" s="297">
        <v>42682</v>
      </c>
      <c r="G257" s="32">
        <v>1</v>
      </c>
      <c r="H257" s="19">
        <f t="shared" si="21"/>
        <v>3.1</v>
      </c>
      <c r="I257" s="19">
        <f t="shared" si="22"/>
        <v>0</v>
      </c>
      <c r="J257" s="12">
        <f t="shared" si="18"/>
        <v>0</v>
      </c>
      <c r="K257" s="12">
        <f t="shared" si="20"/>
        <v>0</v>
      </c>
      <c r="L257" s="12">
        <f t="shared" si="19"/>
        <v>0</v>
      </c>
    </row>
    <row r="258" spans="1:12" ht="18">
      <c r="A258" s="6"/>
      <c r="B258" s="300">
        <v>196</v>
      </c>
      <c r="C258" s="301" t="s">
        <v>160</v>
      </c>
      <c r="D258" s="302" t="s">
        <v>132</v>
      </c>
      <c r="E258" s="308">
        <v>21</v>
      </c>
      <c r="F258" s="304">
        <v>42680</v>
      </c>
      <c r="G258" s="29">
        <v>0</v>
      </c>
      <c r="H258" s="27">
        <f t="shared" si="21"/>
        <v>0</v>
      </c>
      <c r="I258" s="27">
        <f t="shared" si="22"/>
        <v>21</v>
      </c>
      <c r="J258" s="16">
        <f t="shared" si="18"/>
        <v>0</v>
      </c>
      <c r="K258" s="16">
        <f t="shared" si="20"/>
        <v>0</v>
      </c>
      <c r="L258" s="16">
        <f t="shared" si="19"/>
        <v>0</v>
      </c>
    </row>
    <row r="259" spans="1:12" ht="18">
      <c r="A259" s="6"/>
      <c r="B259" s="300">
        <v>195</v>
      </c>
      <c r="C259" s="301" t="s">
        <v>310</v>
      </c>
      <c r="D259" s="318" t="s">
        <v>132</v>
      </c>
      <c r="E259" s="308">
        <v>10.199999999999999</v>
      </c>
      <c r="F259" s="304">
        <v>42679</v>
      </c>
      <c r="G259" s="29">
        <v>0</v>
      </c>
      <c r="H259" s="27">
        <f t="shared" si="21"/>
        <v>0</v>
      </c>
      <c r="I259" s="27">
        <f t="shared" si="22"/>
        <v>10.199999999999999</v>
      </c>
      <c r="J259" s="16">
        <f t="shared" si="18"/>
        <v>0</v>
      </c>
      <c r="K259" s="16">
        <f t="shared" si="20"/>
        <v>0</v>
      </c>
      <c r="L259" s="16">
        <f t="shared" si="19"/>
        <v>0</v>
      </c>
    </row>
    <row r="260" spans="1:12" ht="18">
      <c r="A260" s="6"/>
      <c r="B260" s="300">
        <v>194</v>
      </c>
      <c r="C260" s="301" t="s">
        <v>113</v>
      </c>
      <c r="D260" s="318" t="s">
        <v>132</v>
      </c>
      <c r="E260" s="308">
        <v>21</v>
      </c>
      <c r="F260" s="304">
        <v>42679</v>
      </c>
      <c r="G260" s="29">
        <v>0</v>
      </c>
      <c r="H260" s="27">
        <f t="shared" si="21"/>
        <v>0</v>
      </c>
      <c r="I260" s="27">
        <f t="shared" si="22"/>
        <v>21</v>
      </c>
      <c r="J260" s="16">
        <f t="shared" si="18"/>
        <v>0</v>
      </c>
      <c r="K260" s="16">
        <f t="shared" si="20"/>
        <v>0</v>
      </c>
      <c r="L260" s="16">
        <f t="shared" si="19"/>
        <v>0</v>
      </c>
    </row>
    <row r="261" spans="1:12" ht="18">
      <c r="A261" s="6"/>
      <c r="B261" s="293">
        <v>193</v>
      </c>
      <c r="C261" s="294" t="s">
        <v>469</v>
      </c>
      <c r="D261" s="309" t="s">
        <v>130</v>
      </c>
      <c r="E261" s="314">
        <v>60.81</v>
      </c>
      <c r="F261" s="297">
        <v>42679</v>
      </c>
      <c r="G261" s="32">
        <v>1</v>
      </c>
      <c r="H261" s="19">
        <f t="shared" si="21"/>
        <v>60.81</v>
      </c>
      <c r="I261" s="19">
        <f t="shared" si="22"/>
        <v>0</v>
      </c>
      <c r="J261" s="12">
        <f t="shared" si="18"/>
        <v>0</v>
      </c>
      <c r="K261" s="12">
        <f t="shared" si="20"/>
        <v>0</v>
      </c>
      <c r="L261" s="12">
        <f t="shared" si="19"/>
        <v>0</v>
      </c>
    </row>
    <row r="262" spans="1:12" ht="18">
      <c r="A262" s="6"/>
      <c r="B262" s="300">
        <v>192</v>
      </c>
      <c r="C262" s="301" t="s">
        <v>470</v>
      </c>
      <c r="D262" s="302" t="s">
        <v>132</v>
      </c>
      <c r="E262" s="308">
        <v>18</v>
      </c>
      <c r="F262" s="304">
        <v>42679</v>
      </c>
      <c r="G262" s="29">
        <v>0</v>
      </c>
      <c r="H262" s="27">
        <f t="shared" si="21"/>
        <v>0</v>
      </c>
      <c r="I262" s="27">
        <f t="shared" si="22"/>
        <v>18</v>
      </c>
      <c r="J262" s="16">
        <f t="shared" si="18"/>
        <v>0</v>
      </c>
      <c r="K262" s="16">
        <f t="shared" si="20"/>
        <v>0</v>
      </c>
      <c r="L262" s="16">
        <f t="shared" si="19"/>
        <v>0</v>
      </c>
    </row>
    <row r="263" spans="1:12" ht="18">
      <c r="A263" s="6"/>
      <c r="B263" s="293">
        <v>191</v>
      </c>
      <c r="C263" s="294" t="s">
        <v>471</v>
      </c>
      <c r="D263" s="295" t="s">
        <v>132</v>
      </c>
      <c r="E263" s="296">
        <v>5.7</v>
      </c>
      <c r="F263" s="297">
        <v>42678</v>
      </c>
      <c r="G263" s="32">
        <v>1</v>
      </c>
      <c r="H263" s="19">
        <f t="shared" si="21"/>
        <v>5.7</v>
      </c>
      <c r="I263" s="19">
        <f t="shared" si="22"/>
        <v>0</v>
      </c>
      <c r="J263" s="12">
        <f t="shared" si="18"/>
        <v>0</v>
      </c>
      <c r="K263" s="12">
        <f t="shared" si="20"/>
        <v>0</v>
      </c>
      <c r="L263" s="12">
        <f t="shared" si="19"/>
        <v>0</v>
      </c>
    </row>
    <row r="264" spans="1:12" ht="18">
      <c r="A264" s="6"/>
      <c r="B264" s="300">
        <v>190</v>
      </c>
      <c r="C264" s="301" t="s">
        <v>312</v>
      </c>
      <c r="D264" s="302" t="s">
        <v>132</v>
      </c>
      <c r="E264" s="308">
        <v>19.8</v>
      </c>
      <c r="F264" s="304">
        <v>42678</v>
      </c>
      <c r="G264" s="29">
        <v>0</v>
      </c>
      <c r="H264" s="27">
        <f t="shared" si="21"/>
        <v>0</v>
      </c>
      <c r="I264" s="27">
        <f t="shared" si="22"/>
        <v>19.8</v>
      </c>
      <c r="J264" s="16">
        <f t="shared" si="18"/>
        <v>0</v>
      </c>
      <c r="K264" s="16">
        <f t="shared" si="20"/>
        <v>0</v>
      </c>
      <c r="L264" s="16">
        <f t="shared" si="19"/>
        <v>0</v>
      </c>
    </row>
    <row r="265" spans="1:12" ht="36">
      <c r="A265" s="6"/>
      <c r="B265" s="293">
        <v>189</v>
      </c>
      <c r="C265" s="294" t="s">
        <v>472</v>
      </c>
      <c r="D265" s="309" t="s">
        <v>130</v>
      </c>
      <c r="E265" s="314">
        <v>9.0120000000000005</v>
      </c>
      <c r="F265" s="297">
        <v>42678</v>
      </c>
      <c r="G265" s="32">
        <v>1</v>
      </c>
      <c r="H265" s="19">
        <f t="shared" si="21"/>
        <v>9.0120000000000005</v>
      </c>
      <c r="I265" s="19">
        <f t="shared" si="22"/>
        <v>0</v>
      </c>
      <c r="J265" s="12">
        <f t="shared" si="18"/>
        <v>0</v>
      </c>
      <c r="K265" s="12">
        <f t="shared" si="20"/>
        <v>0</v>
      </c>
      <c r="L265" s="12">
        <f t="shared" si="19"/>
        <v>0</v>
      </c>
    </row>
    <row r="266" spans="1:12" ht="18">
      <c r="A266" s="6"/>
      <c r="B266" s="300">
        <v>188</v>
      </c>
      <c r="C266" s="301" t="s">
        <v>459</v>
      </c>
      <c r="D266" s="302" t="s">
        <v>132</v>
      </c>
      <c r="E266" s="308">
        <v>5</v>
      </c>
      <c r="F266" s="304">
        <v>42678</v>
      </c>
      <c r="G266" s="29">
        <v>0</v>
      </c>
      <c r="H266" s="27">
        <f t="shared" si="21"/>
        <v>0</v>
      </c>
      <c r="I266" s="27">
        <f t="shared" si="22"/>
        <v>5</v>
      </c>
      <c r="J266" s="16">
        <f t="shared" si="18"/>
        <v>0</v>
      </c>
      <c r="K266" s="16">
        <f t="shared" si="20"/>
        <v>0</v>
      </c>
      <c r="L266" s="16">
        <f t="shared" si="19"/>
        <v>0</v>
      </c>
    </row>
    <row r="267" spans="1:12" ht="18">
      <c r="A267" s="6"/>
      <c r="B267" s="293">
        <v>187</v>
      </c>
      <c r="C267" s="294" t="s">
        <v>440</v>
      </c>
      <c r="D267" s="309" t="s">
        <v>137</v>
      </c>
      <c r="E267" s="296">
        <v>1</v>
      </c>
      <c r="F267" s="297">
        <v>42674</v>
      </c>
      <c r="G267" s="30">
        <v>1</v>
      </c>
      <c r="H267" s="19">
        <f t="shared" si="21"/>
        <v>1</v>
      </c>
      <c r="I267" s="19">
        <f t="shared" si="22"/>
        <v>0</v>
      </c>
      <c r="J267" s="12">
        <f t="shared" si="18"/>
        <v>0</v>
      </c>
      <c r="K267" s="12">
        <f t="shared" si="20"/>
        <v>0</v>
      </c>
      <c r="L267" s="12">
        <f t="shared" si="19"/>
        <v>0</v>
      </c>
    </row>
    <row r="268" spans="1:12" ht="18">
      <c r="A268" s="6"/>
      <c r="B268" s="293">
        <v>186</v>
      </c>
      <c r="C268" s="294" t="s">
        <v>449</v>
      </c>
      <c r="D268" s="309" t="s">
        <v>137</v>
      </c>
      <c r="E268" s="296">
        <v>2</v>
      </c>
      <c r="F268" s="297">
        <v>42674</v>
      </c>
      <c r="G268" s="30">
        <v>1</v>
      </c>
      <c r="H268" s="19">
        <f t="shared" si="21"/>
        <v>2</v>
      </c>
      <c r="I268" s="19">
        <f t="shared" si="22"/>
        <v>0</v>
      </c>
      <c r="J268" s="12">
        <f t="shared" si="18"/>
        <v>0</v>
      </c>
      <c r="K268" s="12">
        <f t="shared" si="20"/>
        <v>0</v>
      </c>
      <c r="L268" s="12">
        <f t="shared" si="19"/>
        <v>0</v>
      </c>
    </row>
    <row r="269" spans="1:12" ht="18">
      <c r="A269" s="6"/>
      <c r="B269" s="293">
        <v>185</v>
      </c>
      <c r="C269" s="294" t="s">
        <v>473</v>
      </c>
      <c r="D269" s="309" t="s">
        <v>130</v>
      </c>
      <c r="E269" s="314">
        <v>11.64</v>
      </c>
      <c r="F269" s="297">
        <v>42674</v>
      </c>
      <c r="G269" s="30">
        <v>1</v>
      </c>
      <c r="H269" s="19">
        <f t="shared" si="21"/>
        <v>11.64</v>
      </c>
      <c r="I269" s="19">
        <f t="shared" si="22"/>
        <v>0</v>
      </c>
      <c r="J269" s="12">
        <f t="shared" si="18"/>
        <v>0</v>
      </c>
      <c r="K269" s="12">
        <f t="shared" si="20"/>
        <v>0</v>
      </c>
      <c r="L269" s="12">
        <f t="shared" si="19"/>
        <v>0</v>
      </c>
    </row>
    <row r="270" spans="1:12" ht="72">
      <c r="A270" s="6"/>
      <c r="B270" s="293">
        <v>184</v>
      </c>
      <c r="C270" s="294" t="s">
        <v>474</v>
      </c>
      <c r="D270" s="295" t="s">
        <v>134</v>
      </c>
      <c r="E270" s="311">
        <v>3.12</v>
      </c>
      <c r="F270" s="297">
        <v>42674</v>
      </c>
      <c r="G270" s="30">
        <v>1</v>
      </c>
      <c r="H270" s="19">
        <f t="shared" si="21"/>
        <v>3.12</v>
      </c>
      <c r="I270" s="19">
        <f t="shared" si="22"/>
        <v>0</v>
      </c>
      <c r="J270" s="12">
        <f t="shared" si="18"/>
        <v>0</v>
      </c>
      <c r="K270" s="12">
        <f t="shared" si="20"/>
        <v>0</v>
      </c>
      <c r="L270" s="12">
        <f t="shared" si="19"/>
        <v>0</v>
      </c>
    </row>
    <row r="271" spans="1:12" ht="36">
      <c r="A271" s="6"/>
      <c r="B271" s="293">
        <v>183</v>
      </c>
      <c r="C271" s="294" t="s">
        <v>475</v>
      </c>
      <c r="D271" s="295" t="s">
        <v>137</v>
      </c>
      <c r="E271" s="347">
        <v>9.8000000000000007</v>
      </c>
      <c r="F271" s="297">
        <v>42674</v>
      </c>
      <c r="G271" s="30">
        <v>1</v>
      </c>
      <c r="H271" s="19">
        <f t="shared" si="21"/>
        <v>9.8000000000000007</v>
      </c>
      <c r="I271" s="19">
        <f t="shared" si="22"/>
        <v>0</v>
      </c>
      <c r="J271" s="12">
        <f t="shared" ref="J271:J334" si="23">OR(IF((D271="DG"),1,0),IF(D271="DG/FO",1,0),IF(D271="DG/FO/Linyit",1,0))*E271</f>
        <v>0</v>
      </c>
      <c r="K271" s="12">
        <f t="shared" si="20"/>
        <v>0</v>
      </c>
      <c r="L271" s="12">
        <f t="shared" ref="L271:L334" si="24">(IF((D271="LİNYİT"),1,0))*E271</f>
        <v>0</v>
      </c>
    </row>
    <row r="272" spans="1:12" ht="36">
      <c r="A272" s="6"/>
      <c r="B272" s="293">
        <v>182</v>
      </c>
      <c r="C272" s="294" t="s">
        <v>476</v>
      </c>
      <c r="D272" s="295" t="s">
        <v>137</v>
      </c>
      <c r="E272" s="310">
        <v>1.1000000000000001</v>
      </c>
      <c r="F272" s="297">
        <v>42674</v>
      </c>
      <c r="G272" s="30">
        <v>1</v>
      </c>
      <c r="H272" s="19">
        <f t="shared" si="21"/>
        <v>1.1000000000000001</v>
      </c>
      <c r="I272" s="19">
        <f t="shared" si="22"/>
        <v>0</v>
      </c>
      <c r="J272" s="12">
        <f t="shared" si="23"/>
        <v>0</v>
      </c>
      <c r="K272" s="12">
        <f t="shared" ref="K272:K335" si="25">OR(IF((D272="KÖMÜR+DİĞER"),1,0),IF(D272="KÖMÜR",1,0))*E272</f>
        <v>0</v>
      </c>
      <c r="L272" s="12">
        <f t="shared" si="24"/>
        <v>0</v>
      </c>
    </row>
    <row r="273" spans="1:12" ht="36">
      <c r="A273" s="6"/>
      <c r="B273" s="293">
        <v>181</v>
      </c>
      <c r="C273" s="294" t="s">
        <v>477</v>
      </c>
      <c r="D273" s="295" t="s">
        <v>130</v>
      </c>
      <c r="E273" s="311">
        <v>9.9580000000000002</v>
      </c>
      <c r="F273" s="297">
        <v>42674</v>
      </c>
      <c r="G273" s="30">
        <v>1</v>
      </c>
      <c r="H273" s="19">
        <f t="shared" si="21"/>
        <v>9.9580000000000002</v>
      </c>
      <c r="I273" s="19">
        <f t="shared" si="22"/>
        <v>0</v>
      </c>
      <c r="J273" s="12">
        <f t="shared" si="23"/>
        <v>0</v>
      </c>
      <c r="K273" s="12">
        <f t="shared" si="25"/>
        <v>0</v>
      </c>
      <c r="L273" s="12">
        <f t="shared" si="24"/>
        <v>0</v>
      </c>
    </row>
    <row r="274" spans="1:12" ht="18">
      <c r="A274" s="6"/>
      <c r="B274" s="293">
        <v>180</v>
      </c>
      <c r="C274" s="294" t="s">
        <v>478</v>
      </c>
      <c r="D274" s="295" t="s">
        <v>130</v>
      </c>
      <c r="E274" s="311">
        <v>6.77</v>
      </c>
      <c r="F274" s="297">
        <v>42673</v>
      </c>
      <c r="G274" s="30">
        <v>1</v>
      </c>
      <c r="H274" s="19">
        <f t="shared" si="21"/>
        <v>6.77</v>
      </c>
      <c r="I274" s="19">
        <f t="shared" si="22"/>
        <v>0</v>
      </c>
      <c r="J274" s="12">
        <f t="shared" si="23"/>
        <v>0</v>
      </c>
      <c r="K274" s="12">
        <f t="shared" si="25"/>
        <v>0</v>
      </c>
      <c r="L274" s="12">
        <f t="shared" si="24"/>
        <v>0</v>
      </c>
    </row>
    <row r="275" spans="1:12" ht="18">
      <c r="A275" s="6"/>
      <c r="B275" s="300">
        <v>179</v>
      </c>
      <c r="C275" s="301" t="s">
        <v>439</v>
      </c>
      <c r="D275" s="302" t="s">
        <v>132</v>
      </c>
      <c r="E275" s="326">
        <v>4.5999999999999996</v>
      </c>
      <c r="F275" s="304">
        <v>42673</v>
      </c>
      <c r="G275" s="29">
        <v>0</v>
      </c>
      <c r="H275" s="27">
        <f t="shared" si="21"/>
        <v>0</v>
      </c>
      <c r="I275" s="27">
        <f t="shared" si="22"/>
        <v>4.5999999999999996</v>
      </c>
      <c r="J275" s="16">
        <f t="shared" si="23"/>
        <v>0</v>
      </c>
      <c r="K275" s="16">
        <f t="shared" si="25"/>
        <v>0</v>
      </c>
      <c r="L275" s="16">
        <f t="shared" si="24"/>
        <v>0</v>
      </c>
    </row>
    <row r="276" spans="1:12" ht="36">
      <c r="A276" s="6"/>
      <c r="B276" s="300">
        <v>178</v>
      </c>
      <c r="C276" s="301" t="s">
        <v>479</v>
      </c>
      <c r="D276" s="302" t="s">
        <v>480</v>
      </c>
      <c r="E276" s="326">
        <v>4.9000000000000004</v>
      </c>
      <c r="F276" s="304">
        <v>42673</v>
      </c>
      <c r="G276" s="29">
        <v>0</v>
      </c>
      <c r="H276" s="27">
        <f t="shared" si="21"/>
        <v>0</v>
      </c>
      <c r="I276" s="27">
        <f t="shared" si="22"/>
        <v>4.9000000000000004</v>
      </c>
      <c r="J276" s="16">
        <f t="shared" si="23"/>
        <v>0</v>
      </c>
      <c r="K276" s="16">
        <f t="shared" si="25"/>
        <v>0</v>
      </c>
      <c r="L276" s="16">
        <f t="shared" si="24"/>
        <v>0</v>
      </c>
    </row>
    <row r="277" spans="1:12" ht="36">
      <c r="A277" s="6"/>
      <c r="B277" s="293">
        <v>177</v>
      </c>
      <c r="C277" s="294" t="s">
        <v>448</v>
      </c>
      <c r="D277" s="295" t="s">
        <v>130</v>
      </c>
      <c r="E277" s="310">
        <v>0.85</v>
      </c>
      <c r="F277" s="297">
        <v>42672</v>
      </c>
      <c r="G277" s="32">
        <v>1</v>
      </c>
      <c r="H277" s="19">
        <f t="shared" si="21"/>
        <v>0.85</v>
      </c>
      <c r="I277" s="19">
        <f t="shared" si="22"/>
        <v>0</v>
      </c>
      <c r="J277" s="12">
        <f t="shared" si="23"/>
        <v>0</v>
      </c>
      <c r="K277" s="12">
        <f t="shared" si="25"/>
        <v>0</v>
      </c>
      <c r="L277" s="12">
        <f t="shared" si="24"/>
        <v>0</v>
      </c>
    </row>
    <row r="278" spans="1:12" ht="36">
      <c r="A278" s="6"/>
      <c r="B278" s="300">
        <v>176</v>
      </c>
      <c r="C278" s="301" t="s">
        <v>481</v>
      </c>
      <c r="D278" s="302" t="s">
        <v>137</v>
      </c>
      <c r="E278" s="326">
        <v>12</v>
      </c>
      <c r="F278" s="304">
        <v>42671</v>
      </c>
      <c r="G278" s="29">
        <v>0</v>
      </c>
      <c r="H278" s="27">
        <f t="shared" si="21"/>
        <v>0</v>
      </c>
      <c r="I278" s="27">
        <f t="shared" si="22"/>
        <v>12</v>
      </c>
      <c r="J278" s="16">
        <f t="shared" si="23"/>
        <v>0</v>
      </c>
      <c r="K278" s="16">
        <f t="shared" si="25"/>
        <v>0</v>
      </c>
      <c r="L278" s="16">
        <f t="shared" si="24"/>
        <v>0</v>
      </c>
    </row>
    <row r="279" spans="1:12" ht="36">
      <c r="A279" s="6"/>
      <c r="B279" s="300">
        <v>175</v>
      </c>
      <c r="C279" s="301" t="s">
        <v>482</v>
      </c>
      <c r="D279" s="302" t="s">
        <v>130</v>
      </c>
      <c r="E279" s="326">
        <v>0.97</v>
      </c>
      <c r="F279" s="304">
        <v>42671</v>
      </c>
      <c r="G279" s="29">
        <v>0</v>
      </c>
      <c r="H279" s="27">
        <f t="shared" ref="H279:H342" si="26">E279*G279</f>
        <v>0</v>
      </c>
      <c r="I279" s="27">
        <f t="shared" ref="I279:I342" si="27">E279-H279</f>
        <v>0.97</v>
      </c>
      <c r="J279" s="16">
        <f t="shared" si="23"/>
        <v>0</v>
      </c>
      <c r="K279" s="16">
        <f t="shared" si="25"/>
        <v>0</v>
      </c>
      <c r="L279" s="16">
        <f t="shared" si="24"/>
        <v>0</v>
      </c>
    </row>
    <row r="280" spans="1:12" ht="18">
      <c r="A280" s="6"/>
      <c r="B280" s="293">
        <v>174</v>
      </c>
      <c r="C280" s="294" t="s">
        <v>446</v>
      </c>
      <c r="D280" s="295" t="s">
        <v>132</v>
      </c>
      <c r="E280" s="310">
        <v>5.7</v>
      </c>
      <c r="F280" s="297">
        <v>42671</v>
      </c>
      <c r="G280" s="30">
        <v>1</v>
      </c>
      <c r="H280" s="19">
        <f t="shared" si="26"/>
        <v>5.7</v>
      </c>
      <c r="I280" s="19">
        <f t="shared" si="27"/>
        <v>0</v>
      </c>
      <c r="J280" s="12">
        <f t="shared" si="23"/>
        <v>0</v>
      </c>
      <c r="K280" s="12">
        <f t="shared" si="25"/>
        <v>0</v>
      </c>
      <c r="L280" s="12">
        <f t="shared" si="24"/>
        <v>0</v>
      </c>
    </row>
    <row r="281" spans="1:12" ht="36">
      <c r="A281" s="6"/>
      <c r="B281" s="293">
        <v>173</v>
      </c>
      <c r="C281" s="294" t="s">
        <v>483</v>
      </c>
      <c r="D281" s="295" t="s">
        <v>130</v>
      </c>
      <c r="E281" s="310">
        <v>25</v>
      </c>
      <c r="F281" s="297">
        <v>42671</v>
      </c>
      <c r="G281" s="30">
        <v>1</v>
      </c>
      <c r="H281" s="19">
        <f t="shared" si="26"/>
        <v>25</v>
      </c>
      <c r="I281" s="19">
        <f t="shared" si="27"/>
        <v>0</v>
      </c>
      <c r="J281" s="12">
        <f t="shared" si="23"/>
        <v>0</v>
      </c>
      <c r="K281" s="12">
        <f t="shared" si="25"/>
        <v>0</v>
      </c>
      <c r="L281" s="12">
        <f t="shared" si="24"/>
        <v>0</v>
      </c>
    </row>
    <row r="282" spans="1:12" ht="54">
      <c r="A282" s="6"/>
      <c r="B282" s="293">
        <v>172</v>
      </c>
      <c r="C282" s="294" t="s">
        <v>484</v>
      </c>
      <c r="D282" s="295" t="s">
        <v>485</v>
      </c>
      <c r="E282" s="310">
        <v>30</v>
      </c>
      <c r="F282" s="297">
        <v>42671</v>
      </c>
      <c r="G282" s="30">
        <v>1</v>
      </c>
      <c r="H282" s="19">
        <f t="shared" si="26"/>
        <v>30</v>
      </c>
      <c r="I282" s="19">
        <f t="shared" si="27"/>
        <v>0</v>
      </c>
      <c r="J282" s="12">
        <f t="shared" si="23"/>
        <v>0</v>
      </c>
      <c r="K282" s="12">
        <f t="shared" si="25"/>
        <v>0</v>
      </c>
      <c r="L282" s="12">
        <f t="shared" si="24"/>
        <v>0</v>
      </c>
    </row>
    <row r="283" spans="1:12" ht="54">
      <c r="A283" s="6"/>
      <c r="B283" s="293">
        <v>171</v>
      </c>
      <c r="C283" s="294" t="s">
        <v>486</v>
      </c>
      <c r="D283" s="295" t="s">
        <v>134</v>
      </c>
      <c r="E283" s="310">
        <v>1.2</v>
      </c>
      <c r="F283" s="297">
        <v>42671</v>
      </c>
      <c r="G283" s="30">
        <v>1</v>
      </c>
      <c r="H283" s="19">
        <f t="shared" si="26"/>
        <v>1.2</v>
      </c>
      <c r="I283" s="19">
        <f t="shared" si="27"/>
        <v>0</v>
      </c>
      <c r="J283" s="12">
        <f t="shared" si="23"/>
        <v>0</v>
      </c>
      <c r="K283" s="12">
        <f t="shared" si="25"/>
        <v>0</v>
      </c>
      <c r="L283" s="12">
        <f t="shared" si="24"/>
        <v>0</v>
      </c>
    </row>
    <row r="284" spans="1:12" ht="36">
      <c r="A284" s="6"/>
      <c r="B284" s="293">
        <v>170</v>
      </c>
      <c r="C284" s="294" t="s">
        <v>487</v>
      </c>
      <c r="D284" s="295" t="s">
        <v>134</v>
      </c>
      <c r="E284" s="311">
        <v>4.2389999999999999</v>
      </c>
      <c r="F284" s="297">
        <v>42671</v>
      </c>
      <c r="G284" s="30">
        <v>1</v>
      </c>
      <c r="H284" s="19">
        <f t="shared" si="26"/>
        <v>4.2389999999999999</v>
      </c>
      <c r="I284" s="19">
        <f t="shared" si="27"/>
        <v>0</v>
      </c>
      <c r="J284" s="12">
        <f t="shared" si="23"/>
        <v>0</v>
      </c>
      <c r="K284" s="12">
        <f t="shared" si="25"/>
        <v>0</v>
      </c>
      <c r="L284" s="12">
        <f t="shared" si="24"/>
        <v>0</v>
      </c>
    </row>
    <row r="285" spans="1:12" ht="18">
      <c r="A285" s="6"/>
      <c r="B285" s="293">
        <v>169</v>
      </c>
      <c r="C285" s="294" t="s">
        <v>468</v>
      </c>
      <c r="D285" s="295" t="s">
        <v>130</v>
      </c>
      <c r="E285" s="310">
        <v>3.1</v>
      </c>
      <c r="F285" s="297">
        <v>42668</v>
      </c>
      <c r="G285" s="30">
        <v>1</v>
      </c>
      <c r="H285" s="19">
        <f t="shared" si="26"/>
        <v>3.1</v>
      </c>
      <c r="I285" s="19">
        <f t="shared" si="27"/>
        <v>0</v>
      </c>
      <c r="J285" s="12">
        <f t="shared" si="23"/>
        <v>0</v>
      </c>
      <c r="K285" s="12">
        <f t="shared" si="25"/>
        <v>0</v>
      </c>
      <c r="L285" s="12">
        <f t="shared" si="24"/>
        <v>0</v>
      </c>
    </row>
    <row r="286" spans="1:12" ht="18">
      <c r="A286" s="6"/>
      <c r="B286" s="293">
        <v>168</v>
      </c>
      <c r="C286" s="294" t="s">
        <v>488</v>
      </c>
      <c r="D286" s="295" t="s">
        <v>130</v>
      </c>
      <c r="E286" s="310">
        <v>2.39</v>
      </c>
      <c r="F286" s="297">
        <v>42665</v>
      </c>
      <c r="G286" s="30">
        <v>1</v>
      </c>
      <c r="H286" s="19">
        <f t="shared" si="26"/>
        <v>2.39</v>
      </c>
      <c r="I286" s="19">
        <f t="shared" si="27"/>
        <v>0</v>
      </c>
      <c r="J286" s="12">
        <f t="shared" si="23"/>
        <v>0</v>
      </c>
      <c r="K286" s="12">
        <f t="shared" si="25"/>
        <v>0</v>
      </c>
      <c r="L286" s="12">
        <f t="shared" si="24"/>
        <v>0</v>
      </c>
    </row>
    <row r="287" spans="1:12" ht="36">
      <c r="A287" s="6"/>
      <c r="B287" s="293">
        <v>167</v>
      </c>
      <c r="C287" s="294" t="s">
        <v>489</v>
      </c>
      <c r="D287" s="295" t="s">
        <v>134</v>
      </c>
      <c r="E287" s="311">
        <v>0.83499999999999996</v>
      </c>
      <c r="F287" s="297">
        <v>42665</v>
      </c>
      <c r="G287" s="30">
        <v>1</v>
      </c>
      <c r="H287" s="19">
        <f t="shared" si="26"/>
        <v>0.83499999999999996</v>
      </c>
      <c r="I287" s="19">
        <f t="shared" si="27"/>
        <v>0</v>
      </c>
      <c r="J287" s="12">
        <f t="shared" si="23"/>
        <v>0</v>
      </c>
      <c r="K287" s="12">
        <f t="shared" si="25"/>
        <v>0</v>
      </c>
      <c r="L287" s="12">
        <f t="shared" si="24"/>
        <v>0</v>
      </c>
    </row>
    <row r="288" spans="1:12" ht="54">
      <c r="A288" s="6"/>
      <c r="B288" s="293">
        <v>166</v>
      </c>
      <c r="C288" s="294" t="s">
        <v>490</v>
      </c>
      <c r="D288" s="295" t="s">
        <v>142</v>
      </c>
      <c r="E288" s="296">
        <v>12</v>
      </c>
      <c r="F288" s="297">
        <v>42665</v>
      </c>
      <c r="G288" s="30">
        <v>1</v>
      </c>
      <c r="H288" s="19">
        <f t="shared" si="26"/>
        <v>12</v>
      </c>
      <c r="I288" s="19">
        <f t="shared" si="27"/>
        <v>0</v>
      </c>
      <c r="J288" s="12">
        <f t="shared" si="23"/>
        <v>0</v>
      </c>
      <c r="K288" s="12">
        <f t="shared" si="25"/>
        <v>0</v>
      </c>
      <c r="L288" s="12">
        <f t="shared" si="24"/>
        <v>0</v>
      </c>
    </row>
    <row r="289" spans="1:12" ht="18">
      <c r="A289" s="6"/>
      <c r="B289" s="300">
        <v>165</v>
      </c>
      <c r="C289" s="301" t="s">
        <v>465</v>
      </c>
      <c r="D289" s="302" t="s">
        <v>132</v>
      </c>
      <c r="E289" s="308">
        <v>3</v>
      </c>
      <c r="F289" s="304">
        <v>42665</v>
      </c>
      <c r="G289" s="29">
        <v>0</v>
      </c>
      <c r="H289" s="27">
        <f t="shared" si="26"/>
        <v>0</v>
      </c>
      <c r="I289" s="27">
        <f t="shared" si="27"/>
        <v>3</v>
      </c>
      <c r="J289" s="16">
        <f t="shared" si="23"/>
        <v>0</v>
      </c>
      <c r="K289" s="16">
        <f t="shared" si="25"/>
        <v>0</v>
      </c>
      <c r="L289" s="16">
        <f t="shared" si="24"/>
        <v>0</v>
      </c>
    </row>
    <row r="290" spans="1:12" ht="36">
      <c r="A290" s="6"/>
      <c r="B290" s="293">
        <v>164</v>
      </c>
      <c r="C290" s="294" t="s">
        <v>491</v>
      </c>
      <c r="D290" s="295" t="s">
        <v>134</v>
      </c>
      <c r="E290" s="296">
        <v>1.2</v>
      </c>
      <c r="F290" s="297">
        <v>42664</v>
      </c>
      <c r="G290" s="32">
        <v>1</v>
      </c>
      <c r="H290" s="19">
        <f t="shared" si="26"/>
        <v>1.2</v>
      </c>
      <c r="I290" s="19">
        <f t="shared" si="27"/>
        <v>0</v>
      </c>
      <c r="J290" s="12">
        <f t="shared" si="23"/>
        <v>0</v>
      </c>
      <c r="K290" s="12">
        <f t="shared" si="25"/>
        <v>0</v>
      </c>
      <c r="L290" s="12">
        <f t="shared" si="24"/>
        <v>0</v>
      </c>
    </row>
    <row r="291" spans="1:12" ht="18">
      <c r="A291" s="6"/>
      <c r="B291" s="300">
        <v>163</v>
      </c>
      <c r="C291" s="301" t="s">
        <v>447</v>
      </c>
      <c r="D291" s="318" t="s">
        <v>132</v>
      </c>
      <c r="E291" s="308">
        <v>5.6</v>
      </c>
      <c r="F291" s="304">
        <v>42664</v>
      </c>
      <c r="G291" s="29">
        <v>0</v>
      </c>
      <c r="H291" s="27">
        <f t="shared" si="26"/>
        <v>0</v>
      </c>
      <c r="I291" s="27">
        <f t="shared" si="27"/>
        <v>5.6</v>
      </c>
      <c r="J291" s="16">
        <f t="shared" si="23"/>
        <v>0</v>
      </c>
      <c r="K291" s="16">
        <f t="shared" si="25"/>
        <v>0</v>
      </c>
      <c r="L291" s="16">
        <f t="shared" si="24"/>
        <v>0</v>
      </c>
    </row>
    <row r="292" spans="1:12" ht="36">
      <c r="A292" s="6"/>
      <c r="B292" s="300">
        <v>162</v>
      </c>
      <c r="C292" s="301" t="s">
        <v>492</v>
      </c>
      <c r="D292" s="318" t="s">
        <v>130</v>
      </c>
      <c r="E292" s="303">
        <v>16.372</v>
      </c>
      <c r="F292" s="304">
        <v>42664</v>
      </c>
      <c r="G292" s="29">
        <v>0</v>
      </c>
      <c r="H292" s="27">
        <f t="shared" si="26"/>
        <v>0</v>
      </c>
      <c r="I292" s="27">
        <f t="shared" si="27"/>
        <v>16.372</v>
      </c>
      <c r="J292" s="16">
        <f t="shared" si="23"/>
        <v>0</v>
      </c>
      <c r="K292" s="16">
        <f t="shared" si="25"/>
        <v>0</v>
      </c>
      <c r="L292" s="16">
        <f t="shared" si="24"/>
        <v>0</v>
      </c>
    </row>
    <row r="293" spans="1:12" ht="54">
      <c r="A293" s="6"/>
      <c r="B293" s="300">
        <v>161</v>
      </c>
      <c r="C293" s="301" t="s">
        <v>493</v>
      </c>
      <c r="D293" s="318" t="s">
        <v>142</v>
      </c>
      <c r="E293" s="308">
        <v>1.4</v>
      </c>
      <c r="F293" s="304">
        <v>42664</v>
      </c>
      <c r="G293" s="29">
        <v>0</v>
      </c>
      <c r="H293" s="27">
        <f t="shared" si="26"/>
        <v>0</v>
      </c>
      <c r="I293" s="27">
        <f t="shared" si="27"/>
        <v>1.4</v>
      </c>
      <c r="J293" s="16">
        <f t="shared" si="23"/>
        <v>0</v>
      </c>
      <c r="K293" s="16">
        <f t="shared" si="25"/>
        <v>0</v>
      </c>
      <c r="L293" s="16">
        <f t="shared" si="24"/>
        <v>0</v>
      </c>
    </row>
    <row r="294" spans="1:12" ht="36">
      <c r="A294" s="6"/>
      <c r="B294" s="293">
        <v>160</v>
      </c>
      <c r="C294" s="294" t="s">
        <v>472</v>
      </c>
      <c r="D294" s="309" t="s">
        <v>130</v>
      </c>
      <c r="E294" s="311">
        <v>6.01</v>
      </c>
      <c r="F294" s="297">
        <v>42664</v>
      </c>
      <c r="G294" s="32">
        <v>1</v>
      </c>
      <c r="H294" s="19">
        <f t="shared" si="26"/>
        <v>6.01</v>
      </c>
      <c r="I294" s="19">
        <f t="shared" si="27"/>
        <v>0</v>
      </c>
      <c r="J294" s="12">
        <f t="shared" si="23"/>
        <v>0</v>
      </c>
      <c r="K294" s="12">
        <f t="shared" si="25"/>
        <v>0</v>
      </c>
      <c r="L294" s="12">
        <f t="shared" si="24"/>
        <v>0</v>
      </c>
    </row>
    <row r="295" spans="1:12" ht="18">
      <c r="A295" s="6"/>
      <c r="B295" s="300">
        <v>159</v>
      </c>
      <c r="C295" s="301" t="s">
        <v>461</v>
      </c>
      <c r="D295" s="318" t="s">
        <v>132</v>
      </c>
      <c r="E295" s="308">
        <v>15</v>
      </c>
      <c r="F295" s="304">
        <v>42664</v>
      </c>
      <c r="G295" s="29">
        <v>0</v>
      </c>
      <c r="H295" s="27">
        <f t="shared" si="26"/>
        <v>0</v>
      </c>
      <c r="I295" s="27">
        <f t="shared" si="27"/>
        <v>15</v>
      </c>
      <c r="J295" s="16">
        <f t="shared" si="23"/>
        <v>0</v>
      </c>
      <c r="K295" s="16">
        <f t="shared" si="25"/>
        <v>0</v>
      </c>
      <c r="L295" s="16">
        <f t="shared" si="24"/>
        <v>0</v>
      </c>
    </row>
    <row r="296" spans="1:12" ht="18">
      <c r="A296" s="6"/>
      <c r="B296" s="300">
        <v>158</v>
      </c>
      <c r="C296" s="301" t="s">
        <v>459</v>
      </c>
      <c r="D296" s="302" t="s">
        <v>132</v>
      </c>
      <c r="E296" s="308">
        <v>2.5</v>
      </c>
      <c r="F296" s="304">
        <v>42663</v>
      </c>
      <c r="G296" s="29">
        <v>0</v>
      </c>
      <c r="H296" s="27">
        <f t="shared" si="26"/>
        <v>0</v>
      </c>
      <c r="I296" s="27">
        <f t="shared" si="27"/>
        <v>2.5</v>
      </c>
      <c r="J296" s="16">
        <f t="shared" si="23"/>
        <v>0</v>
      </c>
      <c r="K296" s="16">
        <f t="shared" si="25"/>
        <v>0</v>
      </c>
      <c r="L296" s="16">
        <f t="shared" si="24"/>
        <v>0</v>
      </c>
    </row>
    <row r="297" spans="1:12" ht="18">
      <c r="A297" s="6"/>
      <c r="B297" s="293">
        <v>157</v>
      </c>
      <c r="C297" s="294" t="s">
        <v>494</v>
      </c>
      <c r="D297" s="309" t="s">
        <v>131</v>
      </c>
      <c r="E297" s="296">
        <v>4.5</v>
      </c>
      <c r="F297" s="297">
        <v>42658</v>
      </c>
      <c r="G297" s="30">
        <v>1</v>
      </c>
      <c r="H297" s="19">
        <f t="shared" si="26"/>
        <v>4.5</v>
      </c>
      <c r="I297" s="19">
        <f t="shared" si="27"/>
        <v>0</v>
      </c>
      <c r="J297" s="12">
        <f t="shared" si="23"/>
        <v>4.5</v>
      </c>
      <c r="K297" s="12">
        <f t="shared" si="25"/>
        <v>0</v>
      </c>
      <c r="L297" s="12">
        <f t="shared" si="24"/>
        <v>0</v>
      </c>
    </row>
    <row r="298" spans="1:12" ht="54">
      <c r="A298" s="6"/>
      <c r="B298" s="293">
        <v>156</v>
      </c>
      <c r="C298" s="294" t="s">
        <v>495</v>
      </c>
      <c r="D298" s="309" t="s">
        <v>139</v>
      </c>
      <c r="E298" s="296">
        <v>9</v>
      </c>
      <c r="F298" s="297">
        <v>42657</v>
      </c>
      <c r="G298" s="30">
        <v>1</v>
      </c>
      <c r="H298" s="19">
        <f t="shared" si="26"/>
        <v>9</v>
      </c>
      <c r="I298" s="19">
        <f t="shared" si="27"/>
        <v>0</v>
      </c>
      <c r="J298" s="12">
        <f t="shared" si="23"/>
        <v>0</v>
      </c>
      <c r="K298" s="12">
        <f t="shared" si="25"/>
        <v>0</v>
      </c>
      <c r="L298" s="12">
        <f t="shared" si="24"/>
        <v>0</v>
      </c>
    </row>
    <row r="299" spans="1:12" ht="18">
      <c r="A299" s="6"/>
      <c r="B299" s="319">
        <v>155</v>
      </c>
      <c r="C299" s="320" t="s">
        <v>496</v>
      </c>
      <c r="D299" s="348" t="s">
        <v>142</v>
      </c>
      <c r="E299" s="322">
        <v>4.2679999999999998</v>
      </c>
      <c r="F299" s="323">
        <v>42657</v>
      </c>
      <c r="G299" s="30">
        <v>1</v>
      </c>
      <c r="H299" s="19">
        <f t="shared" si="26"/>
        <v>4.2679999999999998</v>
      </c>
      <c r="I299" s="19">
        <f t="shared" si="27"/>
        <v>0</v>
      </c>
      <c r="J299" s="12">
        <f t="shared" si="23"/>
        <v>0</v>
      </c>
      <c r="K299" s="12">
        <f t="shared" si="25"/>
        <v>0</v>
      </c>
      <c r="L299" s="12">
        <f t="shared" si="24"/>
        <v>0</v>
      </c>
    </row>
    <row r="300" spans="1:12" ht="18">
      <c r="A300" s="6"/>
      <c r="B300" s="300">
        <v>154</v>
      </c>
      <c r="C300" s="301" t="s">
        <v>497</v>
      </c>
      <c r="D300" s="318" t="s">
        <v>480</v>
      </c>
      <c r="E300" s="308">
        <v>8</v>
      </c>
      <c r="F300" s="304">
        <v>42657</v>
      </c>
      <c r="G300" s="29">
        <v>0</v>
      </c>
      <c r="H300" s="27">
        <f t="shared" si="26"/>
        <v>0</v>
      </c>
      <c r="I300" s="27">
        <f t="shared" si="27"/>
        <v>8</v>
      </c>
      <c r="J300" s="16">
        <f t="shared" si="23"/>
        <v>0</v>
      </c>
      <c r="K300" s="16">
        <f t="shared" si="25"/>
        <v>0</v>
      </c>
      <c r="L300" s="16">
        <f t="shared" si="24"/>
        <v>0</v>
      </c>
    </row>
    <row r="301" spans="1:12" ht="36">
      <c r="A301" s="6"/>
      <c r="B301" s="293">
        <v>153</v>
      </c>
      <c r="C301" s="294" t="s">
        <v>498</v>
      </c>
      <c r="D301" s="309" t="s">
        <v>130</v>
      </c>
      <c r="E301" s="314">
        <v>22.707999999999998</v>
      </c>
      <c r="F301" s="297">
        <v>42656</v>
      </c>
      <c r="G301" s="30">
        <v>1</v>
      </c>
      <c r="H301" s="19">
        <f t="shared" si="26"/>
        <v>22.707999999999998</v>
      </c>
      <c r="I301" s="19">
        <f t="shared" si="27"/>
        <v>0</v>
      </c>
      <c r="J301" s="12">
        <f t="shared" si="23"/>
        <v>0</v>
      </c>
      <c r="K301" s="12">
        <f t="shared" si="25"/>
        <v>0</v>
      </c>
      <c r="L301" s="12">
        <f t="shared" si="24"/>
        <v>0</v>
      </c>
    </row>
    <row r="302" spans="1:12" ht="54">
      <c r="A302" s="6"/>
      <c r="B302" s="293">
        <v>152</v>
      </c>
      <c r="C302" s="294" t="s">
        <v>499</v>
      </c>
      <c r="D302" s="295" t="s">
        <v>292</v>
      </c>
      <c r="E302" s="296">
        <v>35</v>
      </c>
      <c r="F302" s="297">
        <v>42651</v>
      </c>
      <c r="G302" s="30">
        <v>1</v>
      </c>
      <c r="H302" s="19">
        <f t="shared" si="26"/>
        <v>35</v>
      </c>
      <c r="I302" s="19">
        <f t="shared" si="27"/>
        <v>0</v>
      </c>
      <c r="J302" s="12">
        <f t="shared" si="23"/>
        <v>35</v>
      </c>
      <c r="K302" s="12">
        <f t="shared" si="25"/>
        <v>0</v>
      </c>
      <c r="L302" s="12">
        <f t="shared" si="24"/>
        <v>0</v>
      </c>
    </row>
    <row r="303" spans="1:12" ht="18">
      <c r="A303" s="6"/>
      <c r="B303" s="293">
        <v>151</v>
      </c>
      <c r="C303" s="294" t="s">
        <v>500</v>
      </c>
      <c r="D303" s="295" t="s">
        <v>130</v>
      </c>
      <c r="E303" s="314">
        <v>3.72</v>
      </c>
      <c r="F303" s="297">
        <v>42650</v>
      </c>
      <c r="G303" s="30">
        <v>1</v>
      </c>
      <c r="H303" s="19">
        <f t="shared" si="26"/>
        <v>3.72</v>
      </c>
      <c r="I303" s="19">
        <f t="shared" si="27"/>
        <v>0</v>
      </c>
      <c r="J303" s="12">
        <f t="shared" si="23"/>
        <v>0</v>
      </c>
      <c r="K303" s="12">
        <f t="shared" si="25"/>
        <v>0</v>
      </c>
      <c r="L303" s="12">
        <f t="shared" si="24"/>
        <v>0</v>
      </c>
    </row>
    <row r="304" spans="1:12" ht="18">
      <c r="A304" s="6"/>
      <c r="B304" s="300">
        <v>150</v>
      </c>
      <c r="C304" s="301" t="s">
        <v>457</v>
      </c>
      <c r="D304" s="302" t="s">
        <v>132</v>
      </c>
      <c r="E304" s="308">
        <v>9.6</v>
      </c>
      <c r="F304" s="304">
        <v>42650</v>
      </c>
      <c r="G304" s="29">
        <v>0</v>
      </c>
      <c r="H304" s="27">
        <f t="shared" si="26"/>
        <v>0</v>
      </c>
      <c r="I304" s="27">
        <f t="shared" si="27"/>
        <v>9.6</v>
      </c>
      <c r="J304" s="16">
        <f t="shared" si="23"/>
        <v>0</v>
      </c>
      <c r="K304" s="16">
        <f t="shared" si="25"/>
        <v>0</v>
      </c>
      <c r="L304" s="16">
        <f t="shared" si="24"/>
        <v>0</v>
      </c>
    </row>
    <row r="305" spans="1:12" ht="18">
      <c r="A305" s="6"/>
      <c r="B305" s="300">
        <v>149</v>
      </c>
      <c r="C305" s="301" t="s">
        <v>501</v>
      </c>
      <c r="D305" s="302" t="s">
        <v>132</v>
      </c>
      <c r="E305" s="308">
        <v>3</v>
      </c>
      <c r="F305" s="304">
        <v>42649</v>
      </c>
      <c r="G305" s="29">
        <v>0</v>
      </c>
      <c r="H305" s="27">
        <f t="shared" si="26"/>
        <v>0</v>
      </c>
      <c r="I305" s="27">
        <f t="shared" si="27"/>
        <v>3</v>
      </c>
      <c r="J305" s="16">
        <f t="shared" si="23"/>
        <v>0</v>
      </c>
      <c r="K305" s="16">
        <f t="shared" si="25"/>
        <v>0</v>
      </c>
      <c r="L305" s="16">
        <f t="shared" si="24"/>
        <v>0</v>
      </c>
    </row>
    <row r="306" spans="1:12" ht="18">
      <c r="A306" s="6"/>
      <c r="B306" s="293">
        <v>148</v>
      </c>
      <c r="C306" s="294" t="s">
        <v>502</v>
      </c>
      <c r="D306" s="309" t="s">
        <v>130</v>
      </c>
      <c r="E306" s="296">
        <v>5.55</v>
      </c>
      <c r="F306" s="297">
        <v>42649</v>
      </c>
      <c r="G306" s="30">
        <v>1</v>
      </c>
      <c r="H306" s="19">
        <f t="shared" si="26"/>
        <v>5.55</v>
      </c>
      <c r="I306" s="19">
        <f t="shared" si="27"/>
        <v>0</v>
      </c>
      <c r="J306" s="12">
        <f t="shared" si="23"/>
        <v>0</v>
      </c>
      <c r="K306" s="12">
        <f t="shared" si="25"/>
        <v>0</v>
      </c>
      <c r="L306" s="12">
        <f t="shared" si="24"/>
        <v>0</v>
      </c>
    </row>
    <row r="307" spans="1:12" ht="18">
      <c r="A307" s="6"/>
      <c r="B307" s="293">
        <v>147</v>
      </c>
      <c r="C307" s="294" t="s">
        <v>503</v>
      </c>
      <c r="D307" s="309" t="s">
        <v>130</v>
      </c>
      <c r="E307" s="296">
        <v>5.18</v>
      </c>
      <c r="F307" s="297">
        <v>42647</v>
      </c>
      <c r="G307" s="30">
        <v>1</v>
      </c>
      <c r="H307" s="19">
        <f t="shared" si="26"/>
        <v>5.18</v>
      </c>
      <c r="I307" s="19">
        <f t="shared" si="27"/>
        <v>0</v>
      </c>
      <c r="J307" s="12">
        <f t="shared" si="23"/>
        <v>0</v>
      </c>
      <c r="K307" s="12">
        <f t="shared" si="25"/>
        <v>0</v>
      </c>
      <c r="L307" s="12">
        <f t="shared" si="24"/>
        <v>0</v>
      </c>
    </row>
    <row r="308" spans="1:12" ht="18">
      <c r="A308" s="6"/>
      <c r="B308" s="300">
        <v>146</v>
      </c>
      <c r="C308" s="301" t="s">
        <v>504</v>
      </c>
      <c r="D308" s="318" t="s">
        <v>132</v>
      </c>
      <c r="E308" s="308">
        <v>4.4000000000000004</v>
      </c>
      <c r="F308" s="304">
        <v>42645</v>
      </c>
      <c r="G308" s="29">
        <v>0</v>
      </c>
      <c r="H308" s="27">
        <f t="shared" si="26"/>
        <v>0</v>
      </c>
      <c r="I308" s="27">
        <f t="shared" si="27"/>
        <v>4.4000000000000004</v>
      </c>
      <c r="J308" s="16">
        <f t="shared" si="23"/>
        <v>0</v>
      </c>
      <c r="K308" s="16">
        <f t="shared" si="25"/>
        <v>0</v>
      </c>
      <c r="L308" s="16">
        <f t="shared" si="24"/>
        <v>0</v>
      </c>
    </row>
    <row r="309" spans="1:12" ht="54">
      <c r="A309" s="6"/>
      <c r="B309" s="293">
        <v>145</v>
      </c>
      <c r="C309" s="294" t="s">
        <v>505</v>
      </c>
      <c r="D309" s="295" t="s">
        <v>134</v>
      </c>
      <c r="E309" s="314">
        <v>2.8260000000000001</v>
      </c>
      <c r="F309" s="297">
        <v>42644</v>
      </c>
      <c r="G309" s="32">
        <v>1</v>
      </c>
      <c r="H309" s="19">
        <f t="shared" si="26"/>
        <v>2.8260000000000001</v>
      </c>
      <c r="I309" s="19">
        <f t="shared" si="27"/>
        <v>0</v>
      </c>
      <c r="J309" s="12">
        <f t="shared" si="23"/>
        <v>0</v>
      </c>
      <c r="K309" s="12">
        <f t="shared" si="25"/>
        <v>0</v>
      </c>
      <c r="L309" s="12">
        <f t="shared" si="24"/>
        <v>0</v>
      </c>
    </row>
    <row r="310" spans="1:12" ht="18">
      <c r="A310" s="6"/>
      <c r="B310" s="300">
        <v>144</v>
      </c>
      <c r="C310" s="301" t="s">
        <v>506</v>
      </c>
      <c r="D310" s="318" t="s">
        <v>132</v>
      </c>
      <c r="E310" s="308">
        <v>2.4</v>
      </c>
      <c r="F310" s="304">
        <v>42644</v>
      </c>
      <c r="G310" s="29">
        <v>0</v>
      </c>
      <c r="H310" s="27">
        <f t="shared" si="26"/>
        <v>0</v>
      </c>
      <c r="I310" s="27">
        <f t="shared" si="27"/>
        <v>2.4</v>
      </c>
      <c r="J310" s="16">
        <f t="shared" si="23"/>
        <v>0</v>
      </c>
      <c r="K310" s="16">
        <f t="shared" si="25"/>
        <v>0</v>
      </c>
      <c r="L310" s="16">
        <f t="shared" si="24"/>
        <v>0</v>
      </c>
    </row>
    <row r="311" spans="1:12" ht="18">
      <c r="A311" s="6"/>
      <c r="B311" s="300">
        <v>143</v>
      </c>
      <c r="C311" s="301" t="s">
        <v>507</v>
      </c>
      <c r="D311" s="318" t="s">
        <v>132</v>
      </c>
      <c r="E311" s="308">
        <v>1.6</v>
      </c>
      <c r="F311" s="304">
        <v>42644</v>
      </c>
      <c r="G311" s="29">
        <v>0</v>
      </c>
      <c r="H311" s="27">
        <f t="shared" si="26"/>
        <v>0</v>
      </c>
      <c r="I311" s="27">
        <f t="shared" si="27"/>
        <v>1.6</v>
      </c>
      <c r="J311" s="16">
        <f t="shared" si="23"/>
        <v>0</v>
      </c>
      <c r="K311" s="16">
        <f t="shared" si="25"/>
        <v>0</v>
      </c>
      <c r="L311" s="16">
        <f t="shared" si="24"/>
        <v>0</v>
      </c>
    </row>
    <row r="312" spans="1:12" ht="18">
      <c r="A312" s="6"/>
      <c r="B312" s="300">
        <v>142</v>
      </c>
      <c r="C312" s="301" t="s">
        <v>508</v>
      </c>
      <c r="D312" s="318" t="s">
        <v>137</v>
      </c>
      <c r="E312" s="303">
        <v>24</v>
      </c>
      <c r="F312" s="304">
        <v>42644</v>
      </c>
      <c r="G312" s="29">
        <v>0</v>
      </c>
      <c r="H312" s="27">
        <f t="shared" si="26"/>
        <v>0</v>
      </c>
      <c r="I312" s="27">
        <f t="shared" si="27"/>
        <v>24</v>
      </c>
      <c r="J312" s="16">
        <f t="shared" si="23"/>
        <v>0</v>
      </c>
      <c r="K312" s="16">
        <f t="shared" si="25"/>
        <v>0</v>
      </c>
      <c r="L312" s="16">
        <f t="shared" si="24"/>
        <v>0</v>
      </c>
    </row>
    <row r="313" spans="1:12" ht="18">
      <c r="A313" s="6"/>
      <c r="B313" s="293">
        <v>141</v>
      </c>
      <c r="C313" s="294" t="s">
        <v>509</v>
      </c>
      <c r="D313" s="309" t="s">
        <v>137</v>
      </c>
      <c r="E313" s="314">
        <v>12.8</v>
      </c>
      <c r="F313" s="297">
        <v>42643</v>
      </c>
      <c r="G313" s="32">
        <v>1</v>
      </c>
      <c r="H313" s="19">
        <f t="shared" si="26"/>
        <v>12.8</v>
      </c>
      <c r="I313" s="19">
        <f t="shared" si="27"/>
        <v>0</v>
      </c>
      <c r="J313" s="12">
        <f t="shared" si="23"/>
        <v>0</v>
      </c>
      <c r="K313" s="12">
        <f t="shared" si="25"/>
        <v>0</v>
      </c>
      <c r="L313" s="12">
        <f t="shared" si="24"/>
        <v>0</v>
      </c>
    </row>
    <row r="314" spans="1:12" ht="18">
      <c r="A314" s="6"/>
      <c r="B314" s="300">
        <v>140</v>
      </c>
      <c r="C314" s="301" t="s">
        <v>444</v>
      </c>
      <c r="D314" s="318" t="s">
        <v>132</v>
      </c>
      <c r="E314" s="308">
        <v>3</v>
      </c>
      <c r="F314" s="304">
        <v>42642</v>
      </c>
      <c r="G314" s="29">
        <v>0</v>
      </c>
      <c r="H314" s="27">
        <f t="shared" si="26"/>
        <v>0</v>
      </c>
      <c r="I314" s="27">
        <f t="shared" si="27"/>
        <v>3</v>
      </c>
      <c r="J314" s="16">
        <f t="shared" si="23"/>
        <v>0</v>
      </c>
      <c r="K314" s="16">
        <f t="shared" si="25"/>
        <v>0</v>
      </c>
      <c r="L314" s="16">
        <f t="shared" si="24"/>
        <v>0</v>
      </c>
    </row>
    <row r="315" spans="1:12" ht="18">
      <c r="A315" s="6"/>
      <c r="B315" s="300">
        <v>139</v>
      </c>
      <c r="C315" s="301" t="s">
        <v>471</v>
      </c>
      <c r="D315" s="302" t="s">
        <v>132</v>
      </c>
      <c r="E315" s="308">
        <v>6.3</v>
      </c>
      <c r="F315" s="304">
        <v>42642</v>
      </c>
      <c r="G315" s="29">
        <v>0</v>
      </c>
      <c r="H315" s="27">
        <f t="shared" si="26"/>
        <v>0</v>
      </c>
      <c r="I315" s="27">
        <f t="shared" si="27"/>
        <v>6.3</v>
      </c>
      <c r="J315" s="16">
        <f t="shared" si="23"/>
        <v>0</v>
      </c>
      <c r="K315" s="16">
        <f t="shared" si="25"/>
        <v>0</v>
      </c>
      <c r="L315" s="16">
        <f t="shared" si="24"/>
        <v>0</v>
      </c>
    </row>
    <row r="316" spans="1:12" ht="18">
      <c r="A316" s="6"/>
      <c r="B316" s="300">
        <v>138</v>
      </c>
      <c r="C316" s="301" t="s">
        <v>312</v>
      </c>
      <c r="D316" s="302" t="s">
        <v>132</v>
      </c>
      <c r="E316" s="308">
        <v>13.2</v>
      </c>
      <c r="F316" s="304">
        <v>42637</v>
      </c>
      <c r="G316" s="29">
        <v>0</v>
      </c>
      <c r="H316" s="27">
        <f t="shared" si="26"/>
        <v>0</v>
      </c>
      <c r="I316" s="27">
        <f t="shared" si="27"/>
        <v>13.2</v>
      </c>
      <c r="J316" s="16">
        <f t="shared" si="23"/>
        <v>0</v>
      </c>
      <c r="K316" s="16">
        <f t="shared" si="25"/>
        <v>0</v>
      </c>
      <c r="L316" s="16">
        <f t="shared" si="24"/>
        <v>0</v>
      </c>
    </row>
    <row r="317" spans="1:12" ht="18">
      <c r="A317" s="6"/>
      <c r="B317" s="300">
        <v>137</v>
      </c>
      <c r="C317" s="301" t="s">
        <v>325</v>
      </c>
      <c r="D317" s="302" t="s">
        <v>130</v>
      </c>
      <c r="E317" s="327">
        <v>6.1920000000000002</v>
      </c>
      <c r="F317" s="304">
        <v>42636</v>
      </c>
      <c r="G317" s="29">
        <v>0</v>
      </c>
      <c r="H317" s="27">
        <f t="shared" si="26"/>
        <v>0</v>
      </c>
      <c r="I317" s="27">
        <f t="shared" si="27"/>
        <v>6.1920000000000002</v>
      </c>
      <c r="J317" s="16">
        <f t="shared" si="23"/>
        <v>0</v>
      </c>
      <c r="K317" s="16">
        <f t="shared" si="25"/>
        <v>0</v>
      </c>
      <c r="L317" s="16">
        <f t="shared" si="24"/>
        <v>0</v>
      </c>
    </row>
    <row r="318" spans="1:12" ht="18">
      <c r="A318" s="6"/>
      <c r="B318" s="300">
        <v>136</v>
      </c>
      <c r="C318" s="301" t="s">
        <v>470</v>
      </c>
      <c r="D318" s="302" t="s">
        <v>132</v>
      </c>
      <c r="E318" s="308">
        <v>9</v>
      </c>
      <c r="F318" s="304">
        <v>42636</v>
      </c>
      <c r="G318" s="29">
        <v>0</v>
      </c>
      <c r="H318" s="27">
        <f t="shared" si="26"/>
        <v>0</v>
      </c>
      <c r="I318" s="27">
        <f t="shared" si="27"/>
        <v>9</v>
      </c>
      <c r="J318" s="16">
        <f t="shared" si="23"/>
        <v>0</v>
      </c>
      <c r="K318" s="16">
        <f t="shared" si="25"/>
        <v>0</v>
      </c>
      <c r="L318" s="16">
        <f t="shared" si="24"/>
        <v>0</v>
      </c>
    </row>
    <row r="319" spans="1:12" ht="54">
      <c r="A319" s="6"/>
      <c r="B319" s="300">
        <v>135</v>
      </c>
      <c r="C319" s="301" t="s">
        <v>510</v>
      </c>
      <c r="D319" s="302" t="s">
        <v>134</v>
      </c>
      <c r="E319" s="308">
        <v>1.41</v>
      </c>
      <c r="F319" s="304">
        <v>42635</v>
      </c>
      <c r="G319" s="29">
        <v>0</v>
      </c>
      <c r="H319" s="27">
        <f t="shared" si="26"/>
        <v>0</v>
      </c>
      <c r="I319" s="27">
        <f t="shared" si="27"/>
        <v>1.41</v>
      </c>
      <c r="J319" s="16">
        <f t="shared" si="23"/>
        <v>0</v>
      </c>
      <c r="K319" s="16">
        <f t="shared" si="25"/>
        <v>0</v>
      </c>
      <c r="L319" s="16">
        <f t="shared" si="24"/>
        <v>0</v>
      </c>
    </row>
    <row r="320" spans="1:12" ht="18">
      <c r="A320" s="6"/>
      <c r="B320" s="293">
        <v>134</v>
      </c>
      <c r="C320" s="294" t="s">
        <v>511</v>
      </c>
      <c r="D320" s="309" t="s">
        <v>130</v>
      </c>
      <c r="E320" s="314">
        <v>6.492</v>
      </c>
      <c r="F320" s="297">
        <v>42623</v>
      </c>
      <c r="G320" s="32">
        <v>1</v>
      </c>
      <c r="H320" s="19">
        <f t="shared" si="26"/>
        <v>6.492</v>
      </c>
      <c r="I320" s="19">
        <f t="shared" si="27"/>
        <v>0</v>
      </c>
      <c r="J320" s="12">
        <f t="shared" si="23"/>
        <v>0</v>
      </c>
      <c r="K320" s="12">
        <f t="shared" si="25"/>
        <v>0</v>
      </c>
      <c r="L320" s="12">
        <f t="shared" si="24"/>
        <v>0</v>
      </c>
    </row>
    <row r="321" spans="1:12" ht="18">
      <c r="A321" s="6"/>
      <c r="B321" s="300">
        <v>133</v>
      </c>
      <c r="C321" s="301" t="s">
        <v>512</v>
      </c>
      <c r="D321" s="302" t="s">
        <v>132</v>
      </c>
      <c r="E321" s="308">
        <v>10</v>
      </c>
      <c r="F321" s="304">
        <v>42622</v>
      </c>
      <c r="G321" s="29">
        <v>0</v>
      </c>
      <c r="H321" s="27">
        <f t="shared" si="26"/>
        <v>0</v>
      </c>
      <c r="I321" s="27">
        <f t="shared" si="27"/>
        <v>10</v>
      </c>
      <c r="J321" s="16">
        <f t="shared" si="23"/>
        <v>0</v>
      </c>
      <c r="K321" s="16">
        <f t="shared" si="25"/>
        <v>0</v>
      </c>
      <c r="L321" s="16">
        <f t="shared" si="24"/>
        <v>0</v>
      </c>
    </row>
    <row r="322" spans="1:12" ht="18">
      <c r="A322" s="6"/>
      <c r="B322" s="293">
        <v>132</v>
      </c>
      <c r="C322" s="294" t="s">
        <v>504</v>
      </c>
      <c r="D322" s="309" t="s">
        <v>132</v>
      </c>
      <c r="E322" s="296">
        <v>8.4</v>
      </c>
      <c r="F322" s="297">
        <v>42622</v>
      </c>
      <c r="G322" s="32">
        <v>1</v>
      </c>
      <c r="H322" s="19">
        <f t="shared" si="26"/>
        <v>8.4</v>
      </c>
      <c r="I322" s="19">
        <f t="shared" si="27"/>
        <v>0</v>
      </c>
      <c r="J322" s="12">
        <f t="shared" si="23"/>
        <v>0</v>
      </c>
      <c r="K322" s="12">
        <f t="shared" si="25"/>
        <v>0</v>
      </c>
      <c r="L322" s="12">
        <f t="shared" si="24"/>
        <v>0</v>
      </c>
    </row>
    <row r="323" spans="1:12" ht="18">
      <c r="A323" s="6"/>
      <c r="B323" s="300">
        <v>131</v>
      </c>
      <c r="C323" s="301" t="s">
        <v>513</v>
      </c>
      <c r="D323" s="302" t="s">
        <v>132</v>
      </c>
      <c r="E323" s="303">
        <v>6.75</v>
      </c>
      <c r="F323" s="304">
        <v>42621</v>
      </c>
      <c r="G323" s="29">
        <v>0</v>
      </c>
      <c r="H323" s="27">
        <f t="shared" si="26"/>
        <v>0</v>
      </c>
      <c r="I323" s="27">
        <f t="shared" si="27"/>
        <v>6.75</v>
      </c>
      <c r="J323" s="16">
        <f t="shared" si="23"/>
        <v>0</v>
      </c>
      <c r="K323" s="16">
        <f t="shared" si="25"/>
        <v>0</v>
      </c>
      <c r="L323" s="16">
        <f t="shared" si="24"/>
        <v>0</v>
      </c>
    </row>
    <row r="324" spans="1:12" ht="18">
      <c r="A324" s="6"/>
      <c r="B324" s="300">
        <v>130</v>
      </c>
      <c r="C324" s="301" t="s">
        <v>444</v>
      </c>
      <c r="D324" s="302" t="s">
        <v>132</v>
      </c>
      <c r="E324" s="308">
        <v>8</v>
      </c>
      <c r="F324" s="304">
        <v>42621</v>
      </c>
      <c r="G324" s="29">
        <v>0</v>
      </c>
      <c r="H324" s="27">
        <f t="shared" si="26"/>
        <v>0</v>
      </c>
      <c r="I324" s="27">
        <f t="shared" si="27"/>
        <v>8</v>
      </c>
      <c r="J324" s="16">
        <f t="shared" si="23"/>
        <v>0</v>
      </c>
      <c r="K324" s="16">
        <f t="shared" si="25"/>
        <v>0</v>
      </c>
      <c r="L324" s="16">
        <f t="shared" si="24"/>
        <v>0</v>
      </c>
    </row>
    <row r="325" spans="1:12" ht="36">
      <c r="A325" s="6"/>
      <c r="B325" s="300">
        <v>129</v>
      </c>
      <c r="C325" s="301" t="s">
        <v>514</v>
      </c>
      <c r="D325" s="302" t="s">
        <v>134</v>
      </c>
      <c r="E325" s="303">
        <v>1.415</v>
      </c>
      <c r="F325" s="304">
        <v>42621</v>
      </c>
      <c r="G325" s="29">
        <v>0</v>
      </c>
      <c r="H325" s="27">
        <f t="shared" si="26"/>
        <v>0</v>
      </c>
      <c r="I325" s="27">
        <f t="shared" si="27"/>
        <v>1.415</v>
      </c>
      <c r="J325" s="16">
        <f t="shared" si="23"/>
        <v>0</v>
      </c>
      <c r="K325" s="16">
        <f t="shared" si="25"/>
        <v>0</v>
      </c>
      <c r="L325" s="16">
        <f t="shared" si="24"/>
        <v>0</v>
      </c>
    </row>
    <row r="326" spans="1:12" ht="36">
      <c r="A326" s="6"/>
      <c r="B326" s="293">
        <v>128</v>
      </c>
      <c r="C326" s="294" t="s">
        <v>515</v>
      </c>
      <c r="D326" s="309" t="s">
        <v>130</v>
      </c>
      <c r="E326" s="296">
        <v>10.43</v>
      </c>
      <c r="F326" s="297">
        <v>42621</v>
      </c>
      <c r="G326" s="30">
        <v>1</v>
      </c>
      <c r="H326" s="19">
        <f t="shared" si="26"/>
        <v>10.43</v>
      </c>
      <c r="I326" s="19">
        <f t="shared" si="27"/>
        <v>0</v>
      </c>
      <c r="J326" s="12">
        <f t="shared" si="23"/>
        <v>0</v>
      </c>
      <c r="K326" s="12">
        <f t="shared" si="25"/>
        <v>0</v>
      </c>
      <c r="L326" s="12">
        <f t="shared" si="24"/>
        <v>0</v>
      </c>
    </row>
    <row r="327" spans="1:12" ht="18">
      <c r="A327" s="6"/>
      <c r="B327" s="300">
        <v>127</v>
      </c>
      <c r="C327" s="301" t="s">
        <v>507</v>
      </c>
      <c r="D327" s="318" t="s">
        <v>132</v>
      </c>
      <c r="E327" s="308">
        <v>8.4</v>
      </c>
      <c r="F327" s="304">
        <v>42621</v>
      </c>
      <c r="G327" s="29">
        <v>0</v>
      </c>
      <c r="H327" s="27">
        <f t="shared" si="26"/>
        <v>0</v>
      </c>
      <c r="I327" s="27">
        <f t="shared" si="27"/>
        <v>8.4</v>
      </c>
      <c r="J327" s="16">
        <f t="shared" si="23"/>
        <v>0</v>
      </c>
      <c r="K327" s="16">
        <f t="shared" si="25"/>
        <v>0</v>
      </c>
      <c r="L327" s="16">
        <f t="shared" si="24"/>
        <v>0</v>
      </c>
    </row>
    <row r="328" spans="1:12" ht="18">
      <c r="A328" s="6"/>
      <c r="B328" s="293">
        <v>126</v>
      </c>
      <c r="C328" s="294" t="s">
        <v>460</v>
      </c>
      <c r="D328" s="309" t="s">
        <v>130</v>
      </c>
      <c r="E328" s="296">
        <v>6.55</v>
      </c>
      <c r="F328" s="297">
        <v>42615</v>
      </c>
      <c r="G328" s="30">
        <v>1</v>
      </c>
      <c r="H328" s="19">
        <f t="shared" si="26"/>
        <v>6.55</v>
      </c>
      <c r="I328" s="19">
        <f t="shared" si="27"/>
        <v>0</v>
      </c>
      <c r="J328" s="12">
        <f t="shared" si="23"/>
        <v>0</v>
      </c>
      <c r="K328" s="12">
        <f t="shared" si="25"/>
        <v>0</v>
      </c>
      <c r="L328" s="12">
        <f t="shared" si="24"/>
        <v>0</v>
      </c>
    </row>
    <row r="329" spans="1:12" ht="18">
      <c r="A329" s="6"/>
      <c r="B329" s="293">
        <v>125</v>
      </c>
      <c r="C329" s="294" t="s">
        <v>469</v>
      </c>
      <c r="D329" s="309" t="s">
        <v>130</v>
      </c>
      <c r="E329" s="296">
        <v>20.27</v>
      </c>
      <c r="F329" s="297">
        <v>42615</v>
      </c>
      <c r="G329" s="30">
        <v>1</v>
      </c>
      <c r="H329" s="19">
        <f t="shared" si="26"/>
        <v>20.27</v>
      </c>
      <c r="I329" s="19">
        <f t="shared" si="27"/>
        <v>0</v>
      </c>
      <c r="J329" s="12">
        <f t="shared" si="23"/>
        <v>0</v>
      </c>
      <c r="K329" s="12">
        <f t="shared" si="25"/>
        <v>0</v>
      </c>
      <c r="L329" s="12">
        <f t="shared" si="24"/>
        <v>0</v>
      </c>
    </row>
    <row r="330" spans="1:12" ht="18">
      <c r="A330" s="6"/>
      <c r="B330" s="300">
        <v>124</v>
      </c>
      <c r="C330" s="301" t="s">
        <v>114</v>
      </c>
      <c r="D330" s="318" t="s">
        <v>132</v>
      </c>
      <c r="E330" s="308">
        <v>6</v>
      </c>
      <c r="F330" s="304">
        <v>42615</v>
      </c>
      <c r="G330" s="29">
        <v>0</v>
      </c>
      <c r="H330" s="27">
        <f t="shared" si="26"/>
        <v>0</v>
      </c>
      <c r="I330" s="27">
        <f t="shared" si="27"/>
        <v>6</v>
      </c>
      <c r="J330" s="16">
        <f t="shared" si="23"/>
        <v>0</v>
      </c>
      <c r="K330" s="16">
        <f t="shared" si="25"/>
        <v>0</v>
      </c>
      <c r="L330" s="16">
        <f t="shared" si="24"/>
        <v>0</v>
      </c>
    </row>
    <row r="331" spans="1:12" ht="18">
      <c r="A331" s="6"/>
      <c r="B331" s="293">
        <v>123</v>
      </c>
      <c r="C331" s="294" t="s">
        <v>516</v>
      </c>
      <c r="D331" s="309" t="s">
        <v>130</v>
      </c>
      <c r="E331" s="296">
        <v>8.9600000000000009</v>
      </c>
      <c r="F331" s="297">
        <v>42615</v>
      </c>
      <c r="G331" s="32">
        <v>1</v>
      </c>
      <c r="H331" s="19">
        <f t="shared" si="26"/>
        <v>8.9600000000000009</v>
      </c>
      <c r="I331" s="19">
        <f t="shared" si="27"/>
        <v>0</v>
      </c>
      <c r="J331" s="12">
        <f t="shared" si="23"/>
        <v>0</v>
      </c>
      <c r="K331" s="12">
        <f t="shared" si="25"/>
        <v>0</v>
      </c>
      <c r="L331" s="12">
        <f t="shared" si="24"/>
        <v>0</v>
      </c>
    </row>
    <row r="332" spans="1:12" ht="18">
      <c r="A332" s="6"/>
      <c r="B332" s="300">
        <v>122</v>
      </c>
      <c r="C332" s="301" t="s">
        <v>512</v>
      </c>
      <c r="D332" s="318" t="s">
        <v>132</v>
      </c>
      <c r="E332" s="308">
        <v>10</v>
      </c>
      <c r="F332" s="304">
        <v>42608</v>
      </c>
      <c r="G332" s="29">
        <v>0</v>
      </c>
      <c r="H332" s="27">
        <f t="shared" si="26"/>
        <v>0</v>
      </c>
      <c r="I332" s="27">
        <f t="shared" si="27"/>
        <v>10</v>
      </c>
      <c r="J332" s="16">
        <f t="shared" si="23"/>
        <v>0</v>
      </c>
      <c r="K332" s="16">
        <f t="shared" si="25"/>
        <v>0</v>
      </c>
      <c r="L332" s="16">
        <f t="shared" si="24"/>
        <v>0</v>
      </c>
    </row>
    <row r="333" spans="1:12" ht="18">
      <c r="A333" s="6"/>
      <c r="B333" s="300">
        <v>121</v>
      </c>
      <c r="C333" s="301" t="s">
        <v>517</v>
      </c>
      <c r="D333" s="318" t="s">
        <v>132</v>
      </c>
      <c r="E333" s="308">
        <v>14.75</v>
      </c>
      <c r="F333" s="304">
        <v>42608</v>
      </c>
      <c r="G333" s="29">
        <v>0</v>
      </c>
      <c r="H333" s="27">
        <f t="shared" si="26"/>
        <v>0</v>
      </c>
      <c r="I333" s="27">
        <f t="shared" si="27"/>
        <v>14.75</v>
      </c>
      <c r="J333" s="16">
        <f t="shared" si="23"/>
        <v>0</v>
      </c>
      <c r="K333" s="16">
        <f t="shared" si="25"/>
        <v>0</v>
      </c>
      <c r="L333" s="16">
        <f t="shared" si="24"/>
        <v>0</v>
      </c>
    </row>
    <row r="334" spans="1:12" ht="18">
      <c r="A334" s="6"/>
      <c r="B334" s="300">
        <v>120</v>
      </c>
      <c r="C334" s="301" t="s">
        <v>444</v>
      </c>
      <c r="D334" s="318" t="s">
        <v>132</v>
      </c>
      <c r="E334" s="308">
        <v>4</v>
      </c>
      <c r="F334" s="304">
        <v>42608</v>
      </c>
      <c r="G334" s="29">
        <v>0</v>
      </c>
      <c r="H334" s="27">
        <f t="shared" si="26"/>
        <v>0</v>
      </c>
      <c r="I334" s="27">
        <f t="shared" si="27"/>
        <v>4</v>
      </c>
      <c r="J334" s="16">
        <f t="shared" si="23"/>
        <v>0</v>
      </c>
      <c r="K334" s="16">
        <f t="shared" si="25"/>
        <v>0</v>
      </c>
      <c r="L334" s="16">
        <f t="shared" si="24"/>
        <v>0</v>
      </c>
    </row>
    <row r="335" spans="1:12" ht="18">
      <c r="A335" s="6"/>
      <c r="B335" s="300">
        <v>119</v>
      </c>
      <c r="C335" s="301" t="s">
        <v>518</v>
      </c>
      <c r="D335" s="318" t="s">
        <v>132</v>
      </c>
      <c r="E335" s="327">
        <v>5</v>
      </c>
      <c r="F335" s="304">
        <v>42607</v>
      </c>
      <c r="G335" s="29">
        <v>0</v>
      </c>
      <c r="H335" s="27">
        <f t="shared" si="26"/>
        <v>0</v>
      </c>
      <c r="I335" s="27">
        <f t="shared" si="27"/>
        <v>5</v>
      </c>
      <c r="J335" s="16">
        <f t="shared" ref="J335:J398" si="28">OR(IF((D335="DG"),1,0),IF(D335="DG/FO",1,0),IF(D335="DG/FO/Linyit",1,0))*E335</f>
        <v>0</v>
      </c>
      <c r="K335" s="16">
        <f t="shared" si="25"/>
        <v>0</v>
      </c>
      <c r="L335" s="16">
        <f t="shared" ref="L335:L398" si="29">(IF((D335="LİNYİT"),1,0))*E335</f>
        <v>0</v>
      </c>
    </row>
    <row r="336" spans="1:12" ht="54">
      <c r="A336" s="6"/>
      <c r="B336" s="293">
        <v>118</v>
      </c>
      <c r="C336" s="294" t="s">
        <v>143</v>
      </c>
      <c r="D336" s="309" t="s">
        <v>131</v>
      </c>
      <c r="E336" s="311">
        <v>2.0219999999999998</v>
      </c>
      <c r="F336" s="297">
        <v>42601</v>
      </c>
      <c r="G336" s="30">
        <v>1</v>
      </c>
      <c r="H336" s="19">
        <f t="shared" si="26"/>
        <v>2.0219999999999998</v>
      </c>
      <c r="I336" s="19">
        <f t="shared" si="27"/>
        <v>0</v>
      </c>
      <c r="J336" s="12">
        <f t="shared" si="28"/>
        <v>2.0219999999999998</v>
      </c>
      <c r="K336" s="12">
        <f t="shared" ref="K336:K399" si="30">OR(IF((D336="KÖMÜR+DİĞER"),1,0),IF(D336="KÖMÜR",1,0))*E336</f>
        <v>0</v>
      </c>
      <c r="L336" s="12">
        <f t="shared" si="29"/>
        <v>0</v>
      </c>
    </row>
    <row r="337" spans="1:12" ht="18">
      <c r="A337" s="6"/>
      <c r="B337" s="300">
        <v>117</v>
      </c>
      <c r="C337" s="301" t="s">
        <v>114</v>
      </c>
      <c r="D337" s="318" t="s">
        <v>132</v>
      </c>
      <c r="E337" s="308">
        <v>18</v>
      </c>
      <c r="F337" s="304">
        <v>42594</v>
      </c>
      <c r="G337" s="29">
        <v>0</v>
      </c>
      <c r="H337" s="27">
        <f t="shared" si="26"/>
        <v>0</v>
      </c>
      <c r="I337" s="27">
        <f t="shared" si="27"/>
        <v>18</v>
      </c>
      <c r="J337" s="16">
        <f t="shared" si="28"/>
        <v>0</v>
      </c>
      <c r="K337" s="16">
        <f t="shared" si="30"/>
        <v>0</v>
      </c>
      <c r="L337" s="16">
        <f t="shared" si="29"/>
        <v>0</v>
      </c>
    </row>
    <row r="338" spans="1:12" ht="18">
      <c r="A338" s="6"/>
      <c r="B338" s="293">
        <v>116</v>
      </c>
      <c r="C338" s="294" t="s">
        <v>455</v>
      </c>
      <c r="D338" s="309" t="s">
        <v>132</v>
      </c>
      <c r="E338" s="296">
        <v>12</v>
      </c>
      <c r="F338" s="297">
        <v>42594</v>
      </c>
      <c r="G338" s="30">
        <v>1</v>
      </c>
      <c r="H338" s="19">
        <f t="shared" si="26"/>
        <v>12</v>
      </c>
      <c r="I338" s="19">
        <f t="shared" si="27"/>
        <v>0</v>
      </c>
      <c r="J338" s="12">
        <f t="shared" si="28"/>
        <v>0</v>
      </c>
      <c r="K338" s="12">
        <f t="shared" si="30"/>
        <v>0</v>
      </c>
      <c r="L338" s="12">
        <f t="shared" si="29"/>
        <v>0</v>
      </c>
    </row>
    <row r="339" spans="1:12" ht="72">
      <c r="A339" s="6"/>
      <c r="B339" s="293">
        <v>115</v>
      </c>
      <c r="C339" s="294" t="s">
        <v>519</v>
      </c>
      <c r="D339" s="295" t="s">
        <v>141</v>
      </c>
      <c r="E339" s="296">
        <v>700</v>
      </c>
      <c r="F339" s="297">
        <v>42593</v>
      </c>
      <c r="G339" s="30">
        <v>1</v>
      </c>
      <c r="H339" s="19">
        <f t="shared" si="26"/>
        <v>700</v>
      </c>
      <c r="I339" s="19">
        <f t="shared" si="27"/>
        <v>0</v>
      </c>
      <c r="J339" s="12">
        <f t="shared" si="28"/>
        <v>0</v>
      </c>
      <c r="K339" s="12">
        <f t="shared" si="30"/>
        <v>700</v>
      </c>
      <c r="L339" s="12">
        <f t="shared" si="29"/>
        <v>0</v>
      </c>
    </row>
    <row r="340" spans="1:12" ht="18">
      <c r="A340" s="6"/>
      <c r="B340" s="300">
        <v>114</v>
      </c>
      <c r="C340" s="301" t="s">
        <v>152</v>
      </c>
      <c r="D340" s="318" t="s">
        <v>132</v>
      </c>
      <c r="E340" s="308">
        <v>18</v>
      </c>
      <c r="F340" s="304">
        <v>42587</v>
      </c>
      <c r="G340" s="29">
        <v>0</v>
      </c>
      <c r="H340" s="27">
        <f t="shared" si="26"/>
        <v>0</v>
      </c>
      <c r="I340" s="27">
        <f t="shared" si="27"/>
        <v>18</v>
      </c>
      <c r="J340" s="16">
        <f t="shared" si="28"/>
        <v>0</v>
      </c>
      <c r="K340" s="16">
        <f t="shared" si="30"/>
        <v>0</v>
      </c>
      <c r="L340" s="16">
        <f t="shared" si="29"/>
        <v>0</v>
      </c>
    </row>
    <row r="341" spans="1:12" ht="18">
      <c r="A341" s="6"/>
      <c r="B341" s="300">
        <v>113</v>
      </c>
      <c r="C341" s="301" t="s">
        <v>406</v>
      </c>
      <c r="D341" s="318" t="s">
        <v>132</v>
      </c>
      <c r="E341" s="308">
        <v>2.5</v>
      </c>
      <c r="F341" s="304">
        <v>42582</v>
      </c>
      <c r="G341" s="29">
        <v>0</v>
      </c>
      <c r="H341" s="27">
        <f t="shared" si="26"/>
        <v>0</v>
      </c>
      <c r="I341" s="27">
        <f t="shared" si="27"/>
        <v>2.5</v>
      </c>
      <c r="J341" s="16">
        <f t="shared" si="28"/>
        <v>0</v>
      </c>
      <c r="K341" s="16">
        <f t="shared" si="30"/>
        <v>0</v>
      </c>
      <c r="L341" s="16">
        <f t="shared" si="29"/>
        <v>0</v>
      </c>
    </row>
    <row r="342" spans="1:12" ht="18">
      <c r="A342" s="6"/>
      <c r="B342" s="300">
        <v>112</v>
      </c>
      <c r="C342" s="301" t="s">
        <v>462</v>
      </c>
      <c r="D342" s="318" t="s">
        <v>132</v>
      </c>
      <c r="E342" s="349">
        <v>2.7083300000000001</v>
      </c>
      <c r="F342" s="304">
        <v>42581</v>
      </c>
      <c r="G342" s="29">
        <v>0</v>
      </c>
      <c r="H342" s="27">
        <f t="shared" si="26"/>
        <v>0</v>
      </c>
      <c r="I342" s="27">
        <f t="shared" si="27"/>
        <v>2.7083300000000001</v>
      </c>
      <c r="J342" s="16">
        <f t="shared" si="28"/>
        <v>0</v>
      </c>
      <c r="K342" s="16">
        <f t="shared" si="30"/>
        <v>0</v>
      </c>
      <c r="L342" s="16">
        <f t="shared" si="29"/>
        <v>0</v>
      </c>
    </row>
    <row r="343" spans="1:12" ht="18">
      <c r="A343" s="6"/>
      <c r="B343" s="300">
        <v>111</v>
      </c>
      <c r="C343" s="301" t="s">
        <v>521</v>
      </c>
      <c r="D343" s="318" t="s">
        <v>132</v>
      </c>
      <c r="E343" s="308">
        <v>30</v>
      </c>
      <c r="F343" s="304">
        <v>42580</v>
      </c>
      <c r="G343" s="29">
        <v>0</v>
      </c>
      <c r="H343" s="27">
        <f t="shared" ref="H343:H406" si="31">E343*G343</f>
        <v>0</v>
      </c>
      <c r="I343" s="27">
        <f t="shared" ref="I343:I406" si="32">E343-H343</f>
        <v>30</v>
      </c>
      <c r="J343" s="16">
        <f t="shared" si="28"/>
        <v>0</v>
      </c>
      <c r="K343" s="16">
        <f t="shared" si="30"/>
        <v>0</v>
      </c>
      <c r="L343" s="16">
        <f t="shared" si="29"/>
        <v>0</v>
      </c>
    </row>
    <row r="344" spans="1:12" ht="36">
      <c r="A344" s="6"/>
      <c r="B344" s="293">
        <v>110</v>
      </c>
      <c r="C344" s="294" t="s">
        <v>522</v>
      </c>
      <c r="D344" s="309" t="s">
        <v>130</v>
      </c>
      <c r="E344" s="314">
        <v>0.70499999999999996</v>
      </c>
      <c r="F344" s="297">
        <v>42580</v>
      </c>
      <c r="G344" s="32">
        <v>1</v>
      </c>
      <c r="H344" s="19">
        <f t="shared" si="31"/>
        <v>0.70499999999999996</v>
      </c>
      <c r="I344" s="19">
        <f t="shared" si="32"/>
        <v>0</v>
      </c>
      <c r="J344" s="12">
        <f t="shared" si="28"/>
        <v>0</v>
      </c>
      <c r="K344" s="12">
        <f t="shared" si="30"/>
        <v>0</v>
      </c>
      <c r="L344" s="12">
        <f t="shared" si="29"/>
        <v>0</v>
      </c>
    </row>
    <row r="345" spans="1:12" ht="18">
      <c r="A345" s="6"/>
      <c r="B345" s="300">
        <v>109</v>
      </c>
      <c r="C345" s="301" t="s">
        <v>512</v>
      </c>
      <c r="D345" s="318" t="s">
        <v>132</v>
      </c>
      <c r="E345" s="308">
        <v>10</v>
      </c>
      <c r="F345" s="304">
        <v>42580</v>
      </c>
      <c r="G345" s="29">
        <v>0</v>
      </c>
      <c r="H345" s="27">
        <f t="shared" si="31"/>
        <v>0</v>
      </c>
      <c r="I345" s="27">
        <f t="shared" si="32"/>
        <v>10</v>
      </c>
      <c r="J345" s="16">
        <f t="shared" si="28"/>
        <v>0</v>
      </c>
      <c r="K345" s="16">
        <f t="shared" si="30"/>
        <v>0</v>
      </c>
      <c r="L345" s="16">
        <f t="shared" si="29"/>
        <v>0</v>
      </c>
    </row>
    <row r="346" spans="1:12" ht="54">
      <c r="A346" s="6"/>
      <c r="B346" s="300">
        <v>108</v>
      </c>
      <c r="C346" s="301" t="s">
        <v>523</v>
      </c>
      <c r="D346" s="302" t="s">
        <v>524</v>
      </c>
      <c r="E346" s="308">
        <v>1.2</v>
      </c>
      <c r="F346" s="304">
        <v>42580</v>
      </c>
      <c r="G346" s="29">
        <v>0</v>
      </c>
      <c r="H346" s="27">
        <f t="shared" si="31"/>
        <v>0</v>
      </c>
      <c r="I346" s="27">
        <f t="shared" si="32"/>
        <v>1.2</v>
      </c>
      <c r="J346" s="16">
        <f t="shared" si="28"/>
        <v>0</v>
      </c>
      <c r="K346" s="16">
        <f t="shared" si="30"/>
        <v>0</v>
      </c>
      <c r="L346" s="16">
        <f t="shared" si="29"/>
        <v>0</v>
      </c>
    </row>
    <row r="347" spans="1:12" ht="18">
      <c r="A347" s="6"/>
      <c r="B347" s="300">
        <v>107</v>
      </c>
      <c r="C347" s="301" t="s">
        <v>525</v>
      </c>
      <c r="D347" s="318" t="s">
        <v>132</v>
      </c>
      <c r="E347" s="308">
        <v>2.4</v>
      </c>
      <c r="F347" s="304">
        <v>42575</v>
      </c>
      <c r="G347" s="29">
        <v>0</v>
      </c>
      <c r="H347" s="27">
        <f t="shared" si="31"/>
        <v>0</v>
      </c>
      <c r="I347" s="27">
        <f t="shared" si="32"/>
        <v>2.4</v>
      </c>
      <c r="J347" s="16">
        <f t="shared" si="28"/>
        <v>0</v>
      </c>
      <c r="K347" s="16">
        <f t="shared" si="30"/>
        <v>0</v>
      </c>
      <c r="L347" s="16">
        <f t="shared" si="29"/>
        <v>0</v>
      </c>
    </row>
    <row r="348" spans="1:12" ht="18">
      <c r="A348" s="6"/>
      <c r="B348" s="300">
        <v>106</v>
      </c>
      <c r="C348" s="301" t="s">
        <v>517</v>
      </c>
      <c r="D348" s="318" t="s">
        <v>132</v>
      </c>
      <c r="E348" s="308">
        <v>8.5500000000000007</v>
      </c>
      <c r="F348" s="304">
        <v>42573</v>
      </c>
      <c r="G348" s="29">
        <v>0</v>
      </c>
      <c r="H348" s="27">
        <f t="shared" si="31"/>
        <v>0</v>
      </c>
      <c r="I348" s="27">
        <f t="shared" si="32"/>
        <v>8.5500000000000007</v>
      </c>
      <c r="J348" s="16">
        <f t="shared" si="28"/>
        <v>0</v>
      </c>
      <c r="K348" s="16">
        <f t="shared" si="30"/>
        <v>0</v>
      </c>
      <c r="L348" s="16">
        <f t="shared" si="29"/>
        <v>0</v>
      </c>
    </row>
    <row r="349" spans="1:12" ht="18">
      <c r="A349" s="6"/>
      <c r="B349" s="300">
        <v>105</v>
      </c>
      <c r="C349" s="301" t="s">
        <v>526</v>
      </c>
      <c r="D349" s="318" t="s">
        <v>132</v>
      </c>
      <c r="E349" s="303">
        <v>19.992000000000001</v>
      </c>
      <c r="F349" s="304">
        <v>42573</v>
      </c>
      <c r="G349" s="29">
        <v>0</v>
      </c>
      <c r="H349" s="27">
        <f t="shared" si="31"/>
        <v>0</v>
      </c>
      <c r="I349" s="27">
        <f t="shared" si="32"/>
        <v>19.992000000000001</v>
      </c>
      <c r="J349" s="16">
        <f t="shared" si="28"/>
        <v>0</v>
      </c>
      <c r="K349" s="16">
        <f t="shared" si="30"/>
        <v>0</v>
      </c>
      <c r="L349" s="16">
        <f t="shared" si="29"/>
        <v>0</v>
      </c>
    </row>
    <row r="350" spans="1:12" ht="18">
      <c r="A350" s="6"/>
      <c r="B350" s="300">
        <v>104</v>
      </c>
      <c r="C350" s="301" t="s">
        <v>518</v>
      </c>
      <c r="D350" s="318" t="s">
        <v>132</v>
      </c>
      <c r="E350" s="308">
        <v>10</v>
      </c>
      <c r="F350" s="304">
        <v>42573</v>
      </c>
      <c r="G350" s="29">
        <v>0</v>
      </c>
      <c r="H350" s="27">
        <f t="shared" si="31"/>
        <v>0</v>
      </c>
      <c r="I350" s="27">
        <f t="shared" si="32"/>
        <v>10</v>
      </c>
      <c r="J350" s="16">
        <f t="shared" si="28"/>
        <v>0</v>
      </c>
      <c r="K350" s="16">
        <f t="shared" si="30"/>
        <v>0</v>
      </c>
      <c r="L350" s="16">
        <f t="shared" si="29"/>
        <v>0</v>
      </c>
    </row>
    <row r="351" spans="1:12" ht="18">
      <c r="A351" s="6"/>
      <c r="B351" s="319">
        <v>103</v>
      </c>
      <c r="C351" s="320" t="s">
        <v>527</v>
      </c>
      <c r="D351" s="348" t="s">
        <v>130</v>
      </c>
      <c r="E351" s="350">
        <v>15.31</v>
      </c>
      <c r="F351" s="323">
        <v>42573</v>
      </c>
      <c r="G351" s="32">
        <v>1</v>
      </c>
      <c r="H351" s="19">
        <f t="shared" si="31"/>
        <v>15.31</v>
      </c>
      <c r="I351" s="19">
        <f t="shared" si="32"/>
        <v>0</v>
      </c>
      <c r="J351" s="12">
        <f t="shared" si="28"/>
        <v>0</v>
      </c>
      <c r="K351" s="12">
        <f t="shared" si="30"/>
        <v>0</v>
      </c>
      <c r="L351" s="12">
        <f t="shared" si="29"/>
        <v>0</v>
      </c>
    </row>
    <row r="352" spans="1:12" ht="18">
      <c r="A352" s="6"/>
      <c r="B352" s="300">
        <v>102</v>
      </c>
      <c r="C352" s="301" t="s">
        <v>280</v>
      </c>
      <c r="D352" s="318" t="s">
        <v>132</v>
      </c>
      <c r="E352" s="308">
        <v>2.2999999999999998</v>
      </c>
      <c r="F352" s="304">
        <v>42572</v>
      </c>
      <c r="G352" s="29">
        <v>0</v>
      </c>
      <c r="H352" s="27">
        <f t="shared" si="31"/>
        <v>0</v>
      </c>
      <c r="I352" s="27">
        <f t="shared" si="32"/>
        <v>2.2999999999999998</v>
      </c>
      <c r="J352" s="16">
        <f t="shared" si="28"/>
        <v>0</v>
      </c>
      <c r="K352" s="16">
        <f t="shared" si="30"/>
        <v>0</v>
      </c>
      <c r="L352" s="16">
        <f t="shared" si="29"/>
        <v>0</v>
      </c>
    </row>
    <row r="353" spans="1:12" ht="18">
      <c r="A353" s="6"/>
      <c r="B353" s="293">
        <v>101</v>
      </c>
      <c r="C353" s="294" t="s">
        <v>528</v>
      </c>
      <c r="D353" s="309" t="s">
        <v>131</v>
      </c>
      <c r="E353" s="314">
        <v>280</v>
      </c>
      <c r="F353" s="297">
        <v>42572</v>
      </c>
      <c r="G353" s="30">
        <v>1</v>
      </c>
      <c r="H353" s="19">
        <f t="shared" si="31"/>
        <v>280</v>
      </c>
      <c r="I353" s="19">
        <f t="shared" si="32"/>
        <v>0</v>
      </c>
      <c r="J353" s="12">
        <f t="shared" si="28"/>
        <v>280</v>
      </c>
      <c r="K353" s="12">
        <f t="shared" si="30"/>
        <v>0</v>
      </c>
      <c r="L353" s="12">
        <f t="shared" si="29"/>
        <v>0</v>
      </c>
    </row>
    <row r="354" spans="1:12" ht="18">
      <c r="A354" s="6"/>
      <c r="B354" s="293">
        <v>100</v>
      </c>
      <c r="C354" s="294" t="s">
        <v>529</v>
      </c>
      <c r="D354" s="309" t="s">
        <v>132</v>
      </c>
      <c r="E354" s="314">
        <v>15</v>
      </c>
      <c r="F354" s="297">
        <v>42566</v>
      </c>
      <c r="G354" s="30">
        <v>1</v>
      </c>
      <c r="H354" s="19">
        <f t="shared" si="31"/>
        <v>15</v>
      </c>
      <c r="I354" s="19">
        <f t="shared" si="32"/>
        <v>0</v>
      </c>
      <c r="J354" s="12">
        <f t="shared" si="28"/>
        <v>0</v>
      </c>
      <c r="K354" s="12">
        <f t="shared" si="30"/>
        <v>0</v>
      </c>
      <c r="L354" s="12">
        <f t="shared" si="29"/>
        <v>0</v>
      </c>
    </row>
    <row r="355" spans="1:12" ht="72">
      <c r="A355" s="6"/>
      <c r="B355" s="293">
        <v>99</v>
      </c>
      <c r="C355" s="294" t="s">
        <v>530</v>
      </c>
      <c r="D355" s="309" t="s">
        <v>131</v>
      </c>
      <c r="E355" s="314">
        <v>4.2</v>
      </c>
      <c r="F355" s="297">
        <v>42566</v>
      </c>
      <c r="G355" s="30">
        <v>1</v>
      </c>
      <c r="H355" s="19">
        <f t="shared" si="31"/>
        <v>4.2</v>
      </c>
      <c r="I355" s="19">
        <f t="shared" si="32"/>
        <v>0</v>
      </c>
      <c r="J355" s="12">
        <f t="shared" si="28"/>
        <v>4.2</v>
      </c>
      <c r="K355" s="12">
        <f t="shared" si="30"/>
        <v>0</v>
      </c>
      <c r="L355" s="12">
        <f t="shared" si="29"/>
        <v>0</v>
      </c>
    </row>
    <row r="356" spans="1:12" ht="18">
      <c r="A356" s="6"/>
      <c r="B356" s="300">
        <v>98</v>
      </c>
      <c r="C356" s="301" t="s">
        <v>464</v>
      </c>
      <c r="D356" s="318" t="s">
        <v>132</v>
      </c>
      <c r="E356" s="308">
        <v>6</v>
      </c>
      <c r="F356" s="304">
        <v>42555</v>
      </c>
      <c r="G356" s="16">
        <v>0</v>
      </c>
      <c r="H356" s="27">
        <f t="shared" si="31"/>
        <v>0</v>
      </c>
      <c r="I356" s="27">
        <f t="shared" si="32"/>
        <v>6</v>
      </c>
      <c r="J356" s="16">
        <f t="shared" si="28"/>
        <v>0</v>
      </c>
      <c r="K356" s="16">
        <f t="shared" si="30"/>
        <v>0</v>
      </c>
      <c r="L356" s="16">
        <f t="shared" si="29"/>
        <v>0</v>
      </c>
    </row>
    <row r="357" spans="1:12" ht="18">
      <c r="A357" s="6"/>
      <c r="B357" s="300">
        <v>97</v>
      </c>
      <c r="C357" s="301" t="s">
        <v>114</v>
      </c>
      <c r="D357" s="318" t="s">
        <v>132</v>
      </c>
      <c r="E357" s="308">
        <v>6</v>
      </c>
      <c r="F357" s="304">
        <v>42552</v>
      </c>
      <c r="G357" s="29">
        <v>0</v>
      </c>
      <c r="H357" s="27">
        <f t="shared" si="31"/>
        <v>0</v>
      </c>
      <c r="I357" s="27">
        <f t="shared" si="32"/>
        <v>6</v>
      </c>
      <c r="J357" s="16">
        <f t="shared" si="28"/>
        <v>0</v>
      </c>
      <c r="K357" s="16">
        <f t="shared" si="30"/>
        <v>0</v>
      </c>
      <c r="L357" s="16">
        <f t="shared" si="29"/>
        <v>0</v>
      </c>
    </row>
    <row r="358" spans="1:12" ht="18">
      <c r="A358" s="6"/>
      <c r="B358" s="300">
        <v>96</v>
      </c>
      <c r="C358" s="301" t="s">
        <v>512</v>
      </c>
      <c r="D358" s="318" t="s">
        <v>132</v>
      </c>
      <c r="E358" s="308">
        <v>10</v>
      </c>
      <c r="F358" s="304">
        <v>42552</v>
      </c>
      <c r="G358" s="29">
        <v>0</v>
      </c>
      <c r="H358" s="27">
        <f t="shared" si="31"/>
        <v>0</v>
      </c>
      <c r="I358" s="27">
        <f t="shared" si="32"/>
        <v>10</v>
      </c>
      <c r="J358" s="16">
        <f t="shared" si="28"/>
        <v>0</v>
      </c>
      <c r="K358" s="16">
        <f t="shared" si="30"/>
        <v>0</v>
      </c>
      <c r="L358" s="16">
        <f t="shared" si="29"/>
        <v>0</v>
      </c>
    </row>
    <row r="359" spans="1:12" ht="18">
      <c r="A359" s="6"/>
      <c r="B359" s="300">
        <v>95</v>
      </c>
      <c r="C359" s="301" t="s">
        <v>531</v>
      </c>
      <c r="D359" s="318" t="s">
        <v>137</v>
      </c>
      <c r="E359" s="308">
        <v>17</v>
      </c>
      <c r="F359" s="304">
        <v>42551</v>
      </c>
      <c r="G359" s="29">
        <v>0</v>
      </c>
      <c r="H359" s="27">
        <f t="shared" si="31"/>
        <v>0</v>
      </c>
      <c r="I359" s="27">
        <f t="shared" si="32"/>
        <v>17</v>
      </c>
      <c r="J359" s="16">
        <f t="shared" si="28"/>
        <v>0</v>
      </c>
      <c r="K359" s="16">
        <f t="shared" si="30"/>
        <v>0</v>
      </c>
      <c r="L359" s="16">
        <f t="shared" si="29"/>
        <v>0</v>
      </c>
    </row>
    <row r="360" spans="1:12" ht="54">
      <c r="A360" s="6"/>
      <c r="B360" s="293">
        <v>94</v>
      </c>
      <c r="C360" s="294" t="s">
        <v>165</v>
      </c>
      <c r="D360" s="309" t="s">
        <v>131</v>
      </c>
      <c r="E360" s="296">
        <v>11.85</v>
      </c>
      <c r="F360" s="297">
        <v>42551</v>
      </c>
      <c r="G360" s="30">
        <v>1</v>
      </c>
      <c r="H360" s="19">
        <f t="shared" si="31"/>
        <v>11.85</v>
      </c>
      <c r="I360" s="19">
        <f t="shared" si="32"/>
        <v>0</v>
      </c>
      <c r="J360" s="12">
        <f t="shared" si="28"/>
        <v>11.85</v>
      </c>
      <c r="K360" s="12">
        <f t="shared" si="30"/>
        <v>0</v>
      </c>
      <c r="L360" s="12">
        <f t="shared" si="29"/>
        <v>0</v>
      </c>
    </row>
    <row r="361" spans="1:12" ht="90">
      <c r="A361" s="6"/>
      <c r="B361" s="293">
        <v>93</v>
      </c>
      <c r="C361" s="294" t="s">
        <v>519</v>
      </c>
      <c r="D361" s="295" t="s">
        <v>520</v>
      </c>
      <c r="E361" s="296">
        <v>700</v>
      </c>
      <c r="F361" s="297">
        <v>42551</v>
      </c>
      <c r="G361" s="30">
        <v>1</v>
      </c>
      <c r="H361" s="19">
        <f t="shared" si="31"/>
        <v>700</v>
      </c>
      <c r="I361" s="19">
        <f t="shared" si="32"/>
        <v>0</v>
      </c>
      <c r="J361" s="12">
        <f t="shared" si="28"/>
        <v>0</v>
      </c>
      <c r="K361" s="12">
        <f t="shared" si="30"/>
        <v>0</v>
      </c>
      <c r="L361" s="12">
        <f t="shared" si="29"/>
        <v>0</v>
      </c>
    </row>
    <row r="362" spans="1:12" ht="18">
      <c r="A362" s="6"/>
      <c r="B362" s="293">
        <v>92</v>
      </c>
      <c r="C362" s="294" t="s">
        <v>532</v>
      </c>
      <c r="D362" s="309" t="s">
        <v>130</v>
      </c>
      <c r="E362" s="296">
        <v>9.1999999999999993</v>
      </c>
      <c r="F362" s="297">
        <v>42551</v>
      </c>
      <c r="G362" s="30">
        <v>1</v>
      </c>
      <c r="H362" s="19">
        <f t="shared" si="31"/>
        <v>9.1999999999999993</v>
      </c>
      <c r="I362" s="19">
        <f t="shared" si="32"/>
        <v>0</v>
      </c>
      <c r="J362" s="12">
        <f t="shared" si="28"/>
        <v>0</v>
      </c>
      <c r="K362" s="12">
        <f t="shared" si="30"/>
        <v>0</v>
      </c>
      <c r="L362" s="12">
        <f t="shared" si="29"/>
        <v>0</v>
      </c>
    </row>
    <row r="363" spans="1:12" ht="18">
      <c r="A363" s="6"/>
      <c r="B363" s="293">
        <v>91</v>
      </c>
      <c r="C363" s="294" t="s">
        <v>528</v>
      </c>
      <c r="D363" s="309" t="s">
        <v>131</v>
      </c>
      <c r="E363" s="296">
        <v>280</v>
      </c>
      <c r="F363" s="297">
        <v>42550</v>
      </c>
      <c r="G363" s="30">
        <v>1</v>
      </c>
      <c r="H363" s="19">
        <f t="shared" si="31"/>
        <v>280</v>
      </c>
      <c r="I363" s="19">
        <f t="shared" si="32"/>
        <v>0</v>
      </c>
      <c r="J363" s="12">
        <f t="shared" si="28"/>
        <v>280</v>
      </c>
      <c r="K363" s="12">
        <f t="shared" si="30"/>
        <v>0</v>
      </c>
      <c r="L363" s="12">
        <f t="shared" si="29"/>
        <v>0</v>
      </c>
    </row>
    <row r="364" spans="1:12" ht="18">
      <c r="A364" s="6"/>
      <c r="B364" s="300">
        <v>90</v>
      </c>
      <c r="C364" s="301" t="s">
        <v>413</v>
      </c>
      <c r="D364" s="318" t="s">
        <v>132</v>
      </c>
      <c r="E364" s="308">
        <v>4</v>
      </c>
      <c r="F364" s="304">
        <v>42545</v>
      </c>
      <c r="G364" s="29">
        <v>0</v>
      </c>
      <c r="H364" s="27">
        <f t="shared" si="31"/>
        <v>0</v>
      </c>
      <c r="I364" s="27">
        <f t="shared" si="32"/>
        <v>4</v>
      </c>
      <c r="J364" s="16">
        <f t="shared" si="28"/>
        <v>0</v>
      </c>
      <c r="K364" s="16">
        <f t="shared" si="30"/>
        <v>0</v>
      </c>
      <c r="L364" s="16">
        <f t="shared" si="29"/>
        <v>0</v>
      </c>
    </row>
    <row r="365" spans="1:12" ht="54">
      <c r="A365" s="6"/>
      <c r="B365" s="293">
        <v>89</v>
      </c>
      <c r="C365" s="294" t="s">
        <v>533</v>
      </c>
      <c r="D365" s="309" t="s">
        <v>131</v>
      </c>
      <c r="E365" s="314">
        <v>6.0659999999999998</v>
      </c>
      <c r="F365" s="297">
        <v>42545</v>
      </c>
      <c r="G365" s="30">
        <v>1</v>
      </c>
      <c r="H365" s="19">
        <f t="shared" si="31"/>
        <v>6.0659999999999998</v>
      </c>
      <c r="I365" s="19">
        <f t="shared" si="32"/>
        <v>0</v>
      </c>
      <c r="J365" s="12">
        <f t="shared" si="28"/>
        <v>6.0659999999999998</v>
      </c>
      <c r="K365" s="12">
        <f t="shared" si="30"/>
        <v>0</v>
      </c>
      <c r="L365" s="12">
        <f t="shared" si="29"/>
        <v>0</v>
      </c>
    </row>
    <row r="366" spans="1:12" ht="18">
      <c r="A366" s="6"/>
      <c r="B366" s="300">
        <v>88</v>
      </c>
      <c r="C366" s="301" t="s">
        <v>525</v>
      </c>
      <c r="D366" s="318" t="s">
        <v>132</v>
      </c>
      <c r="E366" s="308">
        <v>9.6</v>
      </c>
      <c r="F366" s="304">
        <v>42545</v>
      </c>
      <c r="G366" s="29">
        <v>0</v>
      </c>
      <c r="H366" s="27">
        <f t="shared" si="31"/>
        <v>0</v>
      </c>
      <c r="I366" s="27">
        <f t="shared" si="32"/>
        <v>9.6</v>
      </c>
      <c r="J366" s="16">
        <f t="shared" si="28"/>
        <v>0</v>
      </c>
      <c r="K366" s="16">
        <f t="shared" si="30"/>
        <v>0</v>
      </c>
      <c r="L366" s="16">
        <f t="shared" si="29"/>
        <v>0</v>
      </c>
    </row>
    <row r="367" spans="1:12" ht="18">
      <c r="A367" s="6"/>
      <c r="B367" s="300">
        <v>87</v>
      </c>
      <c r="C367" s="301" t="s">
        <v>465</v>
      </c>
      <c r="D367" s="318" t="s">
        <v>132</v>
      </c>
      <c r="E367" s="308">
        <v>2</v>
      </c>
      <c r="F367" s="304">
        <v>42545</v>
      </c>
      <c r="G367" s="29">
        <v>0</v>
      </c>
      <c r="H367" s="27">
        <f t="shared" si="31"/>
        <v>0</v>
      </c>
      <c r="I367" s="27">
        <f t="shared" si="32"/>
        <v>2</v>
      </c>
      <c r="J367" s="16">
        <f t="shared" si="28"/>
        <v>0</v>
      </c>
      <c r="K367" s="16">
        <f t="shared" si="30"/>
        <v>0</v>
      </c>
      <c r="L367" s="16">
        <f t="shared" si="29"/>
        <v>0</v>
      </c>
    </row>
    <row r="368" spans="1:12" ht="54">
      <c r="A368" s="6"/>
      <c r="B368" s="293">
        <v>86</v>
      </c>
      <c r="C368" s="294" t="s">
        <v>534</v>
      </c>
      <c r="D368" s="309" t="s">
        <v>130</v>
      </c>
      <c r="E368" s="296">
        <v>2.16</v>
      </c>
      <c r="F368" s="297">
        <v>42545</v>
      </c>
      <c r="G368" s="32">
        <v>1</v>
      </c>
      <c r="H368" s="19">
        <f t="shared" si="31"/>
        <v>2.16</v>
      </c>
      <c r="I368" s="19">
        <f t="shared" si="32"/>
        <v>0</v>
      </c>
      <c r="J368" s="12">
        <f t="shared" si="28"/>
        <v>0</v>
      </c>
      <c r="K368" s="12">
        <f t="shared" si="30"/>
        <v>0</v>
      </c>
      <c r="L368" s="12">
        <f t="shared" si="29"/>
        <v>0</v>
      </c>
    </row>
    <row r="369" spans="1:12" ht="18">
      <c r="A369" s="6"/>
      <c r="B369" s="300">
        <v>85</v>
      </c>
      <c r="C369" s="301" t="s">
        <v>128</v>
      </c>
      <c r="D369" s="318" t="s">
        <v>132</v>
      </c>
      <c r="E369" s="308">
        <v>21</v>
      </c>
      <c r="F369" s="304">
        <v>42545</v>
      </c>
      <c r="G369" s="29">
        <v>0</v>
      </c>
      <c r="H369" s="27">
        <f t="shared" si="31"/>
        <v>0</v>
      </c>
      <c r="I369" s="27">
        <f t="shared" si="32"/>
        <v>21</v>
      </c>
      <c r="J369" s="16">
        <f t="shared" si="28"/>
        <v>0</v>
      </c>
      <c r="K369" s="16">
        <f t="shared" si="30"/>
        <v>0</v>
      </c>
      <c r="L369" s="16">
        <f t="shared" si="29"/>
        <v>0</v>
      </c>
    </row>
    <row r="370" spans="1:12" ht="18">
      <c r="A370" s="6"/>
      <c r="B370" s="300">
        <v>84</v>
      </c>
      <c r="C370" s="301" t="s">
        <v>157</v>
      </c>
      <c r="D370" s="318" t="s">
        <v>132</v>
      </c>
      <c r="E370" s="308">
        <v>13.8</v>
      </c>
      <c r="F370" s="304">
        <v>42545</v>
      </c>
      <c r="G370" s="29">
        <v>0</v>
      </c>
      <c r="H370" s="27">
        <f t="shared" si="31"/>
        <v>0</v>
      </c>
      <c r="I370" s="27">
        <f t="shared" si="32"/>
        <v>13.8</v>
      </c>
      <c r="J370" s="16">
        <f t="shared" si="28"/>
        <v>0</v>
      </c>
      <c r="K370" s="16">
        <f t="shared" si="30"/>
        <v>0</v>
      </c>
      <c r="L370" s="16">
        <f t="shared" si="29"/>
        <v>0</v>
      </c>
    </row>
    <row r="371" spans="1:12" ht="18">
      <c r="A371" s="6"/>
      <c r="B371" s="293">
        <v>83</v>
      </c>
      <c r="C371" s="294" t="s">
        <v>528</v>
      </c>
      <c r="D371" s="309" t="s">
        <v>131</v>
      </c>
      <c r="E371" s="296">
        <v>280</v>
      </c>
      <c r="F371" s="297">
        <v>42544</v>
      </c>
      <c r="G371" s="30">
        <v>1</v>
      </c>
      <c r="H371" s="19">
        <f t="shared" si="31"/>
        <v>280</v>
      </c>
      <c r="I371" s="19">
        <f t="shared" si="32"/>
        <v>0</v>
      </c>
      <c r="J371" s="12">
        <f t="shared" si="28"/>
        <v>280</v>
      </c>
      <c r="K371" s="12">
        <f t="shared" si="30"/>
        <v>0</v>
      </c>
      <c r="L371" s="12">
        <f t="shared" si="29"/>
        <v>0</v>
      </c>
    </row>
    <row r="372" spans="1:12" ht="36">
      <c r="A372" s="6"/>
      <c r="B372" s="293">
        <v>82</v>
      </c>
      <c r="C372" s="294" t="s">
        <v>522</v>
      </c>
      <c r="D372" s="309" t="s">
        <v>130</v>
      </c>
      <c r="E372" s="314">
        <v>1.895</v>
      </c>
      <c r="F372" s="297">
        <v>42539</v>
      </c>
      <c r="G372" s="30">
        <v>1</v>
      </c>
      <c r="H372" s="19">
        <f t="shared" si="31"/>
        <v>1.895</v>
      </c>
      <c r="I372" s="19">
        <f t="shared" si="32"/>
        <v>0</v>
      </c>
      <c r="J372" s="12">
        <f t="shared" si="28"/>
        <v>0</v>
      </c>
      <c r="K372" s="12">
        <f t="shared" si="30"/>
        <v>0</v>
      </c>
      <c r="L372" s="12">
        <f t="shared" si="29"/>
        <v>0</v>
      </c>
    </row>
    <row r="373" spans="1:12" ht="18">
      <c r="A373" s="6"/>
      <c r="B373" s="293">
        <v>81</v>
      </c>
      <c r="C373" s="294" t="s">
        <v>529</v>
      </c>
      <c r="D373" s="309" t="s">
        <v>132</v>
      </c>
      <c r="E373" s="296">
        <v>12</v>
      </c>
      <c r="F373" s="297">
        <v>42538</v>
      </c>
      <c r="G373" s="30">
        <v>1</v>
      </c>
      <c r="H373" s="19">
        <f t="shared" si="31"/>
        <v>12</v>
      </c>
      <c r="I373" s="19">
        <f t="shared" si="32"/>
        <v>0</v>
      </c>
      <c r="J373" s="12">
        <f t="shared" si="28"/>
        <v>0</v>
      </c>
      <c r="K373" s="12">
        <f t="shared" si="30"/>
        <v>0</v>
      </c>
      <c r="L373" s="12">
        <f t="shared" si="29"/>
        <v>0</v>
      </c>
    </row>
    <row r="374" spans="1:12" ht="18">
      <c r="A374" s="6"/>
      <c r="B374" s="300">
        <v>80</v>
      </c>
      <c r="C374" s="301" t="s">
        <v>506</v>
      </c>
      <c r="D374" s="318" t="s">
        <v>132</v>
      </c>
      <c r="E374" s="308">
        <v>0.5</v>
      </c>
      <c r="F374" s="304">
        <v>42538</v>
      </c>
      <c r="G374" s="29">
        <v>0</v>
      </c>
      <c r="H374" s="27">
        <f t="shared" si="31"/>
        <v>0</v>
      </c>
      <c r="I374" s="27">
        <f t="shared" si="32"/>
        <v>0.5</v>
      </c>
      <c r="J374" s="16">
        <f t="shared" si="28"/>
        <v>0</v>
      </c>
      <c r="K374" s="16">
        <f t="shared" si="30"/>
        <v>0</v>
      </c>
      <c r="L374" s="16">
        <f t="shared" si="29"/>
        <v>0</v>
      </c>
    </row>
    <row r="375" spans="1:12" ht="18">
      <c r="A375" s="6"/>
      <c r="B375" s="300">
        <v>79</v>
      </c>
      <c r="C375" s="301" t="s">
        <v>128</v>
      </c>
      <c r="D375" s="318" t="s">
        <v>132</v>
      </c>
      <c r="E375" s="308">
        <v>12</v>
      </c>
      <c r="F375" s="304">
        <v>42538</v>
      </c>
      <c r="G375" s="29">
        <v>0</v>
      </c>
      <c r="H375" s="27">
        <f t="shared" si="31"/>
        <v>0</v>
      </c>
      <c r="I375" s="27">
        <f t="shared" si="32"/>
        <v>12</v>
      </c>
      <c r="J375" s="16">
        <f t="shared" si="28"/>
        <v>0</v>
      </c>
      <c r="K375" s="16">
        <f t="shared" si="30"/>
        <v>0</v>
      </c>
      <c r="L375" s="16">
        <f t="shared" si="29"/>
        <v>0</v>
      </c>
    </row>
    <row r="376" spans="1:12" ht="36">
      <c r="A376" s="6"/>
      <c r="B376" s="300">
        <v>78</v>
      </c>
      <c r="C376" s="301" t="s">
        <v>535</v>
      </c>
      <c r="D376" s="302" t="s">
        <v>134</v>
      </c>
      <c r="E376" s="303">
        <v>5.66</v>
      </c>
      <c r="F376" s="304">
        <v>42538</v>
      </c>
      <c r="G376" s="29">
        <v>0</v>
      </c>
      <c r="H376" s="27">
        <f t="shared" si="31"/>
        <v>0</v>
      </c>
      <c r="I376" s="27">
        <f t="shared" si="32"/>
        <v>5.66</v>
      </c>
      <c r="J376" s="16">
        <f t="shared" si="28"/>
        <v>0</v>
      </c>
      <c r="K376" s="16">
        <f t="shared" si="30"/>
        <v>0</v>
      </c>
      <c r="L376" s="16">
        <f t="shared" si="29"/>
        <v>0</v>
      </c>
    </row>
    <row r="377" spans="1:12" ht="18">
      <c r="A377" s="6"/>
      <c r="B377" s="300">
        <v>77</v>
      </c>
      <c r="C377" s="301" t="s">
        <v>518</v>
      </c>
      <c r="D377" s="318" t="s">
        <v>132</v>
      </c>
      <c r="E377" s="308">
        <v>35</v>
      </c>
      <c r="F377" s="304">
        <v>42538</v>
      </c>
      <c r="G377" s="29">
        <v>0</v>
      </c>
      <c r="H377" s="27">
        <f t="shared" si="31"/>
        <v>0</v>
      </c>
      <c r="I377" s="27">
        <f t="shared" si="32"/>
        <v>35</v>
      </c>
      <c r="J377" s="16">
        <f t="shared" si="28"/>
        <v>0</v>
      </c>
      <c r="K377" s="16">
        <f t="shared" si="30"/>
        <v>0</v>
      </c>
      <c r="L377" s="16">
        <f t="shared" si="29"/>
        <v>0</v>
      </c>
    </row>
    <row r="378" spans="1:12" ht="18">
      <c r="A378" s="6"/>
      <c r="B378" s="293">
        <v>76</v>
      </c>
      <c r="C378" s="294" t="s">
        <v>536</v>
      </c>
      <c r="D378" s="309" t="s">
        <v>131</v>
      </c>
      <c r="E378" s="296">
        <v>68</v>
      </c>
      <c r="F378" s="297">
        <v>42531</v>
      </c>
      <c r="G378" s="30">
        <v>1</v>
      </c>
      <c r="H378" s="19">
        <f t="shared" si="31"/>
        <v>68</v>
      </c>
      <c r="I378" s="19">
        <f t="shared" si="32"/>
        <v>0</v>
      </c>
      <c r="J378" s="12">
        <f t="shared" si="28"/>
        <v>68</v>
      </c>
      <c r="K378" s="12">
        <f t="shared" si="30"/>
        <v>0</v>
      </c>
      <c r="L378" s="12">
        <f t="shared" si="29"/>
        <v>0</v>
      </c>
    </row>
    <row r="379" spans="1:12" ht="18">
      <c r="A379" s="6"/>
      <c r="B379" s="293">
        <v>75</v>
      </c>
      <c r="C379" s="294" t="s">
        <v>526</v>
      </c>
      <c r="D379" s="309" t="s">
        <v>132</v>
      </c>
      <c r="E379" s="296">
        <v>16.670000000000002</v>
      </c>
      <c r="F379" s="297">
        <v>42531</v>
      </c>
      <c r="G379" s="30">
        <v>1</v>
      </c>
      <c r="H379" s="19">
        <f t="shared" si="31"/>
        <v>16.670000000000002</v>
      </c>
      <c r="I379" s="19">
        <f t="shared" si="32"/>
        <v>0</v>
      </c>
      <c r="J379" s="12">
        <f t="shared" si="28"/>
        <v>0</v>
      </c>
      <c r="K379" s="12">
        <f t="shared" si="30"/>
        <v>0</v>
      </c>
      <c r="L379" s="12">
        <f t="shared" si="29"/>
        <v>0</v>
      </c>
    </row>
    <row r="380" spans="1:12" ht="18">
      <c r="A380" s="6"/>
      <c r="B380" s="300">
        <v>74</v>
      </c>
      <c r="C380" s="301" t="s">
        <v>537</v>
      </c>
      <c r="D380" s="318" t="s">
        <v>132</v>
      </c>
      <c r="E380" s="308">
        <v>2.5</v>
      </c>
      <c r="F380" s="304">
        <v>42531</v>
      </c>
      <c r="G380" s="29">
        <v>0</v>
      </c>
      <c r="H380" s="27">
        <f t="shared" si="31"/>
        <v>0</v>
      </c>
      <c r="I380" s="27">
        <f t="shared" si="32"/>
        <v>2.5</v>
      </c>
      <c r="J380" s="16">
        <f t="shared" si="28"/>
        <v>0</v>
      </c>
      <c r="K380" s="16">
        <f t="shared" si="30"/>
        <v>0</v>
      </c>
      <c r="L380" s="16">
        <f t="shared" si="29"/>
        <v>0</v>
      </c>
    </row>
    <row r="381" spans="1:12" ht="54">
      <c r="A381" s="6"/>
      <c r="B381" s="293">
        <v>73</v>
      </c>
      <c r="C381" s="294" t="s">
        <v>538</v>
      </c>
      <c r="D381" s="309" t="s">
        <v>175</v>
      </c>
      <c r="E381" s="296">
        <v>9.6999999999999993</v>
      </c>
      <c r="F381" s="297">
        <v>42530</v>
      </c>
      <c r="G381" s="30">
        <v>1</v>
      </c>
      <c r="H381" s="19">
        <f t="shared" si="31"/>
        <v>9.6999999999999993</v>
      </c>
      <c r="I381" s="19">
        <f t="shared" si="32"/>
        <v>0</v>
      </c>
      <c r="J381" s="12">
        <f t="shared" si="28"/>
        <v>0</v>
      </c>
      <c r="K381" s="12">
        <f t="shared" si="30"/>
        <v>0</v>
      </c>
      <c r="L381" s="12">
        <f t="shared" si="29"/>
        <v>0</v>
      </c>
    </row>
    <row r="382" spans="1:12" ht="18">
      <c r="A382" s="6"/>
      <c r="B382" s="300">
        <v>72</v>
      </c>
      <c r="C382" s="301" t="s">
        <v>506</v>
      </c>
      <c r="D382" s="318" t="s">
        <v>132</v>
      </c>
      <c r="E382" s="308">
        <v>4.8</v>
      </c>
      <c r="F382" s="304">
        <v>42530</v>
      </c>
      <c r="G382" s="29">
        <v>0</v>
      </c>
      <c r="H382" s="27">
        <f t="shared" si="31"/>
        <v>0</v>
      </c>
      <c r="I382" s="27">
        <f t="shared" si="32"/>
        <v>4.8</v>
      </c>
      <c r="J382" s="16">
        <f t="shared" si="28"/>
        <v>0</v>
      </c>
      <c r="K382" s="16">
        <f t="shared" si="30"/>
        <v>0</v>
      </c>
      <c r="L382" s="16">
        <f t="shared" si="29"/>
        <v>0</v>
      </c>
    </row>
    <row r="383" spans="1:12" ht="36">
      <c r="A383" s="6"/>
      <c r="B383" s="293">
        <v>71</v>
      </c>
      <c r="C383" s="294" t="s">
        <v>407</v>
      </c>
      <c r="D383" s="309" t="s">
        <v>130</v>
      </c>
      <c r="E383" s="296">
        <v>1.34</v>
      </c>
      <c r="F383" s="297">
        <v>42524</v>
      </c>
      <c r="G383" s="32">
        <v>1</v>
      </c>
      <c r="H383" s="19">
        <f t="shared" si="31"/>
        <v>1.34</v>
      </c>
      <c r="I383" s="19">
        <f t="shared" si="32"/>
        <v>0</v>
      </c>
      <c r="J383" s="12">
        <f t="shared" si="28"/>
        <v>0</v>
      </c>
      <c r="K383" s="12">
        <f t="shared" si="30"/>
        <v>0</v>
      </c>
      <c r="L383" s="12">
        <f t="shared" si="29"/>
        <v>0</v>
      </c>
    </row>
    <row r="384" spans="1:12" ht="18">
      <c r="A384" s="6"/>
      <c r="B384" s="300">
        <v>70</v>
      </c>
      <c r="C384" s="301" t="s">
        <v>539</v>
      </c>
      <c r="D384" s="318" t="s">
        <v>132</v>
      </c>
      <c r="E384" s="308">
        <v>16</v>
      </c>
      <c r="F384" s="304">
        <v>42524</v>
      </c>
      <c r="G384" s="29">
        <v>0</v>
      </c>
      <c r="H384" s="27">
        <f t="shared" si="31"/>
        <v>0</v>
      </c>
      <c r="I384" s="27">
        <f t="shared" si="32"/>
        <v>16</v>
      </c>
      <c r="J384" s="16">
        <f t="shared" si="28"/>
        <v>0</v>
      </c>
      <c r="K384" s="16">
        <f t="shared" si="30"/>
        <v>0</v>
      </c>
      <c r="L384" s="16">
        <f t="shared" si="29"/>
        <v>0</v>
      </c>
    </row>
    <row r="385" spans="1:12" ht="18">
      <c r="A385" s="6"/>
      <c r="B385" s="300">
        <v>69</v>
      </c>
      <c r="C385" s="301" t="s">
        <v>465</v>
      </c>
      <c r="D385" s="318" t="s">
        <v>132</v>
      </c>
      <c r="E385" s="308">
        <v>12</v>
      </c>
      <c r="F385" s="304">
        <v>42524</v>
      </c>
      <c r="G385" s="29">
        <v>0</v>
      </c>
      <c r="H385" s="27">
        <f t="shared" si="31"/>
        <v>0</v>
      </c>
      <c r="I385" s="27">
        <f t="shared" si="32"/>
        <v>12</v>
      </c>
      <c r="J385" s="16">
        <f t="shared" si="28"/>
        <v>0</v>
      </c>
      <c r="K385" s="16">
        <f t="shared" si="30"/>
        <v>0</v>
      </c>
      <c r="L385" s="16">
        <f t="shared" si="29"/>
        <v>0</v>
      </c>
    </row>
    <row r="386" spans="1:12" ht="18">
      <c r="A386" s="6"/>
      <c r="B386" s="293">
        <v>68</v>
      </c>
      <c r="C386" s="294" t="s">
        <v>455</v>
      </c>
      <c r="D386" s="309" t="s">
        <v>132</v>
      </c>
      <c r="E386" s="296">
        <v>13.5</v>
      </c>
      <c r="F386" s="297">
        <v>42524</v>
      </c>
      <c r="G386" s="30">
        <v>1</v>
      </c>
      <c r="H386" s="19">
        <f t="shared" si="31"/>
        <v>13.5</v>
      </c>
      <c r="I386" s="19">
        <f t="shared" si="32"/>
        <v>0</v>
      </c>
      <c r="J386" s="12">
        <f t="shared" si="28"/>
        <v>0</v>
      </c>
      <c r="K386" s="12">
        <f t="shared" si="30"/>
        <v>0</v>
      </c>
      <c r="L386" s="12">
        <f t="shared" si="29"/>
        <v>0</v>
      </c>
    </row>
    <row r="387" spans="1:12" ht="18">
      <c r="A387" s="6"/>
      <c r="B387" s="293">
        <v>67</v>
      </c>
      <c r="C387" s="294" t="s">
        <v>529</v>
      </c>
      <c r="D387" s="309" t="s">
        <v>132</v>
      </c>
      <c r="E387" s="296">
        <v>15</v>
      </c>
      <c r="F387" s="297">
        <v>42520</v>
      </c>
      <c r="G387" s="30">
        <v>1</v>
      </c>
      <c r="H387" s="19">
        <f t="shared" si="31"/>
        <v>15</v>
      </c>
      <c r="I387" s="19">
        <f t="shared" si="32"/>
        <v>0</v>
      </c>
      <c r="J387" s="12">
        <f t="shared" si="28"/>
        <v>0</v>
      </c>
      <c r="K387" s="12">
        <f t="shared" si="30"/>
        <v>0</v>
      </c>
      <c r="L387" s="12">
        <f t="shared" si="29"/>
        <v>0</v>
      </c>
    </row>
    <row r="388" spans="1:12" ht="18">
      <c r="A388" s="6"/>
      <c r="B388" s="300">
        <v>66</v>
      </c>
      <c r="C388" s="301" t="s">
        <v>128</v>
      </c>
      <c r="D388" s="318" t="s">
        <v>132</v>
      </c>
      <c r="E388" s="308">
        <v>9</v>
      </c>
      <c r="F388" s="304">
        <v>42517</v>
      </c>
      <c r="G388" s="29">
        <v>0</v>
      </c>
      <c r="H388" s="27">
        <f t="shared" si="31"/>
        <v>0</v>
      </c>
      <c r="I388" s="27">
        <f t="shared" si="32"/>
        <v>9</v>
      </c>
      <c r="J388" s="16">
        <f t="shared" si="28"/>
        <v>0</v>
      </c>
      <c r="K388" s="16">
        <f t="shared" si="30"/>
        <v>0</v>
      </c>
      <c r="L388" s="16">
        <f t="shared" si="29"/>
        <v>0</v>
      </c>
    </row>
    <row r="389" spans="1:12" ht="18">
      <c r="A389" s="6"/>
      <c r="B389" s="300">
        <v>65</v>
      </c>
      <c r="C389" s="301" t="s">
        <v>280</v>
      </c>
      <c r="D389" s="318" t="s">
        <v>132</v>
      </c>
      <c r="E389" s="308">
        <v>13.8</v>
      </c>
      <c r="F389" s="304">
        <v>42517</v>
      </c>
      <c r="G389" s="29">
        <v>0</v>
      </c>
      <c r="H389" s="27">
        <f t="shared" si="31"/>
        <v>0</v>
      </c>
      <c r="I389" s="27">
        <f t="shared" si="32"/>
        <v>13.8</v>
      </c>
      <c r="J389" s="16">
        <f t="shared" si="28"/>
        <v>0</v>
      </c>
      <c r="K389" s="16">
        <f t="shared" si="30"/>
        <v>0</v>
      </c>
      <c r="L389" s="16">
        <f t="shared" si="29"/>
        <v>0</v>
      </c>
    </row>
    <row r="390" spans="1:12" ht="36">
      <c r="A390" s="6"/>
      <c r="B390" s="293">
        <v>64</v>
      </c>
      <c r="C390" s="294" t="s">
        <v>540</v>
      </c>
      <c r="D390" s="309" t="s">
        <v>131</v>
      </c>
      <c r="E390" s="296">
        <v>0.8</v>
      </c>
      <c r="F390" s="297">
        <v>42517</v>
      </c>
      <c r="G390" s="32">
        <v>1</v>
      </c>
      <c r="H390" s="19">
        <f t="shared" si="31"/>
        <v>0.8</v>
      </c>
      <c r="I390" s="19">
        <f t="shared" si="32"/>
        <v>0</v>
      </c>
      <c r="J390" s="12">
        <f t="shared" si="28"/>
        <v>0.8</v>
      </c>
      <c r="K390" s="12">
        <f t="shared" si="30"/>
        <v>0</v>
      </c>
      <c r="L390" s="12">
        <f t="shared" si="29"/>
        <v>0</v>
      </c>
    </row>
    <row r="391" spans="1:12" ht="18">
      <c r="A391" s="6"/>
      <c r="B391" s="300">
        <v>63</v>
      </c>
      <c r="C391" s="301" t="s">
        <v>459</v>
      </c>
      <c r="D391" s="318" t="s">
        <v>132</v>
      </c>
      <c r="E391" s="308">
        <v>13</v>
      </c>
      <c r="F391" s="304">
        <v>42517</v>
      </c>
      <c r="G391" s="29">
        <v>0</v>
      </c>
      <c r="H391" s="27">
        <f t="shared" si="31"/>
        <v>0</v>
      </c>
      <c r="I391" s="27">
        <f t="shared" si="32"/>
        <v>13</v>
      </c>
      <c r="J391" s="16">
        <f t="shared" si="28"/>
        <v>0</v>
      </c>
      <c r="K391" s="16">
        <f t="shared" si="30"/>
        <v>0</v>
      </c>
      <c r="L391" s="16">
        <f t="shared" si="29"/>
        <v>0</v>
      </c>
    </row>
    <row r="392" spans="1:12" ht="18">
      <c r="A392" s="6"/>
      <c r="B392" s="300">
        <v>62</v>
      </c>
      <c r="C392" s="301" t="s">
        <v>272</v>
      </c>
      <c r="D392" s="318" t="s">
        <v>132</v>
      </c>
      <c r="E392" s="303">
        <v>2.5</v>
      </c>
      <c r="F392" s="304">
        <v>42517</v>
      </c>
      <c r="G392" s="29">
        <v>0</v>
      </c>
      <c r="H392" s="27">
        <f t="shared" si="31"/>
        <v>0</v>
      </c>
      <c r="I392" s="27">
        <f t="shared" si="32"/>
        <v>2.5</v>
      </c>
      <c r="J392" s="16">
        <f t="shared" si="28"/>
        <v>0</v>
      </c>
      <c r="K392" s="16">
        <f t="shared" si="30"/>
        <v>0</v>
      </c>
      <c r="L392" s="16">
        <f t="shared" si="29"/>
        <v>0</v>
      </c>
    </row>
    <row r="393" spans="1:12" ht="18">
      <c r="A393" s="6"/>
      <c r="B393" s="300">
        <v>61</v>
      </c>
      <c r="C393" s="301" t="s">
        <v>541</v>
      </c>
      <c r="D393" s="318" t="s">
        <v>137</v>
      </c>
      <c r="E393" s="308">
        <v>22.51</v>
      </c>
      <c r="F393" s="304">
        <v>42510</v>
      </c>
      <c r="G393" s="29">
        <v>0</v>
      </c>
      <c r="H393" s="27">
        <f t="shared" si="31"/>
        <v>0</v>
      </c>
      <c r="I393" s="27">
        <f t="shared" si="32"/>
        <v>22.51</v>
      </c>
      <c r="J393" s="16">
        <f t="shared" si="28"/>
        <v>0</v>
      </c>
      <c r="K393" s="16">
        <f t="shared" si="30"/>
        <v>0</v>
      </c>
      <c r="L393" s="16">
        <f t="shared" si="29"/>
        <v>0</v>
      </c>
    </row>
    <row r="394" spans="1:12" ht="36">
      <c r="A394" s="6"/>
      <c r="B394" s="293">
        <v>60</v>
      </c>
      <c r="C394" s="294" t="s">
        <v>542</v>
      </c>
      <c r="D394" s="309" t="s">
        <v>137</v>
      </c>
      <c r="E394" s="296">
        <v>24.9</v>
      </c>
      <c r="F394" s="297">
        <v>42510</v>
      </c>
      <c r="G394" s="32">
        <v>1</v>
      </c>
      <c r="H394" s="19">
        <f t="shared" si="31"/>
        <v>24.9</v>
      </c>
      <c r="I394" s="19">
        <f t="shared" si="32"/>
        <v>0</v>
      </c>
      <c r="J394" s="12">
        <f t="shared" si="28"/>
        <v>0</v>
      </c>
      <c r="K394" s="12">
        <f t="shared" si="30"/>
        <v>0</v>
      </c>
      <c r="L394" s="12">
        <f t="shared" si="29"/>
        <v>0</v>
      </c>
    </row>
    <row r="395" spans="1:12" ht="18">
      <c r="A395" s="6"/>
      <c r="B395" s="300">
        <v>59</v>
      </c>
      <c r="C395" s="301" t="s">
        <v>537</v>
      </c>
      <c r="D395" s="318" t="s">
        <v>132</v>
      </c>
      <c r="E395" s="308">
        <v>7.5</v>
      </c>
      <c r="F395" s="304">
        <v>42510</v>
      </c>
      <c r="G395" s="29">
        <v>0</v>
      </c>
      <c r="H395" s="27">
        <f t="shared" si="31"/>
        <v>0</v>
      </c>
      <c r="I395" s="27">
        <f t="shared" si="32"/>
        <v>7.5</v>
      </c>
      <c r="J395" s="16">
        <f t="shared" si="28"/>
        <v>0</v>
      </c>
      <c r="K395" s="16">
        <f t="shared" si="30"/>
        <v>0</v>
      </c>
      <c r="L395" s="16">
        <f t="shared" si="29"/>
        <v>0</v>
      </c>
    </row>
    <row r="396" spans="1:12" ht="18">
      <c r="A396" s="6"/>
      <c r="B396" s="293">
        <v>58</v>
      </c>
      <c r="C396" s="294" t="s">
        <v>536</v>
      </c>
      <c r="D396" s="309" t="s">
        <v>131</v>
      </c>
      <c r="E396" s="296">
        <v>68</v>
      </c>
      <c r="F396" s="297">
        <v>42510</v>
      </c>
      <c r="G396" s="30">
        <v>1</v>
      </c>
      <c r="H396" s="19">
        <f t="shared" si="31"/>
        <v>68</v>
      </c>
      <c r="I396" s="19">
        <f t="shared" si="32"/>
        <v>0</v>
      </c>
      <c r="J396" s="12">
        <f t="shared" si="28"/>
        <v>68</v>
      </c>
      <c r="K396" s="12">
        <f t="shared" si="30"/>
        <v>0</v>
      </c>
      <c r="L396" s="12">
        <f t="shared" si="29"/>
        <v>0</v>
      </c>
    </row>
    <row r="397" spans="1:12" ht="18">
      <c r="A397" s="6"/>
      <c r="B397" s="293">
        <v>57</v>
      </c>
      <c r="C397" s="294" t="s">
        <v>543</v>
      </c>
      <c r="D397" s="309" t="s">
        <v>130</v>
      </c>
      <c r="E397" s="314">
        <v>9.01</v>
      </c>
      <c r="F397" s="297">
        <v>42509</v>
      </c>
      <c r="G397" s="30">
        <v>1</v>
      </c>
      <c r="H397" s="19">
        <f t="shared" si="31"/>
        <v>9.01</v>
      </c>
      <c r="I397" s="19">
        <f t="shared" si="32"/>
        <v>0</v>
      </c>
      <c r="J397" s="12">
        <f t="shared" si="28"/>
        <v>0</v>
      </c>
      <c r="K397" s="12">
        <f t="shared" si="30"/>
        <v>0</v>
      </c>
      <c r="L397" s="12">
        <f t="shared" si="29"/>
        <v>0</v>
      </c>
    </row>
    <row r="398" spans="1:12" ht="36">
      <c r="A398" s="6"/>
      <c r="B398" s="293">
        <v>56</v>
      </c>
      <c r="C398" s="294" t="s">
        <v>544</v>
      </c>
      <c r="D398" s="309" t="s">
        <v>131</v>
      </c>
      <c r="E398" s="314">
        <v>4.3</v>
      </c>
      <c r="F398" s="297">
        <v>42504</v>
      </c>
      <c r="G398" s="30">
        <v>1</v>
      </c>
      <c r="H398" s="19">
        <f t="shared" si="31"/>
        <v>4.3</v>
      </c>
      <c r="I398" s="19">
        <f t="shared" si="32"/>
        <v>0</v>
      </c>
      <c r="J398" s="12">
        <f t="shared" si="28"/>
        <v>4.3</v>
      </c>
      <c r="K398" s="12">
        <f t="shared" si="30"/>
        <v>0</v>
      </c>
      <c r="L398" s="12">
        <f t="shared" si="29"/>
        <v>0</v>
      </c>
    </row>
    <row r="399" spans="1:12" ht="18">
      <c r="A399" s="6"/>
      <c r="B399" s="300">
        <v>55</v>
      </c>
      <c r="C399" s="301" t="s">
        <v>545</v>
      </c>
      <c r="D399" s="318" t="s">
        <v>132</v>
      </c>
      <c r="E399" s="303">
        <v>9</v>
      </c>
      <c r="F399" s="304">
        <v>42503</v>
      </c>
      <c r="G399" s="29">
        <v>0</v>
      </c>
      <c r="H399" s="27">
        <f t="shared" si="31"/>
        <v>0</v>
      </c>
      <c r="I399" s="27">
        <f t="shared" si="32"/>
        <v>9</v>
      </c>
      <c r="J399" s="16">
        <f t="shared" ref="J399:J453" si="33">OR(IF((D399="DG"),1,0),IF(D399="DG/FO",1,0),IF(D399="DG/FO/Linyit",1,0))*E399</f>
        <v>0</v>
      </c>
      <c r="K399" s="16">
        <f t="shared" si="30"/>
        <v>0</v>
      </c>
      <c r="L399" s="16">
        <f t="shared" ref="L399:L453" si="34">(IF((D399="LİNYİT"),1,0))*E399</f>
        <v>0</v>
      </c>
    </row>
    <row r="400" spans="1:12" ht="18">
      <c r="A400" s="6"/>
      <c r="B400" s="300">
        <v>54</v>
      </c>
      <c r="C400" s="301" t="s">
        <v>328</v>
      </c>
      <c r="D400" s="302" t="s">
        <v>132</v>
      </c>
      <c r="E400" s="303">
        <v>0</v>
      </c>
      <c r="F400" s="304">
        <v>42503</v>
      </c>
      <c r="G400" s="29">
        <v>0</v>
      </c>
      <c r="H400" s="27">
        <f t="shared" si="31"/>
        <v>0</v>
      </c>
      <c r="I400" s="27">
        <f t="shared" si="32"/>
        <v>0</v>
      </c>
      <c r="J400" s="16">
        <f t="shared" si="33"/>
        <v>0</v>
      </c>
      <c r="K400" s="16">
        <f t="shared" ref="K400:K453" si="35">OR(IF((D400="KÖMÜR+DİĞER"),1,0),IF(D400="KÖMÜR",1,0))*E400</f>
        <v>0</v>
      </c>
      <c r="L400" s="16">
        <f t="shared" si="34"/>
        <v>0</v>
      </c>
    </row>
    <row r="401" spans="1:12" ht="18">
      <c r="A401" s="6"/>
      <c r="B401" s="293">
        <v>53</v>
      </c>
      <c r="C401" s="294" t="s">
        <v>546</v>
      </c>
      <c r="D401" s="309" t="s">
        <v>130</v>
      </c>
      <c r="E401" s="314">
        <v>1.181</v>
      </c>
      <c r="F401" s="297">
        <v>42503</v>
      </c>
      <c r="G401" s="30">
        <v>1</v>
      </c>
      <c r="H401" s="19">
        <f t="shared" si="31"/>
        <v>1.181</v>
      </c>
      <c r="I401" s="19">
        <f t="shared" si="32"/>
        <v>0</v>
      </c>
      <c r="J401" s="12">
        <f t="shared" si="33"/>
        <v>0</v>
      </c>
      <c r="K401" s="12">
        <f t="shared" si="35"/>
        <v>0</v>
      </c>
      <c r="L401" s="12">
        <f t="shared" si="34"/>
        <v>0</v>
      </c>
    </row>
    <row r="402" spans="1:12" ht="18">
      <c r="A402" s="6"/>
      <c r="B402" s="293">
        <v>52</v>
      </c>
      <c r="C402" s="294" t="s">
        <v>547</v>
      </c>
      <c r="D402" s="309" t="s">
        <v>130</v>
      </c>
      <c r="E402" s="314">
        <v>6.12</v>
      </c>
      <c r="F402" s="297">
        <v>42503</v>
      </c>
      <c r="G402" s="30">
        <v>1</v>
      </c>
      <c r="H402" s="19">
        <f t="shared" si="31"/>
        <v>6.12</v>
      </c>
      <c r="I402" s="19">
        <f t="shared" si="32"/>
        <v>0</v>
      </c>
      <c r="J402" s="12">
        <f t="shared" si="33"/>
        <v>0</v>
      </c>
      <c r="K402" s="12">
        <f t="shared" si="35"/>
        <v>0</v>
      </c>
      <c r="L402" s="12">
        <f t="shared" si="34"/>
        <v>0</v>
      </c>
    </row>
    <row r="403" spans="1:12" ht="36">
      <c r="A403" s="6"/>
      <c r="B403" s="293">
        <v>51</v>
      </c>
      <c r="C403" s="294" t="s">
        <v>548</v>
      </c>
      <c r="D403" s="309" t="s">
        <v>130</v>
      </c>
      <c r="E403" s="314">
        <v>6.77</v>
      </c>
      <c r="F403" s="297">
        <v>42503</v>
      </c>
      <c r="G403" s="30">
        <v>1</v>
      </c>
      <c r="H403" s="19">
        <f t="shared" si="31"/>
        <v>6.77</v>
      </c>
      <c r="I403" s="19">
        <f t="shared" si="32"/>
        <v>0</v>
      </c>
      <c r="J403" s="12">
        <f t="shared" si="33"/>
        <v>0</v>
      </c>
      <c r="K403" s="12">
        <f t="shared" si="35"/>
        <v>0</v>
      </c>
      <c r="L403" s="12">
        <f t="shared" si="34"/>
        <v>0</v>
      </c>
    </row>
    <row r="404" spans="1:12" ht="18">
      <c r="A404" s="6"/>
      <c r="B404" s="293">
        <v>50</v>
      </c>
      <c r="C404" s="294" t="s">
        <v>549</v>
      </c>
      <c r="D404" s="309" t="s">
        <v>131</v>
      </c>
      <c r="E404" s="314">
        <v>205.6</v>
      </c>
      <c r="F404" s="297">
        <v>42503</v>
      </c>
      <c r="G404" s="30">
        <v>1</v>
      </c>
      <c r="H404" s="19">
        <f t="shared" si="31"/>
        <v>205.6</v>
      </c>
      <c r="I404" s="19">
        <f t="shared" si="32"/>
        <v>0</v>
      </c>
      <c r="J404" s="12">
        <f t="shared" si="33"/>
        <v>205.6</v>
      </c>
      <c r="K404" s="12">
        <f t="shared" si="35"/>
        <v>0</v>
      </c>
      <c r="L404" s="12">
        <f t="shared" si="34"/>
        <v>0</v>
      </c>
    </row>
    <row r="405" spans="1:12" ht="18">
      <c r="A405" s="6"/>
      <c r="B405" s="300">
        <v>49</v>
      </c>
      <c r="C405" s="301" t="s">
        <v>280</v>
      </c>
      <c r="D405" s="318" t="s">
        <v>132</v>
      </c>
      <c r="E405" s="303">
        <v>9.1999999999999993</v>
      </c>
      <c r="F405" s="304">
        <v>42496</v>
      </c>
      <c r="G405" s="29">
        <v>0</v>
      </c>
      <c r="H405" s="27">
        <f t="shared" si="31"/>
        <v>0</v>
      </c>
      <c r="I405" s="27">
        <f t="shared" si="32"/>
        <v>9.1999999999999993</v>
      </c>
      <c r="J405" s="16">
        <f t="shared" si="33"/>
        <v>0</v>
      </c>
      <c r="K405" s="16">
        <f t="shared" si="35"/>
        <v>0</v>
      </c>
      <c r="L405" s="16">
        <f t="shared" si="34"/>
        <v>0</v>
      </c>
    </row>
    <row r="406" spans="1:12" ht="18">
      <c r="A406" s="6"/>
      <c r="B406" s="293">
        <v>48</v>
      </c>
      <c r="C406" s="294" t="s">
        <v>550</v>
      </c>
      <c r="D406" s="309" t="s">
        <v>132</v>
      </c>
      <c r="E406" s="314">
        <v>10.8</v>
      </c>
      <c r="F406" s="297">
        <v>42496</v>
      </c>
      <c r="G406" s="30">
        <v>1</v>
      </c>
      <c r="H406" s="19">
        <f t="shared" si="31"/>
        <v>10.8</v>
      </c>
      <c r="I406" s="19">
        <f t="shared" si="32"/>
        <v>0</v>
      </c>
      <c r="J406" s="12">
        <f t="shared" si="33"/>
        <v>0</v>
      </c>
      <c r="K406" s="12">
        <f t="shared" si="35"/>
        <v>0</v>
      </c>
      <c r="L406" s="12">
        <f t="shared" si="34"/>
        <v>0</v>
      </c>
    </row>
    <row r="407" spans="1:12" ht="18">
      <c r="A407" s="6"/>
      <c r="B407" s="300">
        <v>47</v>
      </c>
      <c r="C407" s="301" t="s">
        <v>526</v>
      </c>
      <c r="D407" s="318" t="s">
        <v>132</v>
      </c>
      <c r="E407" s="303">
        <v>15.003</v>
      </c>
      <c r="F407" s="304">
        <v>42496</v>
      </c>
      <c r="G407" s="29">
        <v>0</v>
      </c>
      <c r="H407" s="27">
        <f t="shared" ref="H407:H453" si="36">E407*G407</f>
        <v>0</v>
      </c>
      <c r="I407" s="27">
        <f t="shared" ref="I407:I453" si="37">E407-H407</f>
        <v>15.003</v>
      </c>
      <c r="J407" s="16">
        <f t="shared" si="33"/>
        <v>0</v>
      </c>
      <c r="K407" s="16">
        <f t="shared" si="35"/>
        <v>0</v>
      </c>
      <c r="L407" s="16">
        <f t="shared" si="34"/>
        <v>0</v>
      </c>
    </row>
    <row r="408" spans="1:12" ht="18">
      <c r="A408" s="6"/>
      <c r="B408" s="293">
        <v>46</v>
      </c>
      <c r="C408" s="294" t="s">
        <v>551</v>
      </c>
      <c r="D408" s="309" t="s">
        <v>130</v>
      </c>
      <c r="E408" s="314">
        <v>3.089</v>
      </c>
      <c r="F408" s="297">
        <v>42496</v>
      </c>
      <c r="G408" s="30">
        <v>1</v>
      </c>
      <c r="H408" s="19">
        <f t="shared" si="36"/>
        <v>3.089</v>
      </c>
      <c r="I408" s="19">
        <f t="shared" si="37"/>
        <v>0</v>
      </c>
      <c r="J408" s="12">
        <f t="shared" si="33"/>
        <v>0</v>
      </c>
      <c r="K408" s="12">
        <f t="shared" si="35"/>
        <v>0</v>
      </c>
      <c r="L408" s="12">
        <f t="shared" si="34"/>
        <v>0</v>
      </c>
    </row>
    <row r="409" spans="1:12" ht="18">
      <c r="A409" s="6"/>
      <c r="B409" s="300">
        <v>45</v>
      </c>
      <c r="C409" s="301" t="s">
        <v>117</v>
      </c>
      <c r="D409" s="318" t="s">
        <v>132</v>
      </c>
      <c r="E409" s="303">
        <v>9.16</v>
      </c>
      <c r="F409" s="304">
        <v>42496</v>
      </c>
      <c r="G409" s="29">
        <v>0</v>
      </c>
      <c r="H409" s="27">
        <f t="shared" si="36"/>
        <v>0</v>
      </c>
      <c r="I409" s="27">
        <f t="shared" si="37"/>
        <v>9.16</v>
      </c>
      <c r="J409" s="16">
        <f t="shared" si="33"/>
        <v>0</v>
      </c>
      <c r="K409" s="16">
        <f t="shared" si="35"/>
        <v>0</v>
      </c>
      <c r="L409" s="16">
        <f t="shared" si="34"/>
        <v>0</v>
      </c>
    </row>
    <row r="410" spans="1:12" ht="36">
      <c r="A410" s="6"/>
      <c r="B410" s="293">
        <v>44</v>
      </c>
      <c r="C410" s="294" t="s">
        <v>336</v>
      </c>
      <c r="D410" s="309" t="s">
        <v>130</v>
      </c>
      <c r="E410" s="314">
        <v>3.2</v>
      </c>
      <c r="F410" s="297">
        <v>42495</v>
      </c>
      <c r="G410" s="30">
        <v>1</v>
      </c>
      <c r="H410" s="19">
        <f t="shared" si="36"/>
        <v>3.2</v>
      </c>
      <c r="I410" s="19">
        <f t="shared" si="37"/>
        <v>0</v>
      </c>
      <c r="J410" s="12">
        <f t="shared" si="33"/>
        <v>0</v>
      </c>
      <c r="K410" s="12">
        <f t="shared" si="35"/>
        <v>0</v>
      </c>
      <c r="L410" s="12">
        <f t="shared" si="34"/>
        <v>0</v>
      </c>
    </row>
    <row r="411" spans="1:12" ht="54">
      <c r="A411" s="6"/>
      <c r="B411" s="293">
        <v>43</v>
      </c>
      <c r="C411" s="294" t="s">
        <v>534</v>
      </c>
      <c r="D411" s="309" t="s">
        <v>130</v>
      </c>
      <c r="E411" s="314">
        <v>3.12</v>
      </c>
      <c r="F411" s="297">
        <v>42489</v>
      </c>
      <c r="G411" s="30">
        <v>1</v>
      </c>
      <c r="H411" s="19">
        <f t="shared" si="36"/>
        <v>3.12</v>
      </c>
      <c r="I411" s="19">
        <f t="shared" si="37"/>
        <v>0</v>
      </c>
      <c r="J411" s="12">
        <f t="shared" si="33"/>
        <v>0</v>
      </c>
      <c r="K411" s="12">
        <f t="shared" si="35"/>
        <v>0</v>
      </c>
      <c r="L411" s="12">
        <f t="shared" si="34"/>
        <v>0</v>
      </c>
    </row>
    <row r="412" spans="1:12" ht="18">
      <c r="A412" s="6"/>
      <c r="B412" s="293">
        <v>42</v>
      </c>
      <c r="C412" s="294" t="s">
        <v>552</v>
      </c>
      <c r="D412" s="309" t="s">
        <v>130</v>
      </c>
      <c r="E412" s="314">
        <v>6.78</v>
      </c>
      <c r="F412" s="297">
        <v>42489</v>
      </c>
      <c r="G412" s="30">
        <v>1</v>
      </c>
      <c r="H412" s="19">
        <f t="shared" si="36"/>
        <v>6.78</v>
      </c>
      <c r="I412" s="19">
        <f t="shared" si="37"/>
        <v>0</v>
      </c>
      <c r="J412" s="12">
        <f t="shared" si="33"/>
        <v>0</v>
      </c>
      <c r="K412" s="12">
        <f t="shared" si="35"/>
        <v>0</v>
      </c>
      <c r="L412" s="12">
        <f t="shared" si="34"/>
        <v>0</v>
      </c>
    </row>
    <row r="413" spans="1:12" ht="18">
      <c r="A413" s="6"/>
      <c r="B413" s="300">
        <v>41</v>
      </c>
      <c r="C413" s="301" t="s">
        <v>328</v>
      </c>
      <c r="D413" s="302" t="s">
        <v>132</v>
      </c>
      <c r="E413" s="303">
        <v>12.8</v>
      </c>
      <c r="F413" s="304">
        <v>42482</v>
      </c>
      <c r="G413" s="29">
        <v>0</v>
      </c>
      <c r="H413" s="27">
        <f t="shared" si="36"/>
        <v>0</v>
      </c>
      <c r="I413" s="27">
        <f t="shared" si="37"/>
        <v>12.8</v>
      </c>
      <c r="J413" s="16">
        <f t="shared" si="33"/>
        <v>0</v>
      </c>
      <c r="K413" s="16">
        <f t="shared" si="35"/>
        <v>0</v>
      </c>
      <c r="L413" s="16">
        <f t="shared" si="34"/>
        <v>0</v>
      </c>
    </row>
    <row r="414" spans="1:12" ht="36">
      <c r="A414" s="6"/>
      <c r="B414" s="293">
        <v>40</v>
      </c>
      <c r="C414" s="294" t="s">
        <v>344</v>
      </c>
      <c r="D414" s="309" t="s">
        <v>130</v>
      </c>
      <c r="E414" s="314">
        <v>3.5</v>
      </c>
      <c r="F414" s="297">
        <v>42482</v>
      </c>
      <c r="G414" s="30">
        <v>1</v>
      </c>
      <c r="H414" s="19">
        <f t="shared" si="36"/>
        <v>3.5</v>
      </c>
      <c r="I414" s="19">
        <f t="shared" si="37"/>
        <v>0</v>
      </c>
      <c r="J414" s="12">
        <f t="shared" si="33"/>
        <v>0</v>
      </c>
      <c r="K414" s="12">
        <f t="shared" si="35"/>
        <v>0</v>
      </c>
      <c r="L414" s="12">
        <f t="shared" si="34"/>
        <v>0</v>
      </c>
    </row>
    <row r="415" spans="1:12" ht="90">
      <c r="A415" s="6"/>
      <c r="B415" s="293">
        <v>39</v>
      </c>
      <c r="C415" s="294" t="s">
        <v>553</v>
      </c>
      <c r="D415" s="309" t="s">
        <v>131</v>
      </c>
      <c r="E415" s="314">
        <v>9.7799999999999994</v>
      </c>
      <c r="F415" s="297">
        <v>42478</v>
      </c>
      <c r="G415" s="30">
        <v>1</v>
      </c>
      <c r="H415" s="19">
        <f t="shared" si="36"/>
        <v>9.7799999999999994</v>
      </c>
      <c r="I415" s="19">
        <f t="shared" si="37"/>
        <v>0</v>
      </c>
      <c r="J415" s="12">
        <f t="shared" si="33"/>
        <v>9.7799999999999994</v>
      </c>
      <c r="K415" s="12">
        <f t="shared" si="35"/>
        <v>0</v>
      </c>
      <c r="L415" s="12">
        <f t="shared" si="34"/>
        <v>0</v>
      </c>
    </row>
    <row r="416" spans="1:12" ht="36">
      <c r="A416" s="6"/>
      <c r="B416" s="300">
        <v>38</v>
      </c>
      <c r="C416" s="301" t="s">
        <v>338</v>
      </c>
      <c r="D416" s="318" t="s">
        <v>130</v>
      </c>
      <c r="E416" s="303">
        <v>4.1429999999999998</v>
      </c>
      <c r="F416" s="304">
        <v>42475</v>
      </c>
      <c r="G416" s="29">
        <v>0</v>
      </c>
      <c r="H416" s="27">
        <f t="shared" si="36"/>
        <v>0</v>
      </c>
      <c r="I416" s="27">
        <f t="shared" si="37"/>
        <v>4.1429999999999998</v>
      </c>
      <c r="J416" s="16">
        <f t="shared" si="33"/>
        <v>0</v>
      </c>
      <c r="K416" s="16">
        <f t="shared" si="35"/>
        <v>0</v>
      </c>
      <c r="L416" s="16">
        <f t="shared" si="34"/>
        <v>0</v>
      </c>
    </row>
    <row r="417" spans="1:12" ht="36">
      <c r="A417" s="6"/>
      <c r="B417" s="300">
        <v>37</v>
      </c>
      <c r="C417" s="301" t="s">
        <v>362</v>
      </c>
      <c r="D417" s="318" t="s">
        <v>142</v>
      </c>
      <c r="E417" s="303">
        <v>1.0669999999999999</v>
      </c>
      <c r="F417" s="304">
        <v>42475</v>
      </c>
      <c r="G417" s="29">
        <v>0</v>
      </c>
      <c r="H417" s="27">
        <f t="shared" si="36"/>
        <v>0</v>
      </c>
      <c r="I417" s="27">
        <f t="shared" si="37"/>
        <v>1.0669999999999999</v>
      </c>
      <c r="J417" s="16">
        <f t="shared" si="33"/>
        <v>0</v>
      </c>
      <c r="K417" s="16">
        <f t="shared" si="35"/>
        <v>0</v>
      </c>
      <c r="L417" s="16">
        <f t="shared" si="34"/>
        <v>0</v>
      </c>
    </row>
    <row r="418" spans="1:12" ht="18">
      <c r="A418" s="6"/>
      <c r="B418" s="300">
        <v>36</v>
      </c>
      <c r="C418" s="301" t="s">
        <v>545</v>
      </c>
      <c r="D418" s="318" t="s">
        <v>132</v>
      </c>
      <c r="E418" s="303">
        <v>14.4</v>
      </c>
      <c r="F418" s="304">
        <v>42475</v>
      </c>
      <c r="G418" s="29">
        <v>0</v>
      </c>
      <c r="H418" s="27">
        <f t="shared" si="36"/>
        <v>0</v>
      </c>
      <c r="I418" s="27">
        <f t="shared" si="37"/>
        <v>14.4</v>
      </c>
      <c r="J418" s="16">
        <f t="shared" si="33"/>
        <v>0</v>
      </c>
      <c r="K418" s="16">
        <f t="shared" si="35"/>
        <v>0</v>
      </c>
      <c r="L418" s="16">
        <f t="shared" si="34"/>
        <v>0</v>
      </c>
    </row>
    <row r="419" spans="1:12" ht="36">
      <c r="A419" s="6"/>
      <c r="B419" s="293">
        <v>35</v>
      </c>
      <c r="C419" s="294" t="s">
        <v>554</v>
      </c>
      <c r="D419" s="309" t="s">
        <v>131</v>
      </c>
      <c r="E419" s="314">
        <v>4.3</v>
      </c>
      <c r="F419" s="297">
        <v>42474</v>
      </c>
      <c r="G419" s="30">
        <v>1</v>
      </c>
      <c r="H419" s="19">
        <f t="shared" si="36"/>
        <v>4.3</v>
      </c>
      <c r="I419" s="19">
        <f t="shared" si="37"/>
        <v>0</v>
      </c>
      <c r="J419" s="12">
        <f t="shared" si="33"/>
        <v>4.3</v>
      </c>
      <c r="K419" s="12">
        <f t="shared" si="35"/>
        <v>0</v>
      </c>
      <c r="L419" s="12">
        <f t="shared" si="34"/>
        <v>0</v>
      </c>
    </row>
    <row r="420" spans="1:12" ht="36">
      <c r="A420" s="6"/>
      <c r="B420" s="293">
        <v>34</v>
      </c>
      <c r="C420" s="294" t="s">
        <v>555</v>
      </c>
      <c r="D420" s="309" t="s">
        <v>130</v>
      </c>
      <c r="E420" s="314">
        <v>0.86299999999999999</v>
      </c>
      <c r="F420" s="297">
        <v>42474</v>
      </c>
      <c r="G420" s="30">
        <v>1</v>
      </c>
      <c r="H420" s="19">
        <f t="shared" si="36"/>
        <v>0.86299999999999999</v>
      </c>
      <c r="I420" s="19">
        <f t="shared" si="37"/>
        <v>0</v>
      </c>
      <c r="J420" s="12">
        <f t="shared" si="33"/>
        <v>0</v>
      </c>
      <c r="K420" s="12">
        <f t="shared" si="35"/>
        <v>0</v>
      </c>
      <c r="L420" s="12">
        <f t="shared" si="34"/>
        <v>0</v>
      </c>
    </row>
    <row r="421" spans="1:12" ht="18">
      <c r="A421" s="6"/>
      <c r="B421" s="293">
        <v>33</v>
      </c>
      <c r="C421" s="294" t="s">
        <v>549</v>
      </c>
      <c r="D421" s="309" t="s">
        <v>131</v>
      </c>
      <c r="E421" s="314">
        <v>401.6</v>
      </c>
      <c r="F421" s="297">
        <v>42474</v>
      </c>
      <c r="G421" s="30">
        <v>1</v>
      </c>
      <c r="H421" s="19">
        <f t="shared" si="36"/>
        <v>401.6</v>
      </c>
      <c r="I421" s="19">
        <f t="shared" si="37"/>
        <v>0</v>
      </c>
      <c r="J421" s="12">
        <f t="shared" si="33"/>
        <v>401.6</v>
      </c>
      <c r="K421" s="12">
        <f t="shared" si="35"/>
        <v>0</v>
      </c>
      <c r="L421" s="12">
        <f t="shared" si="34"/>
        <v>0</v>
      </c>
    </row>
    <row r="422" spans="1:12" ht="18">
      <c r="A422" s="6"/>
      <c r="B422" s="293">
        <v>32</v>
      </c>
      <c r="C422" s="294" t="s">
        <v>552</v>
      </c>
      <c r="D422" s="309" t="s">
        <v>130</v>
      </c>
      <c r="E422" s="314">
        <v>13.56</v>
      </c>
      <c r="F422" s="297">
        <v>42468</v>
      </c>
      <c r="G422" s="30">
        <v>1</v>
      </c>
      <c r="H422" s="19">
        <f t="shared" si="36"/>
        <v>13.56</v>
      </c>
      <c r="I422" s="19">
        <f t="shared" si="37"/>
        <v>0</v>
      </c>
      <c r="J422" s="12">
        <f t="shared" si="33"/>
        <v>0</v>
      </c>
      <c r="K422" s="12">
        <f t="shared" si="35"/>
        <v>0</v>
      </c>
      <c r="L422" s="12">
        <f t="shared" si="34"/>
        <v>0</v>
      </c>
    </row>
    <row r="423" spans="1:12" ht="36">
      <c r="A423" s="6"/>
      <c r="B423" s="293">
        <v>31</v>
      </c>
      <c r="C423" s="294" t="s">
        <v>556</v>
      </c>
      <c r="D423" s="309" t="s">
        <v>130</v>
      </c>
      <c r="E423" s="314">
        <v>1.71</v>
      </c>
      <c r="F423" s="297">
        <v>42468</v>
      </c>
      <c r="G423" s="30">
        <v>1</v>
      </c>
      <c r="H423" s="19">
        <f t="shared" si="36"/>
        <v>1.71</v>
      </c>
      <c r="I423" s="19">
        <f t="shared" si="37"/>
        <v>0</v>
      </c>
      <c r="J423" s="12">
        <f t="shared" si="33"/>
        <v>0</v>
      </c>
      <c r="K423" s="12">
        <f t="shared" si="35"/>
        <v>0</v>
      </c>
      <c r="L423" s="12">
        <f t="shared" si="34"/>
        <v>0</v>
      </c>
    </row>
    <row r="424" spans="1:12" ht="36">
      <c r="A424" s="6"/>
      <c r="B424" s="293">
        <v>30</v>
      </c>
      <c r="C424" s="294" t="s">
        <v>557</v>
      </c>
      <c r="D424" s="309" t="s">
        <v>139</v>
      </c>
      <c r="E424" s="314">
        <v>30.6</v>
      </c>
      <c r="F424" s="297">
        <v>42468</v>
      </c>
      <c r="G424" s="30">
        <v>1</v>
      </c>
      <c r="H424" s="19">
        <f t="shared" si="36"/>
        <v>30.6</v>
      </c>
      <c r="I424" s="19">
        <f t="shared" si="37"/>
        <v>0</v>
      </c>
      <c r="J424" s="12">
        <f t="shared" si="33"/>
        <v>0</v>
      </c>
      <c r="K424" s="12">
        <f t="shared" si="35"/>
        <v>0</v>
      </c>
      <c r="L424" s="12">
        <f t="shared" si="34"/>
        <v>0</v>
      </c>
    </row>
    <row r="425" spans="1:12" ht="36">
      <c r="A425" s="6"/>
      <c r="B425" s="300">
        <v>29</v>
      </c>
      <c r="C425" s="301" t="s">
        <v>558</v>
      </c>
      <c r="D425" s="302" t="s">
        <v>130</v>
      </c>
      <c r="E425" s="303">
        <v>11.781000000000001</v>
      </c>
      <c r="F425" s="304">
        <v>42467</v>
      </c>
      <c r="G425" s="29">
        <v>0</v>
      </c>
      <c r="H425" s="27">
        <f t="shared" si="36"/>
        <v>0</v>
      </c>
      <c r="I425" s="27">
        <f t="shared" si="37"/>
        <v>11.781000000000001</v>
      </c>
      <c r="J425" s="16">
        <f t="shared" si="33"/>
        <v>0</v>
      </c>
      <c r="K425" s="16">
        <f t="shared" si="35"/>
        <v>0</v>
      </c>
      <c r="L425" s="16">
        <f t="shared" si="34"/>
        <v>0</v>
      </c>
    </row>
    <row r="426" spans="1:12" ht="18">
      <c r="A426" s="6"/>
      <c r="B426" s="300">
        <v>28</v>
      </c>
      <c r="C426" s="301" t="s">
        <v>328</v>
      </c>
      <c r="D426" s="302" t="s">
        <v>132</v>
      </c>
      <c r="E426" s="303">
        <v>19.2</v>
      </c>
      <c r="F426" s="304">
        <v>42461</v>
      </c>
      <c r="G426" s="29">
        <v>0</v>
      </c>
      <c r="H426" s="27">
        <f t="shared" si="36"/>
        <v>0</v>
      </c>
      <c r="I426" s="27">
        <f t="shared" si="37"/>
        <v>19.2</v>
      </c>
      <c r="J426" s="16">
        <f t="shared" si="33"/>
        <v>0</v>
      </c>
      <c r="K426" s="16">
        <f t="shared" si="35"/>
        <v>0</v>
      </c>
      <c r="L426" s="16">
        <f t="shared" si="34"/>
        <v>0</v>
      </c>
    </row>
    <row r="427" spans="1:12" ht="18">
      <c r="A427" s="6"/>
      <c r="B427" s="293">
        <v>27</v>
      </c>
      <c r="C427" s="294" t="s">
        <v>526</v>
      </c>
      <c r="D427" s="309" t="s">
        <v>132</v>
      </c>
      <c r="E427" s="314">
        <v>8.3350000000000009</v>
      </c>
      <c r="F427" s="297">
        <v>42461</v>
      </c>
      <c r="G427" s="30">
        <v>1</v>
      </c>
      <c r="H427" s="19">
        <f t="shared" si="36"/>
        <v>8.3350000000000009</v>
      </c>
      <c r="I427" s="19">
        <f t="shared" si="37"/>
        <v>0</v>
      </c>
      <c r="J427" s="12">
        <f t="shared" si="33"/>
        <v>0</v>
      </c>
      <c r="K427" s="12">
        <f t="shared" si="35"/>
        <v>0</v>
      </c>
      <c r="L427" s="12">
        <f t="shared" si="34"/>
        <v>0</v>
      </c>
    </row>
    <row r="428" spans="1:12" ht="36">
      <c r="A428" s="6"/>
      <c r="B428" s="293">
        <v>26</v>
      </c>
      <c r="C428" s="294" t="s">
        <v>559</v>
      </c>
      <c r="D428" s="309" t="s">
        <v>131</v>
      </c>
      <c r="E428" s="314">
        <v>9</v>
      </c>
      <c r="F428" s="297">
        <v>42461</v>
      </c>
      <c r="G428" s="30">
        <v>1</v>
      </c>
      <c r="H428" s="19">
        <f t="shared" si="36"/>
        <v>9</v>
      </c>
      <c r="I428" s="19">
        <f t="shared" si="37"/>
        <v>0</v>
      </c>
      <c r="J428" s="12">
        <f t="shared" si="33"/>
        <v>9</v>
      </c>
      <c r="K428" s="12">
        <f t="shared" si="35"/>
        <v>0</v>
      </c>
      <c r="L428" s="12">
        <f t="shared" si="34"/>
        <v>0</v>
      </c>
    </row>
    <row r="429" spans="1:12" ht="18">
      <c r="A429" s="6"/>
      <c r="B429" s="293">
        <v>25</v>
      </c>
      <c r="C429" s="294" t="s">
        <v>509</v>
      </c>
      <c r="D429" s="309" t="s">
        <v>137</v>
      </c>
      <c r="E429" s="314">
        <v>12.8</v>
      </c>
      <c r="F429" s="297">
        <v>42460</v>
      </c>
      <c r="G429" s="30">
        <v>1</v>
      </c>
      <c r="H429" s="19">
        <f t="shared" si="36"/>
        <v>12.8</v>
      </c>
      <c r="I429" s="19">
        <f t="shared" si="37"/>
        <v>0</v>
      </c>
      <c r="J429" s="12">
        <f t="shared" si="33"/>
        <v>0</v>
      </c>
      <c r="K429" s="12">
        <f t="shared" si="35"/>
        <v>0</v>
      </c>
      <c r="L429" s="12">
        <f t="shared" si="34"/>
        <v>0</v>
      </c>
    </row>
    <row r="430" spans="1:12" ht="18">
      <c r="A430" s="6"/>
      <c r="B430" s="293">
        <v>24</v>
      </c>
      <c r="C430" s="294" t="s">
        <v>560</v>
      </c>
      <c r="D430" s="309" t="s">
        <v>132</v>
      </c>
      <c r="E430" s="314">
        <v>15</v>
      </c>
      <c r="F430" s="297">
        <v>42454</v>
      </c>
      <c r="G430" s="30">
        <v>1</v>
      </c>
      <c r="H430" s="19">
        <f t="shared" si="36"/>
        <v>15</v>
      </c>
      <c r="I430" s="19">
        <f t="shared" si="37"/>
        <v>0</v>
      </c>
      <c r="J430" s="12">
        <f t="shared" si="33"/>
        <v>0</v>
      </c>
      <c r="K430" s="12">
        <f t="shared" si="35"/>
        <v>0</v>
      </c>
      <c r="L430" s="12">
        <f t="shared" si="34"/>
        <v>0</v>
      </c>
    </row>
    <row r="431" spans="1:12" ht="18">
      <c r="A431" s="6"/>
      <c r="B431" s="293">
        <v>23</v>
      </c>
      <c r="C431" s="294" t="s">
        <v>561</v>
      </c>
      <c r="D431" s="309" t="s">
        <v>130</v>
      </c>
      <c r="E431" s="314">
        <v>9.0459999999999994</v>
      </c>
      <c r="F431" s="297">
        <v>42454</v>
      </c>
      <c r="G431" s="30">
        <v>1</v>
      </c>
      <c r="H431" s="19">
        <f t="shared" si="36"/>
        <v>9.0459999999999994</v>
      </c>
      <c r="I431" s="19">
        <f t="shared" si="37"/>
        <v>0</v>
      </c>
      <c r="J431" s="12">
        <f t="shared" si="33"/>
        <v>0</v>
      </c>
      <c r="K431" s="12">
        <f t="shared" si="35"/>
        <v>0</v>
      </c>
      <c r="L431" s="12">
        <f t="shared" si="34"/>
        <v>0</v>
      </c>
    </row>
    <row r="432" spans="1:12" ht="18">
      <c r="A432" s="6"/>
      <c r="B432" s="300">
        <v>22</v>
      </c>
      <c r="C432" s="301" t="s">
        <v>562</v>
      </c>
      <c r="D432" s="318" t="s">
        <v>130</v>
      </c>
      <c r="E432" s="303">
        <v>3.1760000000000002</v>
      </c>
      <c r="F432" s="304">
        <v>42454</v>
      </c>
      <c r="G432" s="29">
        <v>0</v>
      </c>
      <c r="H432" s="27">
        <f t="shared" si="36"/>
        <v>0</v>
      </c>
      <c r="I432" s="27">
        <f t="shared" si="37"/>
        <v>3.1760000000000002</v>
      </c>
      <c r="J432" s="16">
        <f t="shared" si="33"/>
        <v>0</v>
      </c>
      <c r="K432" s="16">
        <f t="shared" si="35"/>
        <v>0</v>
      </c>
      <c r="L432" s="16">
        <f t="shared" si="34"/>
        <v>0</v>
      </c>
    </row>
    <row r="433" spans="1:12" ht="36">
      <c r="A433" s="6"/>
      <c r="B433" s="293">
        <v>21</v>
      </c>
      <c r="C433" s="294" t="s">
        <v>323</v>
      </c>
      <c r="D433" s="295" t="s">
        <v>138</v>
      </c>
      <c r="E433" s="314">
        <v>150</v>
      </c>
      <c r="F433" s="297">
        <v>42454</v>
      </c>
      <c r="G433" s="32">
        <v>1</v>
      </c>
      <c r="H433" s="19">
        <f t="shared" si="36"/>
        <v>150</v>
      </c>
      <c r="I433" s="19">
        <f t="shared" si="37"/>
        <v>0</v>
      </c>
      <c r="J433" s="12">
        <f t="shared" si="33"/>
        <v>0</v>
      </c>
      <c r="K433" s="12">
        <f t="shared" si="35"/>
        <v>0</v>
      </c>
      <c r="L433" s="12">
        <f t="shared" si="34"/>
        <v>150</v>
      </c>
    </row>
    <row r="434" spans="1:12" ht="36">
      <c r="A434" s="6"/>
      <c r="B434" s="300">
        <v>20</v>
      </c>
      <c r="C434" s="301" t="s">
        <v>159</v>
      </c>
      <c r="D434" s="302" t="s">
        <v>142</v>
      </c>
      <c r="E434" s="303">
        <v>3.2010000000000001</v>
      </c>
      <c r="F434" s="304">
        <v>42447</v>
      </c>
      <c r="G434" s="29">
        <v>0</v>
      </c>
      <c r="H434" s="27">
        <f t="shared" si="36"/>
        <v>0</v>
      </c>
      <c r="I434" s="27">
        <f t="shared" si="37"/>
        <v>3.2010000000000001</v>
      </c>
      <c r="J434" s="16">
        <f t="shared" si="33"/>
        <v>0</v>
      </c>
      <c r="K434" s="16">
        <f t="shared" si="35"/>
        <v>0</v>
      </c>
      <c r="L434" s="16">
        <f t="shared" si="34"/>
        <v>0</v>
      </c>
    </row>
    <row r="435" spans="1:12" ht="54">
      <c r="A435" s="6"/>
      <c r="B435" s="293">
        <v>19</v>
      </c>
      <c r="C435" s="294" t="s">
        <v>563</v>
      </c>
      <c r="D435" s="295" t="s">
        <v>131</v>
      </c>
      <c r="E435" s="314">
        <v>1.2</v>
      </c>
      <c r="F435" s="297">
        <v>42440</v>
      </c>
      <c r="G435" s="32">
        <v>1</v>
      </c>
      <c r="H435" s="19">
        <f t="shared" si="36"/>
        <v>1.2</v>
      </c>
      <c r="I435" s="19">
        <f t="shared" si="37"/>
        <v>0</v>
      </c>
      <c r="J435" s="12">
        <f t="shared" si="33"/>
        <v>1.2</v>
      </c>
      <c r="K435" s="12">
        <f t="shared" si="35"/>
        <v>0</v>
      </c>
      <c r="L435" s="12">
        <f t="shared" si="34"/>
        <v>0</v>
      </c>
    </row>
    <row r="436" spans="1:12" ht="18">
      <c r="A436" s="6"/>
      <c r="B436" s="300">
        <v>18</v>
      </c>
      <c r="C436" s="301" t="s">
        <v>545</v>
      </c>
      <c r="D436" s="318" t="s">
        <v>132</v>
      </c>
      <c r="E436" s="303">
        <v>12</v>
      </c>
      <c r="F436" s="304">
        <v>42440</v>
      </c>
      <c r="G436" s="29">
        <v>0</v>
      </c>
      <c r="H436" s="27">
        <f t="shared" si="36"/>
        <v>0</v>
      </c>
      <c r="I436" s="27">
        <f t="shared" si="37"/>
        <v>12</v>
      </c>
      <c r="J436" s="16">
        <f t="shared" si="33"/>
        <v>0</v>
      </c>
      <c r="K436" s="16">
        <f t="shared" si="35"/>
        <v>0</v>
      </c>
      <c r="L436" s="16">
        <f t="shared" si="34"/>
        <v>0</v>
      </c>
    </row>
    <row r="437" spans="1:12" ht="18">
      <c r="A437" s="6"/>
      <c r="B437" s="300">
        <v>17</v>
      </c>
      <c r="C437" s="301" t="s">
        <v>328</v>
      </c>
      <c r="D437" s="302" t="s">
        <v>132</v>
      </c>
      <c r="E437" s="303">
        <v>12.8</v>
      </c>
      <c r="F437" s="304">
        <v>42433</v>
      </c>
      <c r="G437" s="29">
        <v>0</v>
      </c>
      <c r="H437" s="27">
        <f t="shared" si="36"/>
        <v>0</v>
      </c>
      <c r="I437" s="27">
        <f t="shared" si="37"/>
        <v>12.8</v>
      </c>
      <c r="J437" s="16">
        <f t="shared" si="33"/>
        <v>0</v>
      </c>
      <c r="K437" s="16">
        <f t="shared" si="35"/>
        <v>0</v>
      </c>
      <c r="L437" s="16">
        <f t="shared" si="34"/>
        <v>0</v>
      </c>
    </row>
    <row r="438" spans="1:12" ht="36">
      <c r="A438" s="6"/>
      <c r="B438" s="293">
        <v>16</v>
      </c>
      <c r="C438" s="294" t="s">
        <v>564</v>
      </c>
      <c r="D438" s="295" t="s">
        <v>130</v>
      </c>
      <c r="E438" s="314">
        <v>7.1</v>
      </c>
      <c r="F438" s="297">
        <v>42432</v>
      </c>
      <c r="G438" s="30">
        <v>1</v>
      </c>
      <c r="H438" s="19">
        <f t="shared" si="36"/>
        <v>7.1</v>
      </c>
      <c r="I438" s="19">
        <f t="shared" si="37"/>
        <v>0</v>
      </c>
      <c r="J438" s="12">
        <f t="shared" si="33"/>
        <v>0</v>
      </c>
      <c r="K438" s="12">
        <f t="shared" si="35"/>
        <v>0</v>
      </c>
      <c r="L438" s="12">
        <f t="shared" si="34"/>
        <v>0</v>
      </c>
    </row>
    <row r="439" spans="1:12" ht="36">
      <c r="A439" s="6"/>
      <c r="B439" s="300">
        <v>15</v>
      </c>
      <c r="C439" s="301" t="s">
        <v>279</v>
      </c>
      <c r="D439" s="302" t="s">
        <v>134</v>
      </c>
      <c r="E439" s="303">
        <v>5.4249999999999998</v>
      </c>
      <c r="F439" s="304">
        <v>42432</v>
      </c>
      <c r="G439" s="29">
        <v>0</v>
      </c>
      <c r="H439" s="27">
        <f t="shared" si="36"/>
        <v>0</v>
      </c>
      <c r="I439" s="27">
        <f t="shared" si="37"/>
        <v>5.4249999999999998</v>
      </c>
      <c r="J439" s="16">
        <f t="shared" si="33"/>
        <v>0</v>
      </c>
      <c r="K439" s="16">
        <f t="shared" si="35"/>
        <v>0</v>
      </c>
      <c r="L439" s="16">
        <f t="shared" si="34"/>
        <v>0</v>
      </c>
    </row>
    <row r="440" spans="1:12" ht="36">
      <c r="A440" s="6"/>
      <c r="B440" s="293">
        <v>14</v>
      </c>
      <c r="C440" s="294" t="s">
        <v>565</v>
      </c>
      <c r="D440" s="309" t="s">
        <v>138</v>
      </c>
      <c r="E440" s="314">
        <v>145</v>
      </c>
      <c r="F440" s="297">
        <v>42425</v>
      </c>
      <c r="G440" s="30">
        <v>1</v>
      </c>
      <c r="H440" s="19">
        <f t="shared" si="36"/>
        <v>145</v>
      </c>
      <c r="I440" s="19">
        <f t="shared" si="37"/>
        <v>0</v>
      </c>
      <c r="J440" s="12">
        <f t="shared" si="33"/>
        <v>0</v>
      </c>
      <c r="K440" s="12">
        <f t="shared" si="35"/>
        <v>0</v>
      </c>
      <c r="L440" s="12">
        <f t="shared" si="34"/>
        <v>145</v>
      </c>
    </row>
    <row r="441" spans="1:12" ht="18">
      <c r="A441" s="6"/>
      <c r="B441" s="293">
        <v>13</v>
      </c>
      <c r="C441" s="294" t="s">
        <v>332</v>
      </c>
      <c r="D441" s="309" t="s">
        <v>130</v>
      </c>
      <c r="E441" s="314">
        <v>5.6639999999999997</v>
      </c>
      <c r="F441" s="297">
        <v>42419</v>
      </c>
      <c r="G441" s="30">
        <v>1</v>
      </c>
      <c r="H441" s="19">
        <f t="shared" si="36"/>
        <v>5.6639999999999997</v>
      </c>
      <c r="I441" s="19">
        <f t="shared" si="37"/>
        <v>0</v>
      </c>
      <c r="J441" s="12">
        <f t="shared" si="33"/>
        <v>0</v>
      </c>
      <c r="K441" s="12">
        <f t="shared" si="35"/>
        <v>0</v>
      </c>
      <c r="L441" s="12">
        <f t="shared" si="34"/>
        <v>0</v>
      </c>
    </row>
    <row r="442" spans="1:12" ht="18">
      <c r="A442" s="6"/>
      <c r="B442" s="300">
        <v>12</v>
      </c>
      <c r="C442" s="301" t="s">
        <v>566</v>
      </c>
      <c r="D442" s="318" t="s">
        <v>132</v>
      </c>
      <c r="E442" s="303">
        <v>20</v>
      </c>
      <c r="F442" s="304">
        <v>42412</v>
      </c>
      <c r="G442" s="29">
        <v>0</v>
      </c>
      <c r="H442" s="27">
        <f t="shared" si="36"/>
        <v>0</v>
      </c>
      <c r="I442" s="27">
        <f t="shared" si="37"/>
        <v>20</v>
      </c>
      <c r="J442" s="16">
        <f t="shared" si="33"/>
        <v>0</v>
      </c>
      <c r="K442" s="16">
        <f t="shared" si="35"/>
        <v>0</v>
      </c>
      <c r="L442" s="16">
        <f t="shared" si="34"/>
        <v>0</v>
      </c>
    </row>
    <row r="443" spans="1:12" ht="54">
      <c r="A443" s="6"/>
      <c r="B443" s="300">
        <v>11</v>
      </c>
      <c r="C443" s="301" t="s">
        <v>567</v>
      </c>
      <c r="D443" s="318" t="s">
        <v>130</v>
      </c>
      <c r="E443" s="303">
        <v>47.628</v>
      </c>
      <c r="F443" s="304">
        <v>42411</v>
      </c>
      <c r="G443" s="29">
        <v>0</v>
      </c>
      <c r="H443" s="27">
        <f t="shared" si="36"/>
        <v>0</v>
      </c>
      <c r="I443" s="27">
        <f t="shared" si="37"/>
        <v>47.628</v>
      </c>
      <c r="J443" s="16">
        <f t="shared" si="33"/>
        <v>0</v>
      </c>
      <c r="K443" s="16">
        <f t="shared" si="35"/>
        <v>0</v>
      </c>
      <c r="L443" s="16">
        <f t="shared" si="34"/>
        <v>0</v>
      </c>
    </row>
    <row r="444" spans="1:12" ht="54">
      <c r="A444" s="6"/>
      <c r="B444" s="293">
        <v>10</v>
      </c>
      <c r="C444" s="294" t="s">
        <v>143</v>
      </c>
      <c r="D444" s="309" t="s">
        <v>131</v>
      </c>
      <c r="E444" s="314">
        <v>4.3</v>
      </c>
      <c r="F444" s="297">
        <v>42406</v>
      </c>
      <c r="G444" s="30">
        <v>1</v>
      </c>
      <c r="H444" s="19">
        <f t="shared" si="36"/>
        <v>4.3</v>
      </c>
      <c r="I444" s="19">
        <f t="shared" si="37"/>
        <v>0</v>
      </c>
      <c r="J444" s="12">
        <f t="shared" si="33"/>
        <v>4.3</v>
      </c>
      <c r="K444" s="12">
        <f t="shared" si="35"/>
        <v>0</v>
      </c>
      <c r="L444" s="12">
        <f t="shared" si="34"/>
        <v>0</v>
      </c>
    </row>
    <row r="445" spans="1:12" ht="36">
      <c r="A445" s="6"/>
      <c r="B445" s="293">
        <v>9</v>
      </c>
      <c r="C445" s="294" t="s">
        <v>321</v>
      </c>
      <c r="D445" s="309" t="s">
        <v>130</v>
      </c>
      <c r="E445" s="311">
        <v>166.09</v>
      </c>
      <c r="F445" s="297">
        <v>42403</v>
      </c>
      <c r="G445" s="30">
        <v>1</v>
      </c>
      <c r="H445" s="19">
        <f t="shared" si="36"/>
        <v>166.09</v>
      </c>
      <c r="I445" s="19">
        <f t="shared" si="37"/>
        <v>0</v>
      </c>
      <c r="J445" s="12">
        <f t="shared" si="33"/>
        <v>0</v>
      </c>
      <c r="K445" s="12">
        <f t="shared" si="35"/>
        <v>0</v>
      </c>
      <c r="L445" s="12">
        <f t="shared" si="34"/>
        <v>0</v>
      </c>
    </row>
    <row r="446" spans="1:12" ht="18">
      <c r="A446" s="6"/>
      <c r="B446" s="300">
        <v>8</v>
      </c>
      <c r="C446" s="301" t="s">
        <v>545</v>
      </c>
      <c r="D446" s="318" t="s">
        <v>132</v>
      </c>
      <c r="E446" s="303">
        <v>9.6</v>
      </c>
      <c r="F446" s="304">
        <v>42398</v>
      </c>
      <c r="G446" s="29">
        <v>0</v>
      </c>
      <c r="H446" s="27">
        <f t="shared" si="36"/>
        <v>0</v>
      </c>
      <c r="I446" s="27">
        <f t="shared" si="37"/>
        <v>9.6</v>
      </c>
      <c r="J446" s="16">
        <f t="shared" si="33"/>
        <v>0</v>
      </c>
      <c r="K446" s="16">
        <f t="shared" si="35"/>
        <v>0</v>
      </c>
      <c r="L446" s="16">
        <f t="shared" si="34"/>
        <v>0</v>
      </c>
    </row>
    <row r="447" spans="1:12" ht="36">
      <c r="A447" s="6"/>
      <c r="B447" s="293">
        <v>7</v>
      </c>
      <c r="C447" s="294" t="s">
        <v>376</v>
      </c>
      <c r="D447" s="309" t="s">
        <v>138</v>
      </c>
      <c r="E447" s="314">
        <v>135</v>
      </c>
      <c r="F447" s="297">
        <v>42398</v>
      </c>
      <c r="G447" s="30">
        <v>1</v>
      </c>
      <c r="H447" s="19">
        <f t="shared" si="36"/>
        <v>135</v>
      </c>
      <c r="I447" s="19">
        <f t="shared" si="37"/>
        <v>0</v>
      </c>
      <c r="J447" s="12">
        <f t="shared" si="33"/>
        <v>0</v>
      </c>
      <c r="K447" s="12">
        <f t="shared" si="35"/>
        <v>0</v>
      </c>
      <c r="L447" s="12">
        <f t="shared" si="34"/>
        <v>135</v>
      </c>
    </row>
    <row r="448" spans="1:12" ht="18">
      <c r="A448" s="6"/>
      <c r="B448" s="300">
        <v>6</v>
      </c>
      <c r="C448" s="301" t="s">
        <v>312</v>
      </c>
      <c r="D448" s="318" t="s">
        <v>132</v>
      </c>
      <c r="E448" s="303">
        <v>16.8</v>
      </c>
      <c r="F448" s="304">
        <v>42398</v>
      </c>
      <c r="G448" s="29">
        <v>0</v>
      </c>
      <c r="H448" s="27">
        <f t="shared" si="36"/>
        <v>0</v>
      </c>
      <c r="I448" s="27">
        <f t="shared" si="37"/>
        <v>16.8</v>
      </c>
      <c r="J448" s="16">
        <f t="shared" si="33"/>
        <v>0</v>
      </c>
      <c r="K448" s="16">
        <f t="shared" si="35"/>
        <v>0</v>
      </c>
      <c r="L448" s="16">
        <f t="shared" si="34"/>
        <v>0</v>
      </c>
    </row>
    <row r="449" spans="1:12" ht="36">
      <c r="A449" s="6"/>
      <c r="B449" s="293">
        <v>5</v>
      </c>
      <c r="C449" s="294" t="s">
        <v>568</v>
      </c>
      <c r="D449" s="309" t="s">
        <v>130</v>
      </c>
      <c r="E449" s="311">
        <v>50</v>
      </c>
      <c r="F449" s="351">
        <v>42398</v>
      </c>
      <c r="G449" s="30">
        <v>1</v>
      </c>
      <c r="H449" s="19">
        <f t="shared" si="36"/>
        <v>50</v>
      </c>
      <c r="I449" s="19">
        <f t="shared" si="37"/>
        <v>0</v>
      </c>
      <c r="J449" s="12">
        <f t="shared" si="33"/>
        <v>0</v>
      </c>
      <c r="K449" s="12">
        <f t="shared" si="35"/>
        <v>0</v>
      </c>
      <c r="L449" s="12">
        <f t="shared" si="34"/>
        <v>0</v>
      </c>
    </row>
    <row r="450" spans="1:12" ht="18">
      <c r="A450" s="6"/>
      <c r="B450" s="300">
        <v>4</v>
      </c>
      <c r="C450" s="301" t="s">
        <v>304</v>
      </c>
      <c r="D450" s="318" t="s">
        <v>132</v>
      </c>
      <c r="E450" s="303">
        <v>8.8000000000000007</v>
      </c>
      <c r="F450" s="304">
        <v>42391</v>
      </c>
      <c r="G450" s="29">
        <v>0</v>
      </c>
      <c r="H450" s="27">
        <f t="shared" si="36"/>
        <v>0</v>
      </c>
      <c r="I450" s="27">
        <f t="shared" si="37"/>
        <v>8.8000000000000007</v>
      </c>
      <c r="J450" s="16">
        <f t="shared" si="33"/>
        <v>0</v>
      </c>
      <c r="K450" s="16">
        <f t="shared" si="35"/>
        <v>0</v>
      </c>
      <c r="L450" s="16">
        <f t="shared" si="34"/>
        <v>0</v>
      </c>
    </row>
    <row r="451" spans="1:12" ht="54">
      <c r="A451" s="6"/>
      <c r="B451" s="293">
        <v>3</v>
      </c>
      <c r="C451" s="294" t="s">
        <v>569</v>
      </c>
      <c r="D451" s="309" t="s">
        <v>131</v>
      </c>
      <c r="E451" s="314">
        <v>4.3</v>
      </c>
      <c r="F451" s="297">
        <v>42391</v>
      </c>
      <c r="G451" s="32">
        <v>1</v>
      </c>
      <c r="H451" s="19">
        <f t="shared" si="36"/>
        <v>4.3</v>
      </c>
      <c r="I451" s="19">
        <f t="shared" si="37"/>
        <v>0</v>
      </c>
      <c r="J451" s="12">
        <f t="shared" si="33"/>
        <v>4.3</v>
      </c>
      <c r="K451" s="12">
        <f t="shared" si="35"/>
        <v>0</v>
      </c>
      <c r="L451" s="12">
        <f t="shared" si="34"/>
        <v>0</v>
      </c>
    </row>
    <row r="452" spans="1:12" ht="18">
      <c r="A452" s="6"/>
      <c r="B452" s="300">
        <v>2</v>
      </c>
      <c r="C452" s="301" t="s">
        <v>219</v>
      </c>
      <c r="D452" s="318" t="s">
        <v>137</v>
      </c>
      <c r="E452" s="327">
        <v>11.27</v>
      </c>
      <c r="F452" s="352">
        <v>42384</v>
      </c>
      <c r="G452" s="29">
        <v>0</v>
      </c>
      <c r="H452" s="27">
        <f t="shared" si="36"/>
        <v>0</v>
      </c>
      <c r="I452" s="27">
        <f t="shared" si="37"/>
        <v>11.27</v>
      </c>
      <c r="J452" s="16">
        <f t="shared" si="33"/>
        <v>0</v>
      </c>
      <c r="K452" s="16">
        <f t="shared" si="35"/>
        <v>0</v>
      </c>
      <c r="L452" s="16">
        <f t="shared" si="34"/>
        <v>0</v>
      </c>
    </row>
    <row r="453" spans="1:12" ht="36">
      <c r="A453" s="6"/>
      <c r="B453" s="293">
        <v>1</v>
      </c>
      <c r="C453" s="294" t="s">
        <v>570</v>
      </c>
      <c r="D453" s="309" t="s">
        <v>131</v>
      </c>
      <c r="E453" s="314">
        <v>1.2</v>
      </c>
      <c r="F453" s="351">
        <v>42370</v>
      </c>
      <c r="G453" s="30">
        <v>1</v>
      </c>
      <c r="H453" s="19">
        <f t="shared" si="36"/>
        <v>1.2</v>
      </c>
      <c r="I453" s="19">
        <f t="shared" si="37"/>
        <v>0</v>
      </c>
      <c r="J453" s="12">
        <f t="shared" si="33"/>
        <v>1.2</v>
      </c>
      <c r="K453" s="12">
        <f t="shared" si="35"/>
        <v>0</v>
      </c>
      <c r="L453" s="12">
        <f t="shared" si="34"/>
        <v>0</v>
      </c>
    </row>
    <row r="454" spans="1:12">
      <c r="A454" s="6"/>
      <c r="B454" s="353"/>
      <c r="C454" s="353"/>
      <c r="D454" s="353"/>
      <c r="E454" s="354">
        <f>SUM(E214:E453)</f>
        <v>5919.0983300000025</v>
      </c>
      <c r="F454" s="355"/>
      <c r="G454" s="355"/>
      <c r="H454" s="356">
        <f>SUM(H214:H453)</f>
        <v>4610.7069999999994</v>
      </c>
      <c r="I454" s="356">
        <f>SUM(I214:I453)</f>
        <v>1308.3913299999995</v>
      </c>
      <c r="J454" s="356">
        <f>SUM(J214:J453)</f>
        <v>1691.4389999999999</v>
      </c>
      <c r="K454" s="356">
        <f>SUM(K214:K453)</f>
        <v>700</v>
      </c>
      <c r="L454" s="356">
        <f>SUM(L214:L453)</f>
        <v>430</v>
      </c>
    </row>
    <row r="455" spans="1:12">
      <c r="A455" s="6"/>
      <c r="B455" s="353"/>
      <c r="C455" s="353"/>
      <c r="D455" s="353"/>
      <c r="E455" s="354"/>
      <c r="F455" s="355"/>
      <c r="G455" s="355"/>
      <c r="H455" s="356"/>
      <c r="I455" s="356"/>
      <c r="J455" s="356"/>
      <c r="K455" s="356"/>
      <c r="L455" s="356"/>
    </row>
    <row r="458" spans="1:12">
      <c r="B458" s="519">
        <v>2015</v>
      </c>
      <c r="C458" s="519"/>
      <c r="D458" s="519"/>
      <c r="E458" s="519"/>
      <c r="F458" s="519"/>
      <c r="G458" s="519"/>
      <c r="H458" s="519"/>
      <c r="I458" s="519"/>
      <c r="J458" s="519"/>
      <c r="K458" s="519"/>
      <c r="L458" s="519"/>
    </row>
    <row r="459" spans="1:12" ht="110">
      <c r="B459" s="291" t="s">
        <v>151</v>
      </c>
      <c r="C459" s="291" t="s">
        <v>300</v>
      </c>
      <c r="D459" s="291" t="s">
        <v>149</v>
      </c>
      <c r="E459" s="292" t="s">
        <v>811</v>
      </c>
      <c r="F459" s="291" t="s">
        <v>148</v>
      </c>
      <c r="G459" s="291" t="s">
        <v>301</v>
      </c>
      <c r="H459" s="292" t="s">
        <v>147</v>
      </c>
      <c r="I459" s="291" t="s">
        <v>302</v>
      </c>
      <c r="J459" s="291" t="s">
        <v>146</v>
      </c>
      <c r="K459" s="291" t="s">
        <v>145</v>
      </c>
      <c r="L459" s="291" t="s">
        <v>144</v>
      </c>
    </row>
    <row r="460" spans="1:12" ht="18">
      <c r="B460" s="357">
        <v>215</v>
      </c>
      <c r="C460" s="358" t="s">
        <v>304</v>
      </c>
      <c r="D460" s="359" t="s">
        <v>132</v>
      </c>
      <c r="E460" s="360">
        <v>12.8</v>
      </c>
      <c r="F460" s="361">
        <v>42369</v>
      </c>
      <c r="G460" s="16">
        <v>0</v>
      </c>
      <c r="H460" s="27">
        <f>E460*G460</f>
        <v>0</v>
      </c>
      <c r="I460" s="27">
        <f>E460-H460</f>
        <v>12.8</v>
      </c>
      <c r="J460" s="16">
        <f>OR(IF((D460="DG"),1,0),IF(D460="DG/FO",1,0),IF(D460="DG/FO/Linyit",1,0))*E460</f>
        <v>0</v>
      </c>
      <c r="K460" s="16">
        <f>OR(IF((D460="KÖMÜR+DİĞER"),1,0),IF(D460="KÖMÜR",1,0))*E460</f>
        <v>0</v>
      </c>
      <c r="L460" s="16">
        <f>(IF((D460="LİNYİT"),1,0))*E460</f>
        <v>0</v>
      </c>
    </row>
    <row r="461" spans="1:12" ht="36">
      <c r="B461" s="362">
        <v>214</v>
      </c>
      <c r="C461" s="363" t="s">
        <v>305</v>
      </c>
      <c r="D461" s="364" t="s">
        <v>137</v>
      </c>
      <c r="E461" s="365">
        <v>9.7200000000000006</v>
      </c>
      <c r="F461" s="366">
        <v>42368</v>
      </c>
      <c r="G461" s="12">
        <v>1</v>
      </c>
      <c r="H461" s="19">
        <f>E461*G461</f>
        <v>9.7200000000000006</v>
      </c>
      <c r="I461" s="19">
        <f t="shared" ref="I461:I524" si="38">E461-H461</f>
        <v>0</v>
      </c>
      <c r="J461" s="12">
        <f t="shared" ref="J461:J524" si="39">OR(IF((D461="DG"),1,0),IF(D461="DG/FO",1,0),IF(D461="DG/FO/Linyit",1,0))*E461</f>
        <v>0</v>
      </c>
      <c r="K461" s="12">
        <f t="shared" ref="K461:K524" si="40">OR(IF((D461="KÖMÜR+DİĞER"),1,0),IF(D461="KÖMÜR",1,0))*E461</f>
        <v>0</v>
      </c>
      <c r="L461" s="12">
        <f t="shared" ref="L461:L524" si="41">(IF((D461="LİNYİT"),1,0))*E461</f>
        <v>0</v>
      </c>
    </row>
    <row r="462" spans="1:12" ht="36">
      <c r="B462" s="357">
        <v>213</v>
      </c>
      <c r="C462" s="358" t="s">
        <v>306</v>
      </c>
      <c r="D462" s="367" t="s">
        <v>134</v>
      </c>
      <c r="E462" s="360">
        <v>2.83</v>
      </c>
      <c r="F462" s="361">
        <v>42368</v>
      </c>
      <c r="G462" s="16">
        <v>0</v>
      </c>
      <c r="H462" s="27">
        <f t="shared" ref="H462:H525" si="42">E462*G462</f>
        <v>0</v>
      </c>
      <c r="I462" s="27">
        <f t="shared" si="38"/>
        <v>2.83</v>
      </c>
      <c r="J462" s="16">
        <f t="shared" si="39"/>
        <v>0</v>
      </c>
      <c r="K462" s="16">
        <f t="shared" si="40"/>
        <v>0</v>
      </c>
      <c r="L462" s="16">
        <f t="shared" si="41"/>
        <v>0</v>
      </c>
    </row>
    <row r="463" spans="1:12" ht="18">
      <c r="B463" s="362">
        <v>212</v>
      </c>
      <c r="C463" s="363" t="s">
        <v>307</v>
      </c>
      <c r="D463" s="368" t="s">
        <v>130</v>
      </c>
      <c r="E463" s="365">
        <v>5.1390000000000002</v>
      </c>
      <c r="F463" s="366">
        <v>42367</v>
      </c>
      <c r="G463" s="12">
        <v>1</v>
      </c>
      <c r="H463" s="19">
        <f t="shared" si="42"/>
        <v>5.1390000000000002</v>
      </c>
      <c r="I463" s="19">
        <f t="shared" si="38"/>
        <v>0</v>
      </c>
      <c r="J463" s="12">
        <f t="shared" si="39"/>
        <v>0</v>
      </c>
      <c r="K463" s="12">
        <f t="shared" si="40"/>
        <v>0</v>
      </c>
      <c r="L463" s="12">
        <f t="shared" si="41"/>
        <v>0</v>
      </c>
    </row>
    <row r="464" spans="1:12" ht="18">
      <c r="B464" s="362">
        <v>211</v>
      </c>
      <c r="C464" s="363" t="s">
        <v>308</v>
      </c>
      <c r="D464" s="368" t="s">
        <v>131</v>
      </c>
      <c r="E464" s="365">
        <v>4.29</v>
      </c>
      <c r="F464" s="366">
        <v>42363</v>
      </c>
      <c r="G464" s="12">
        <v>1</v>
      </c>
      <c r="H464" s="19">
        <f t="shared" si="42"/>
        <v>4.29</v>
      </c>
      <c r="I464" s="19">
        <f t="shared" si="38"/>
        <v>0</v>
      </c>
      <c r="J464" s="12">
        <f t="shared" si="39"/>
        <v>4.29</v>
      </c>
      <c r="K464" s="12">
        <f t="shared" si="40"/>
        <v>0</v>
      </c>
      <c r="L464" s="12">
        <f t="shared" si="41"/>
        <v>0</v>
      </c>
    </row>
    <row r="465" spans="2:12" ht="18">
      <c r="B465" s="362">
        <v>210</v>
      </c>
      <c r="C465" s="363" t="s">
        <v>309</v>
      </c>
      <c r="D465" s="368" t="s">
        <v>130</v>
      </c>
      <c r="E465" s="365">
        <v>2.74</v>
      </c>
      <c r="F465" s="366">
        <v>42363</v>
      </c>
      <c r="G465" s="12">
        <v>1</v>
      </c>
      <c r="H465" s="19">
        <f t="shared" si="42"/>
        <v>2.74</v>
      </c>
      <c r="I465" s="19">
        <f t="shared" si="38"/>
        <v>0</v>
      </c>
      <c r="J465" s="12">
        <f t="shared" si="39"/>
        <v>0</v>
      </c>
      <c r="K465" s="12">
        <f t="shared" si="40"/>
        <v>0</v>
      </c>
      <c r="L465" s="12">
        <f t="shared" si="41"/>
        <v>0</v>
      </c>
    </row>
    <row r="466" spans="2:12" ht="18">
      <c r="B466" s="357">
        <v>209</v>
      </c>
      <c r="C466" s="358" t="s">
        <v>178</v>
      </c>
      <c r="D466" s="359" t="s">
        <v>132</v>
      </c>
      <c r="E466" s="360">
        <v>15</v>
      </c>
      <c r="F466" s="361">
        <v>42363</v>
      </c>
      <c r="G466" s="16">
        <v>0</v>
      </c>
      <c r="H466" s="27">
        <f t="shared" si="42"/>
        <v>0</v>
      </c>
      <c r="I466" s="27">
        <f t="shared" si="38"/>
        <v>15</v>
      </c>
      <c r="J466" s="16">
        <f t="shared" si="39"/>
        <v>0</v>
      </c>
      <c r="K466" s="16">
        <f t="shared" si="40"/>
        <v>0</v>
      </c>
      <c r="L466" s="16">
        <f t="shared" si="41"/>
        <v>0</v>
      </c>
    </row>
    <row r="467" spans="2:12" ht="18">
      <c r="B467" s="357">
        <v>208</v>
      </c>
      <c r="C467" s="358" t="s">
        <v>310</v>
      </c>
      <c r="D467" s="359" t="s">
        <v>132</v>
      </c>
      <c r="E467" s="360">
        <v>16.5</v>
      </c>
      <c r="F467" s="361">
        <v>42363</v>
      </c>
      <c r="G467" s="16">
        <v>0</v>
      </c>
      <c r="H467" s="27">
        <f t="shared" si="42"/>
        <v>0</v>
      </c>
      <c r="I467" s="27">
        <f t="shared" si="38"/>
        <v>16.5</v>
      </c>
      <c r="J467" s="16">
        <f t="shared" si="39"/>
        <v>0</v>
      </c>
      <c r="K467" s="16">
        <f t="shared" si="40"/>
        <v>0</v>
      </c>
      <c r="L467" s="16">
        <f t="shared" si="41"/>
        <v>0</v>
      </c>
    </row>
    <row r="468" spans="2:12" ht="18">
      <c r="B468" s="362">
        <v>207</v>
      </c>
      <c r="C468" s="363" t="s">
        <v>311</v>
      </c>
      <c r="D468" s="368" t="s">
        <v>130</v>
      </c>
      <c r="E468" s="365">
        <v>2.12</v>
      </c>
      <c r="F468" s="366">
        <v>42363</v>
      </c>
      <c r="G468" s="12">
        <v>1</v>
      </c>
      <c r="H468" s="19">
        <f t="shared" si="42"/>
        <v>2.12</v>
      </c>
      <c r="I468" s="19">
        <f t="shared" si="38"/>
        <v>0</v>
      </c>
      <c r="J468" s="12">
        <f t="shared" si="39"/>
        <v>0</v>
      </c>
      <c r="K468" s="12">
        <f t="shared" si="40"/>
        <v>0</v>
      </c>
      <c r="L468" s="12">
        <f t="shared" si="41"/>
        <v>0</v>
      </c>
    </row>
    <row r="469" spans="2:12" ht="18">
      <c r="B469" s="357">
        <v>206</v>
      </c>
      <c r="C469" s="358" t="s">
        <v>312</v>
      </c>
      <c r="D469" s="359" t="s">
        <v>132</v>
      </c>
      <c r="E469" s="360">
        <v>18.899999999999999</v>
      </c>
      <c r="F469" s="361">
        <v>42363</v>
      </c>
      <c r="G469" s="16">
        <v>0</v>
      </c>
      <c r="H469" s="27">
        <f t="shared" si="42"/>
        <v>0</v>
      </c>
      <c r="I469" s="27">
        <f t="shared" si="38"/>
        <v>18.899999999999999</v>
      </c>
      <c r="J469" s="16">
        <f t="shared" si="39"/>
        <v>0</v>
      </c>
      <c r="K469" s="16">
        <f t="shared" si="40"/>
        <v>0</v>
      </c>
      <c r="L469" s="16">
        <f t="shared" si="41"/>
        <v>0</v>
      </c>
    </row>
    <row r="470" spans="2:12" ht="36">
      <c r="B470" s="362">
        <v>205</v>
      </c>
      <c r="C470" s="363" t="s">
        <v>313</v>
      </c>
      <c r="D470" s="368" t="s">
        <v>314</v>
      </c>
      <c r="E470" s="365">
        <v>135</v>
      </c>
      <c r="F470" s="366">
        <v>42360</v>
      </c>
      <c r="G470" s="12">
        <v>1</v>
      </c>
      <c r="H470" s="19">
        <f t="shared" si="42"/>
        <v>135</v>
      </c>
      <c r="I470" s="19">
        <f t="shared" si="38"/>
        <v>0</v>
      </c>
      <c r="J470" s="12">
        <f t="shared" si="39"/>
        <v>0</v>
      </c>
      <c r="K470" s="12">
        <f>OR(IF((D470="KÖMÜR+DİĞER"),1,0),IF(D470="KÖMÜR",1,0),IF(D470="YERLİ ASFALTİT",1,0))*E470</f>
        <v>135</v>
      </c>
      <c r="L470" s="12">
        <f t="shared" si="41"/>
        <v>0</v>
      </c>
    </row>
    <row r="471" spans="2:12" ht="18">
      <c r="B471" s="362">
        <v>204</v>
      </c>
      <c r="C471" s="363" t="s">
        <v>315</v>
      </c>
      <c r="D471" s="368" t="s">
        <v>130</v>
      </c>
      <c r="E471" s="365">
        <v>13.6</v>
      </c>
      <c r="F471" s="366">
        <v>42357</v>
      </c>
      <c r="G471" s="12">
        <v>1</v>
      </c>
      <c r="H471" s="19">
        <f t="shared" si="42"/>
        <v>13.6</v>
      </c>
      <c r="I471" s="19">
        <f t="shared" si="38"/>
        <v>0</v>
      </c>
      <c r="J471" s="12">
        <f t="shared" si="39"/>
        <v>0</v>
      </c>
      <c r="K471" s="12">
        <f t="shared" si="40"/>
        <v>0</v>
      </c>
      <c r="L471" s="12">
        <f t="shared" si="41"/>
        <v>0</v>
      </c>
    </row>
    <row r="472" spans="2:12" ht="54">
      <c r="B472" s="362">
        <v>203</v>
      </c>
      <c r="C472" s="363" t="s">
        <v>316</v>
      </c>
      <c r="D472" s="364" t="s">
        <v>134</v>
      </c>
      <c r="E472" s="365">
        <v>2.83</v>
      </c>
      <c r="F472" s="366">
        <v>42356</v>
      </c>
      <c r="G472" s="12">
        <v>1</v>
      </c>
      <c r="H472" s="19">
        <f t="shared" si="42"/>
        <v>2.83</v>
      </c>
      <c r="I472" s="19">
        <f t="shared" si="38"/>
        <v>0</v>
      </c>
      <c r="J472" s="12">
        <f t="shared" si="39"/>
        <v>0</v>
      </c>
      <c r="K472" s="12">
        <f t="shared" si="40"/>
        <v>0</v>
      </c>
      <c r="L472" s="12">
        <f t="shared" si="41"/>
        <v>0</v>
      </c>
    </row>
    <row r="473" spans="2:12" ht="18">
      <c r="B473" s="362">
        <v>202</v>
      </c>
      <c r="C473" s="363" t="s">
        <v>317</v>
      </c>
      <c r="D473" s="368" t="s">
        <v>130</v>
      </c>
      <c r="E473" s="365">
        <v>5</v>
      </c>
      <c r="F473" s="366">
        <v>42355</v>
      </c>
      <c r="G473" s="12">
        <v>1</v>
      </c>
      <c r="H473" s="19">
        <f t="shared" si="42"/>
        <v>5</v>
      </c>
      <c r="I473" s="19">
        <f t="shared" si="38"/>
        <v>0</v>
      </c>
      <c r="J473" s="12">
        <f t="shared" si="39"/>
        <v>0</v>
      </c>
      <c r="K473" s="12">
        <f t="shared" si="40"/>
        <v>0</v>
      </c>
      <c r="L473" s="12">
        <f t="shared" si="41"/>
        <v>0</v>
      </c>
    </row>
    <row r="474" spans="2:12" ht="54">
      <c r="B474" s="362">
        <v>201</v>
      </c>
      <c r="C474" s="363" t="s">
        <v>318</v>
      </c>
      <c r="D474" s="364" t="s">
        <v>134</v>
      </c>
      <c r="E474" s="365">
        <v>3.12</v>
      </c>
      <c r="F474" s="366">
        <v>42355</v>
      </c>
      <c r="G474" s="12">
        <v>1</v>
      </c>
      <c r="H474" s="19">
        <f t="shared" si="42"/>
        <v>3.12</v>
      </c>
      <c r="I474" s="19">
        <f t="shared" si="38"/>
        <v>0</v>
      </c>
      <c r="J474" s="12">
        <f t="shared" si="39"/>
        <v>0</v>
      </c>
      <c r="K474" s="12">
        <f t="shared" si="40"/>
        <v>0</v>
      </c>
      <c r="L474" s="12">
        <f t="shared" si="41"/>
        <v>0</v>
      </c>
    </row>
    <row r="475" spans="2:12" ht="18">
      <c r="B475" s="357">
        <v>200</v>
      </c>
      <c r="C475" s="358" t="s">
        <v>319</v>
      </c>
      <c r="D475" s="359" t="s">
        <v>132</v>
      </c>
      <c r="E475" s="360">
        <v>45</v>
      </c>
      <c r="F475" s="361">
        <v>42352</v>
      </c>
      <c r="G475" s="16">
        <v>0</v>
      </c>
      <c r="H475" s="27">
        <f t="shared" si="42"/>
        <v>0</v>
      </c>
      <c r="I475" s="27">
        <f t="shared" si="38"/>
        <v>45</v>
      </c>
      <c r="J475" s="16">
        <f t="shared" si="39"/>
        <v>0</v>
      </c>
      <c r="K475" s="16">
        <f t="shared" si="40"/>
        <v>0</v>
      </c>
      <c r="L475" s="16">
        <f t="shared" si="41"/>
        <v>0</v>
      </c>
    </row>
    <row r="476" spans="2:12" ht="72">
      <c r="B476" s="362">
        <v>199</v>
      </c>
      <c r="C476" s="363" t="s">
        <v>320</v>
      </c>
      <c r="D476" s="368" t="s">
        <v>131</v>
      </c>
      <c r="E476" s="365">
        <v>41.28</v>
      </c>
      <c r="F476" s="366">
        <v>42349</v>
      </c>
      <c r="G476" s="12">
        <v>1</v>
      </c>
      <c r="H476" s="19">
        <f t="shared" si="42"/>
        <v>41.28</v>
      </c>
      <c r="I476" s="19">
        <f t="shared" si="38"/>
        <v>0</v>
      </c>
      <c r="J476" s="12">
        <f t="shared" si="39"/>
        <v>41.28</v>
      </c>
      <c r="K476" s="12">
        <f t="shared" si="40"/>
        <v>0</v>
      </c>
      <c r="L476" s="12">
        <f t="shared" si="41"/>
        <v>0</v>
      </c>
    </row>
    <row r="477" spans="2:12" ht="36">
      <c r="B477" s="362">
        <v>198</v>
      </c>
      <c r="C477" s="363" t="s">
        <v>321</v>
      </c>
      <c r="D477" s="368" t="s">
        <v>130</v>
      </c>
      <c r="E477" s="365">
        <v>166.09</v>
      </c>
      <c r="F477" s="366">
        <v>42348</v>
      </c>
      <c r="G477" s="12">
        <v>1</v>
      </c>
      <c r="H477" s="19">
        <f t="shared" si="42"/>
        <v>166.09</v>
      </c>
      <c r="I477" s="19">
        <f t="shared" si="38"/>
        <v>0</v>
      </c>
      <c r="J477" s="12">
        <f t="shared" si="39"/>
        <v>0</v>
      </c>
      <c r="K477" s="12">
        <f t="shared" si="40"/>
        <v>0</v>
      </c>
      <c r="L477" s="12">
        <f t="shared" si="41"/>
        <v>0</v>
      </c>
    </row>
    <row r="478" spans="2:12" ht="18">
      <c r="B478" s="362">
        <v>197</v>
      </c>
      <c r="C478" s="363" t="s">
        <v>322</v>
      </c>
      <c r="D478" s="368" t="s">
        <v>130</v>
      </c>
      <c r="E478" s="365">
        <v>0</v>
      </c>
      <c r="F478" s="366">
        <v>42347</v>
      </c>
      <c r="G478" s="12">
        <v>1</v>
      </c>
      <c r="H478" s="19">
        <f t="shared" si="42"/>
        <v>0</v>
      </c>
      <c r="I478" s="19">
        <f t="shared" si="38"/>
        <v>0</v>
      </c>
      <c r="J478" s="12">
        <f t="shared" si="39"/>
        <v>0</v>
      </c>
      <c r="K478" s="12">
        <f t="shared" si="40"/>
        <v>0</v>
      </c>
      <c r="L478" s="12">
        <f t="shared" si="41"/>
        <v>0</v>
      </c>
    </row>
    <row r="479" spans="2:12" ht="18">
      <c r="B479" s="357">
        <v>196</v>
      </c>
      <c r="C479" s="358" t="s">
        <v>275</v>
      </c>
      <c r="D479" s="359" t="s">
        <v>132</v>
      </c>
      <c r="E479" s="360">
        <v>2.75</v>
      </c>
      <c r="F479" s="361">
        <v>42342</v>
      </c>
      <c r="G479" s="16">
        <v>0</v>
      </c>
      <c r="H479" s="27">
        <f t="shared" si="42"/>
        <v>0</v>
      </c>
      <c r="I479" s="27">
        <f t="shared" si="38"/>
        <v>2.75</v>
      </c>
      <c r="J479" s="16">
        <f t="shared" si="39"/>
        <v>0</v>
      </c>
      <c r="K479" s="16">
        <f t="shared" si="40"/>
        <v>0</v>
      </c>
      <c r="L479" s="16">
        <f t="shared" si="41"/>
        <v>0</v>
      </c>
    </row>
    <row r="480" spans="2:12" ht="36">
      <c r="B480" s="362">
        <v>195</v>
      </c>
      <c r="C480" s="363" t="s">
        <v>323</v>
      </c>
      <c r="D480" s="368" t="s">
        <v>138</v>
      </c>
      <c r="E480" s="365">
        <v>300</v>
      </c>
      <c r="F480" s="366">
        <v>42340</v>
      </c>
      <c r="G480" s="12">
        <v>1</v>
      </c>
      <c r="H480" s="19">
        <f t="shared" si="42"/>
        <v>300</v>
      </c>
      <c r="I480" s="19">
        <f t="shared" si="38"/>
        <v>0</v>
      </c>
      <c r="J480" s="12">
        <f t="shared" si="39"/>
        <v>0</v>
      </c>
      <c r="K480" s="12">
        <f t="shared" si="40"/>
        <v>0</v>
      </c>
      <c r="L480" s="12">
        <f t="shared" si="41"/>
        <v>300</v>
      </c>
    </row>
    <row r="481" spans="2:12" ht="18">
      <c r="B481" s="357">
        <v>194</v>
      </c>
      <c r="C481" s="358" t="s">
        <v>304</v>
      </c>
      <c r="D481" s="359" t="s">
        <v>132</v>
      </c>
      <c r="E481" s="360">
        <v>22.4</v>
      </c>
      <c r="F481" s="361">
        <v>42340</v>
      </c>
      <c r="G481" s="16">
        <v>0</v>
      </c>
      <c r="H481" s="27">
        <f t="shared" si="42"/>
        <v>0</v>
      </c>
      <c r="I481" s="27">
        <f t="shared" si="38"/>
        <v>22.4</v>
      </c>
      <c r="J481" s="16">
        <f t="shared" si="39"/>
        <v>0</v>
      </c>
      <c r="K481" s="16">
        <f t="shared" si="40"/>
        <v>0</v>
      </c>
      <c r="L481" s="16">
        <f t="shared" si="41"/>
        <v>0</v>
      </c>
    </row>
    <row r="482" spans="2:12" ht="90">
      <c r="B482" s="362">
        <v>193</v>
      </c>
      <c r="C482" s="363" t="s">
        <v>163</v>
      </c>
      <c r="D482" s="368" t="s">
        <v>131</v>
      </c>
      <c r="E482" s="365">
        <v>0.8</v>
      </c>
      <c r="F482" s="366">
        <v>42340</v>
      </c>
      <c r="G482" s="12">
        <v>1</v>
      </c>
      <c r="H482" s="19">
        <f t="shared" si="42"/>
        <v>0.8</v>
      </c>
      <c r="I482" s="19">
        <f t="shared" si="38"/>
        <v>0</v>
      </c>
      <c r="J482" s="12">
        <f t="shared" si="39"/>
        <v>0.8</v>
      </c>
      <c r="K482" s="12">
        <f t="shared" si="40"/>
        <v>0</v>
      </c>
      <c r="L482" s="12">
        <f t="shared" si="41"/>
        <v>0</v>
      </c>
    </row>
    <row r="483" spans="2:12" ht="18">
      <c r="B483" s="357">
        <v>192</v>
      </c>
      <c r="C483" s="358" t="s">
        <v>205</v>
      </c>
      <c r="D483" s="359" t="s">
        <v>132</v>
      </c>
      <c r="E483" s="360">
        <v>3.2</v>
      </c>
      <c r="F483" s="361">
        <v>42334</v>
      </c>
      <c r="G483" s="16">
        <v>0</v>
      </c>
      <c r="H483" s="27">
        <f t="shared" si="42"/>
        <v>0</v>
      </c>
      <c r="I483" s="27">
        <f t="shared" si="38"/>
        <v>3.2</v>
      </c>
      <c r="J483" s="16">
        <f t="shared" si="39"/>
        <v>0</v>
      </c>
      <c r="K483" s="16">
        <f t="shared" si="40"/>
        <v>0</v>
      </c>
      <c r="L483" s="16">
        <f t="shared" si="41"/>
        <v>0</v>
      </c>
    </row>
    <row r="484" spans="2:12" ht="36">
      <c r="B484" s="362">
        <v>191</v>
      </c>
      <c r="C484" s="363" t="s">
        <v>168</v>
      </c>
      <c r="D484" s="368" t="s">
        <v>131</v>
      </c>
      <c r="E484" s="365">
        <v>4.24</v>
      </c>
      <c r="F484" s="366">
        <v>42334</v>
      </c>
      <c r="G484" s="12">
        <v>1</v>
      </c>
      <c r="H484" s="19">
        <f t="shared" si="42"/>
        <v>4.24</v>
      </c>
      <c r="I484" s="19">
        <f t="shared" si="38"/>
        <v>0</v>
      </c>
      <c r="J484" s="12">
        <f t="shared" si="39"/>
        <v>4.24</v>
      </c>
      <c r="K484" s="12">
        <f t="shared" si="40"/>
        <v>0</v>
      </c>
      <c r="L484" s="12">
        <f t="shared" si="41"/>
        <v>0</v>
      </c>
    </row>
    <row r="485" spans="2:12" ht="18">
      <c r="B485" s="357">
        <v>190</v>
      </c>
      <c r="C485" s="369" t="s">
        <v>221</v>
      </c>
      <c r="D485" s="359" t="s">
        <v>132</v>
      </c>
      <c r="E485" s="360">
        <v>14</v>
      </c>
      <c r="F485" s="361">
        <v>42334</v>
      </c>
      <c r="G485" s="16">
        <v>0</v>
      </c>
      <c r="H485" s="27">
        <f t="shared" si="42"/>
        <v>0</v>
      </c>
      <c r="I485" s="27">
        <f t="shared" si="38"/>
        <v>14</v>
      </c>
      <c r="J485" s="16">
        <f t="shared" si="39"/>
        <v>0</v>
      </c>
      <c r="K485" s="16">
        <f t="shared" si="40"/>
        <v>0</v>
      </c>
      <c r="L485" s="16">
        <f t="shared" si="41"/>
        <v>0</v>
      </c>
    </row>
    <row r="486" spans="2:12" ht="18">
      <c r="B486" s="357">
        <v>189</v>
      </c>
      <c r="C486" s="358" t="s">
        <v>312</v>
      </c>
      <c r="D486" s="359" t="s">
        <v>132</v>
      </c>
      <c r="E486" s="360">
        <v>7.2</v>
      </c>
      <c r="F486" s="361">
        <v>42328</v>
      </c>
      <c r="G486" s="16">
        <v>0</v>
      </c>
      <c r="H486" s="27">
        <f t="shared" si="42"/>
        <v>0</v>
      </c>
      <c r="I486" s="27">
        <f t="shared" si="38"/>
        <v>7.2</v>
      </c>
      <c r="J486" s="16">
        <f t="shared" si="39"/>
        <v>0</v>
      </c>
      <c r="K486" s="16">
        <f t="shared" si="40"/>
        <v>0</v>
      </c>
      <c r="L486" s="16">
        <f t="shared" si="41"/>
        <v>0</v>
      </c>
    </row>
    <row r="487" spans="2:12" ht="36">
      <c r="B487" s="362">
        <v>188</v>
      </c>
      <c r="C487" s="363" t="s">
        <v>140</v>
      </c>
      <c r="D487" s="368" t="s">
        <v>131</v>
      </c>
      <c r="E487" s="365">
        <v>18.309999999999999</v>
      </c>
      <c r="F487" s="366">
        <v>42326</v>
      </c>
      <c r="G487" s="12">
        <v>1</v>
      </c>
      <c r="H487" s="19">
        <f t="shared" si="42"/>
        <v>18.309999999999999</v>
      </c>
      <c r="I487" s="19">
        <f t="shared" si="38"/>
        <v>0</v>
      </c>
      <c r="J487" s="12">
        <f t="shared" si="39"/>
        <v>18.309999999999999</v>
      </c>
      <c r="K487" s="12">
        <f t="shared" si="40"/>
        <v>0</v>
      </c>
      <c r="L487" s="12">
        <f t="shared" si="41"/>
        <v>0</v>
      </c>
    </row>
    <row r="488" spans="2:12" ht="18">
      <c r="B488" s="362">
        <v>187</v>
      </c>
      <c r="C488" s="370" t="s">
        <v>324</v>
      </c>
      <c r="D488" s="368" t="s">
        <v>130</v>
      </c>
      <c r="E488" s="365">
        <v>1.3440000000000001</v>
      </c>
      <c r="F488" s="371">
        <v>42325</v>
      </c>
      <c r="G488" s="12">
        <v>1</v>
      </c>
      <c r="H488" s="19">
        <f t="shared" si="42"/>
        <v>1.3440000000000001</v>
      </c>
      <c r="I488" s="19">
        <f t="shared" si="38"/>
        <v>0</v>
      </c>
      <c r="J488" s="12">
        <f t="shared" si="39"/>
        <v>0</v>
      </c>
      <c r="K488" s="12">
        <f t="shared" si="40"/>
        <v>0</v>
      </c>
      <c r="L488" s="12">
        <f t="shared" si="41"/>
        <v>0</v>
      </c>
    </row>
    <row r="489" spans="2:12" ht="18">
      <c r="B489" s="357">
        <v>186</v>
      </c>
      <c r="C489" s="369" t="s">
        <v>325</v>
      </c>
      <c r="D489" s="359" t="s">
        <v>130</v>
      </c>
      <c r="E489" s="360">
        <v>6.1920000000000002</v>
      </c>
      <c r="F489" s="372">
        <v>42324</v>
      </c>
      <c r="G489" s="16">
        <v>0</v>
      </c>
      <c r="H489" s="27">
        <f t="shared" si="42"/>
        <v>0</v>
      </c>
      <c r="I489" s="27">
        <f t="shared" si="38"/>
        <v>6.1920000000000002</v>
      </c>
      <c r="J489" s="16">
        <f t="shared" si="39"/>
        <v>0</v>
      </c>
      <c r="K489" s="16">
        <f t="shared" si="40"/>
        <v>0</v>
      </c>
      <c r="L489" s="16">
        <f t="shared" si="41"/>
        <v>0</v>
      </c>
    </row>
    <row r="490" spans="2:12" ht="36">
      <c r="B490" s="362">
        <v>185</v>
      </c>
      <c r="C490" s="363" t="s">
        <v>326</v>
      </c>
      <c r="D490" s="368" t="s">
        <v>131</v>
      </c>
      <c r="E490" s="365">
        <v>21.75</v>
      </c>
      <c r="F490" s="366">
        <v>42321</v>
      </c>
      <c r="G490" s="12">
        <v>1</v>
      </c>
      <c r="H490" s="19">
        <f t="shared" si="42"/>
        <v>21.75</v>
      </c>
      <c r="I490" s="19">
        <f t="shared" si="38"/>
        <v>0</v>
      </c>
      <c r="J490" s="12">
        <f t="shared" si="39"/>
        <v>21.75</v>
      </c>
      <c r="K490" s="12">
        <f t="shared" si="40"/>
        <v>0</v>
      </c>
      <c r="L490" s="12">
        <f t="shared" si="41"/>
        <v>0</v>
      </c>
    </row>
    <row r="491" spans="2:12" ht="18">
      <c r="B491" s="357">
        <v>184</v>
      </c>
      <c r="C491" s="358" t="s">
        <v>327</v>
      </c>
      <c r="D491" s="359" t="s">
        <v>132</v>
      </c>
      <c r="E491" s="360">
        <v>24</v>
      </c>
      <c r="F491" s="361">
        <v>42321</v>
      </c>
      <c r="G491" s="16">
        <v>0</v>
      </c>
      <c r="H491" s="27">
        <f t="shared" si="42"/>
        <v>0</v>
      </c>
      <c r="I491" s="27">
        <f t="shared" si="38"/>
        <v>24</v>
      </c>
      <c r="J491" s="16">
        <f t="shared" si="39"/>
        <v>0</v>
      </c>
      <c r="K491" s="16">
        <f t="shared" si="40"/>
        <v>0</v>
      </c>
      <c r="L491" s="16">
        <f t="shared" si="41"/>
        <v>0</v>
      </c>
    </row>
    <row r="492" spans="2:12" ht="18">
      <c r="B492" s="357">
        <v>183</v>
      </c>
      <c r="C492" s="358" t="s">
        <v>328</v>
      </c>
      <c r="D492" s="359" t="s">
        <v>132</v>
      </c>
      <c r="E492" s="360">
        <v>3.2</v>
      </c>
      <c r="F492" s="361">
        <v>42321</v>
      </c>
      <c r="G492" s="16">
        <v>0</v>
      </c>
      <c r="H492" s="27">
        <f t="shared" si="42"/>
        <v>0</v>
      </c>
      <c r="I492" s="27">
        <f t="shared" si="38"/>
        <v>3.2</v>
      </c>
      <c r="J492" s="16">
        <f t="shared" si="39"/>
        <v>0</v>
      </c>
      <c r="K492" s="16">
        <f t="shared" si="40"/>
        <v>0</v>
      </c>
      <c r="L492" s="16">
        <f t="shared" si="41"/>
        <v>0</v>
      </c>
    </row>
    <row r="493" spans="2:12" ht="18">
      <c r="B493" s="357">
        <v>182</v>
      </c>
      <c r="C493" s="358" t="s">
        <v>329</v>
      </c>
      <c r="D493" s="359" t="s">
        <v>132</v>
      </c>
      <c r="E493" s="360">
        <v>4.8</v>
      </c>
      <c r="F493" s="361">
        <v>42320</v>
      </c>
      <c r="G493" s="16">
        <v>0</v>
      </c>
      <c r="H493" s="27">
        <f t="shared" si="42"/>
        <v>0</v>
      </c>
      <c r="I493" s="27">
        <f t="shared" si="38"/>
        <v>4.8</v>
      </c>
      <c r="J493" s="16">
        <f t="shared" si="39"/>
        <v>0</v>
      </c>
      <c r="K493" s="16">
        <f t="shared" si="40"/>
        <v>0</v>
      </c>
      <c r="L493" s="16">
        <f t="shared" si="41"/>
        <v>0</v>
      </c>
    </row>
    <row r="494" spans="2:12" ht="18">
      <c r="B494" s="357">
        <v>181</v>
      </c>
      <c r="C494" s="358" t="s">
        <v>235</v>
      </c>
      <c r="D494" s="359" t="s">
        <v>132</v>
      </c>
      <c r="E494" s="360">
        <v>11</v>
      </c>
      <c r="F494" s="361">
        <v>42320</v>
      </c>
      <c r="G494" s="16">
        <v>0</v>
      </c>
      <c r="H494" s="27">
        <f t="shared" si="42"/>
        <v>0</v>
      </c>
      <c r="I494" s="27">
        <f t="shared" si="38"/>
        <v>11</v>
      </c>
      <c r="J494" s="16">
        <f t="shared" si="39"/>
        <v>0</v>
      </c>
      <c r="K494" s="16">
        <f t="shared" si="40"/>
        <v>0</v>
      </c>
      <c r="L494" s="16">
        <f t="shared" si="41"/>
        <v>0</v>
      </c>
    </row>
    <row r="495" spans="2:12" ht="54">
      <c r="B495" s="362">
        <v>180</v>
      </c>
      <c r="C495" s="363" t="s">
        <v>330</v>
      </c>
      <c r="D495" s="368" t="s">
        <v>139</v>
      </c>
      <c r="E495" s="365">
        <v>7.5</v>
      </c>
      <c r="F495" s="366">
        <v>42314</v>
      </c>
      <c r="G495" s="12">
        <v>1</v>
      </c>
      <c r="H495" s="19">
        <f t="shared" si="42"/>
        <v>7.5</v>
      </c>
      <c r="I495" s="19">
        <f t="shared" si="38"/>
        <v>0</v>
      </c>
      <c r="J495" s="12">
        <f t="shared" si="39"/>
        <v>0</v>
      </c>
      <c r="K495" s="12">
        <f t="shared" si="40"/>
        <v>0</v>
      </c>
      <c r="L495" s="12">
        <f t="shared" si="41"/>
        <v>0</v>
      </c>
    </row>
    <row r="496" spans="2:12" ht="18">
      <c r="B496" s="357">
        <v>179</v>
      </c>
      <c r="C496" s="358" t="s">
        <v>274</v>
      </c>
      <c r="D496" s="359" t="s">
        <v>132</v>
      </c>
      <c r="E496" s="360">
        <v>1.5</v>
      </c>
      <c r="F496" s="361">
        <v>42314</v>
      </c>
      <c r="G496" s="16">
        <v>0</v>
      </c>
      <c r="H496" s="27">
        <f t="shared" si="42"/>
        <v>0</v>
      </c>
      <c r="I496" s="27">
        <f t="shared" si="38"/>
        <v>1.5</v>
      </c>
      <c r="J496" s="16">
        <f t="shared" si="39"/>
        <v>0</v>
      </c>
      <c r="K496" s="16">
        <f t="shared" si="40"/>
        <v>0</v>
      </c>
      <c r="L496" s="16">
        <f t="shared" si="41"/>
        <v>0</v>
      </c>
    </row>
    <row r="497" spans="2:12" ht="36">
      <c r="B497" s="362">
        <v>178</v>
      </c>
      <c r="C497" s="363" t="s">
        <v>331</v>
      </c>
      <c r="D497" s="368" t="s">
        <v>130</v>
      </c>
      <c r="E497" s="365">
        <v>32.993000000000002</v>
      </c>
      <c r="F497" s="366">
        <v>42313</v>
      </c>
      <c r="G497" s="12">
        <v>1</v>
      </c>
      <c r="H497" s="19">
        <f t="shared" si="42"/>
        <v>32.993000000000002</v>
      </c>
      <c r="I497" s="19">
        <f t="shared" si="38"/>
        <v>0</v>
      </c>
      <c r="J497" s="12">
        <f t="shared" si="39"/>
        <v>0</v>
      </c>
      <c r="K497" s="12">
        <f t="shared" si="40"/>
        <v>0</v>
      </c>
      <c r="L497" s="12">
        <f t="shared" si="41"/>
        <v>0</v>
      </c>
    </row>
    <row r="498" spans="2:12" ht="18">
      <c r="B498" s="362">
        <v>177</v>
      </c>
      <c r="C498" s="370" t="s">
        <v>332</v>
      </c>
      <c r="D498" s="368" t="s">
        <v>130</v>
      </c>
      <c r="E498" s="373">
        <v>1.536</v>
      </c>
      <c r="F498" s="366">
        <v>42310</v>
      </c>
      <c r="G498" s="12">
        <v>1</v>
      </c>
      <c r="H498" s="19">
        <f t="shared" si="42"/>
        <v>1.536</v>
      </c>
      <c r="I498" s="19">
        <f t="shared" si="38"/>
        <v>0</v>
      </c>
      <c r="J498" s="12">
        <f t="shared" si="39"/>
        <v>0</v>
      </c>
      <c r="K498" s="12">
        <f t="shared" si="40"/>
        <v>0</v>
      </c>
      <c r="L498" s="12">
        <f t="shared" si="41"/>
        <v>0</v>
      </c>
    </row>
    <row r="499" spans="2:12" ht="54">
      <c r="B499" s="362">
        <v>176</v>
      </c>
      <c r="C499" s="370" t="s">
        <v>318</v>
      </c>
      <c r="D499" s="364" t="s">
        <v>134</v>
      </c>
      <c r="E499" s="365">
        <v>3.12</v>
      </c>
      <c r="F499" s="366">
        <v>42308</v>
      </c>
      <c r="G499" s="12">
        <v>1</v>
      </c>
      <c r="H499" s="19">
        <f t="shared" si="42"/>
        <v>3.12</v>
      </c>
      <c r="I499" s="19">
        <f t="shared" si="38"/>
        <v>0</v>
      </c>
      <c r="J499" s="12">
        <f t="shared" si="39"/>
        <v>0</v>
      </c>
      <c r="K499" s="12">
        <f t="shared" si="40"/>
        <v>0</v>
      </c>
      <c r="L499" s="12">
        <f t="shared" si="41"/>
        <v>0</v>
      </c>
    </row>
    <row r="500" spans="2:12" ht="18">
      <c r="B500" s="362">
        <v>175</v>
      </c>
      <c r="C500" s="370" t="s">
        <v>305</v>
      </c>
      <c r="D500" s="368" t="s">
        <v>137</v>
      </c>
      <c r="E500" s="365">
        <v>2.2799999999999998</v>
      </c>
      <c r="F500" s="366">
        <v>42308</v>
      </c>
      <c r="G500" s="12">
        <v>1</v>
      </c>
      <c r="H500" s="19">
        <f t="shared" si="42"/>
        <v>2.2799999999999998</v>
      </c>
      <c r="I500" s="19">
        <f t="shared" si="38"/>
        <v>0</v>
      </c>
      <c r="J500" s="12">
        <f t="shared" si="39"/>
        <v>0</v>
      </c>
      <c r="K500" s="12">
        <f t="shared" si="40"/>
        <v>0</v>
      </c>
      <c r="L500" s="12">
        <f t="shared" si="41"/>
        <v>0</v>
      </c>
    </row>
    <row r="501" spans="2:12" ht="18">
      <c r="B501" s="357">
        <v>174</v>
      </c>
      <c r="C501" s="369" t="s">
        <v>221</v>
      </c>
      <c r="D501" s="359" t="s">
        <v>132</v>
      </c>
      <c r="E501" s="360">
        <v>20</v>
      </c>
      <c r="F501" s="361">
        <v>42307</v>
      </c>
      <c r="G501" s="16">
        <v>0</v>
      </c>
      <c r="H501" s="27">
        <f t="shared" si="42"/>
        <v>0</v>
      </c>
      <c r="I501" s="27">
        <f t="shared" si="38"/>
        <v>20</v>
      </c>
      <c r="J501" s="16">
        <f t="shared" si="39"/>
        <v>0</v>
      </c>
      <c r="K501" s="16">
        <f t="shared" si="40"/>
        <v>0</v>
      </c>
      <c r="L501" s="16">
        <f t="shared" si="41"/>
        <v>0</v>
      </c>
    </row>
    <row r="502" spans="2:12" ht="18">
      <c r="B502" s="362">
        <v>173</v>
      </c>
      <c r="C502" s="370" t="s">
        <v>333</v>
      </c>
      <c r="D502" s="368" t="s">
        <v>137</v>
      </c>
      <c r="E502" s="365">
        <v>22.51</v>
      </c>
      <c r="F502" s="366">
        <v>42306</v>
      </c>
      <c r="G502" s="12">
        <v>1</v>
      </c>
      <c r="H502" s="19">
        <f t="shared" si="42"/>
        <v>22.51</v>
      </c>
      <c r="I502" s="19">
        <f t="shared" si="38"/>
        <v>0</v>
      </c>
      <c r="J502" s="12">
        <f t="shared" si="39"/>
        <v>0</v>
      </c>
      <c r="K502" s="12">
        <f t="shared" si="40"/>
        <v>0</v>
      </c>
      <c r="L502" s="12">
        <f t="shared" si="41"/>
        <v>0</v>
      </c>
    </row>
    <row r="503" spans="2:12" ht="36">
      <c r="B503" s="362">
        <v>172</v>
      </c>
      <c r="C503" s="370" t="s">
        <v>334</v>
      </c>
      <c r="D503" s="368" t="s">
        <v>130</v>
      </c>
      <c r="E503" s="365">
        <v>1.9550000000000001</v>
      </c>
      <c r="F503" s="366">
        <v>42306</v>
      </c>
      <c r="G503" s="12">
        <v>1</v>
      </c>
      <c r="H503" s="19">
        <f t="shared" si="42"/>
        <v>1.9550000000000001</v>
      </c>
      <c r="I503" s="19">
        <f t="shared" si="38"/>
        <v>0</v>
      </c>
      <c r="J503" s="12">
        <f t="shared" si="39"/>
        <v>0</v>
      </c>
      <c r="K503" s="12">
        <f t="shared" si="40"/>
        <v>0</v>
      </c>
      <c r="L503" s="12">
        <f t="shared" si="41"/>
        <v>0</v>
      </c>
    </row>
    <row r="504" spans="2:12" ht="18">
      <c r="B504" s="357">
        <v>171</v>
      </c>
      <c r="C504" s="369" t="s">
        <v>325</v>
      </c>
      <c r="D504" s="359" t="s">
        <v>130</v>
      </c>
      <c r="E504" s="360">
        <v>2.6160000000000001</v>
      </c>
      <c r="F504" s="361">
        <v>42306</v>
      </c>
      <c r="G504" s="16">
        <v>0</v>
      </c>
      <c r="H504" s="27">
        <f t="shared" si="42"/>
        <v>0</v>
      </c>
      <c r="I504" s="27">
        <f t="shared" si="38"/>
        <v>2.6160000000000001</v>
      </c>
      <c r="J504" s="16">
        <f t="shared" si="39"/>
        <v>0</v>
      </c>
      <c r="K504" s="16">
        <f t="shared" si="40"/>
        <v>0</v>
      </c>
      <c r="L504" s="16">
        <f t="shared" si="41"/>
        <v>0</v>
      </c>
    </row>
    <row r="505" spans="2:12" ht="18">
      <c r="B505" s="357">
        <v>170</v>
      </c>
      <c r="C505" s="369" t="s">
        <v>335</v>
      </c>
      <c r="D505" s="359" t="s">
        <v>132</v>
      </c>
      <c r="E505" s="360">
        <v>24.4</v>
      </c>
      <c r="F505" s="361">
        <v>42306</v>
      </c>
      <c r="G505" s="16">
        <v>0</v>
      </c>
      <c r="H505" s="27">
        <f t="shared" si="42"/>
        <v>0</v>
      </c>
      <c r="I505" s="27">
        <f t="shared" si="38"/>
        <v>24.4</v>
      </c>
      <c r="J505" s="16">
        <f t="shared" si="39"/>
        <v>0</v>
      </c>
      <c r="K505" s="16">
        <f t="shared" si="40"/>
        <v>0</v>
      </c>
      <c r="L505" s="16">
        <f t="shared" si="41"/>
        <v>0</v>
      </c>
    </row>
    <row r="506" spans="2:12" ht="36">
      <c r="B506" s="362">
        <v>169</v>
      </c>
      <c r="C506" s="370" t="s">
        <v>336</v>
      </c>
      <c r="D506" s="368" t="s">
        <v>130</v>
      </c>
      <c r="E506" s="365">
        <v>3.2</v>
      </c>
      <c r="F506" s="366">
        <v>42306</v>
      </c>
      <c r="G506" s="12">
        <v>1</v>
      </c>
      <c r="H506" s="19">
        <f t="shared" si="42"/>
        <v>3.2</v>
      </c>
      <c r="I506" s="19">
        <f t="shared" si="38"/>
        <v>0</v>
      </c>
      <c r="J506" s="12">
        <f t="shared" si="39"/>
        <v>0</v>
      </c>
      <c r="K506" s="12">
        <f t="shared" si="40"/>
        <v>0</v>
      </c>
      <c r="L506" s="12">
        <f t="shared" si="41"/>
        <v>0</v>
      </c>
    </row>
    <row r="507" spans="2:12" ht="36">
      <c r="B507" s="357">
        <v>168</v>
      </c>
      <c r="C507" s="369" t="s">
        <v>337</v>
      </c>
      <c r="D507" s="359" t="s">
        <v>142</v>
      </c>
      <c r="E507" s="360">
        <v>1.4139999999999999</v>
      </c>
      <c r="F507" s="361">
        <v>42306</v>
      </c>
      <c r="G507" s="16">
        <v>0</v>
      </c>
      <c r="H507" s="27">
        <f t="shared" si="42"/>
        <v>0</v>
      </c>
      <c r="I507" s="27">
        <f t="shared" si="38"/>
        <v>1.4139999999999999</v>
      </c>
      <c r="J507" s="16">
        <f t="shared" si="39"/>
        <v>0</v>
      </c>
      <c r="K507" s="16">
        <f t="shared" si="40"/>
        <v>0</v>
      </c>
      <c r="L507" s="16">
        <f t="shared" si="41"/>
        <v>0</v>
      </c>
    </row>
    <row r="508" spans="2:12" ht="36">
      <c r="B508" s="362">
        <v>167</v>
      </c>
      <c r="C508" s="370" t="s">
        <v>338</v>
      </c>
      <c r="D508" s="368" t="s">
        <v>130</v>
      </c>
      <c r="E508" s="365">
        <v>4.1429999999999998</v>
      </c>
      <c r="F508" s="366">
        <v>42305</v>
      </c>
      <c r="G508" s="12">
        <v>1</v>
      </c>
      <c r="H508" s="19">
        <f t="shared" si="42"/>
        <v>4.1429999999999998</v>
      </c>
      <c r="I508" s="19">
        <f t="shared" si="38"/>
        <v>0</v>
      </c>
      <c r="J508" s="12">
        <f t="shared" si="39"/>
        <v>0</v>
      </c>
      <c r="K508" s="12">
        <f t="shared" si="40"/>
        <v>0</v>
      </c>
      <c r="L508" s="12">
        <f t="shared" si="41"/>
        <v>0</v>
      </c>
    </row>
    <row r="509" spans="2:12" ht="36">
      <c r="B509" s="357">
        <v>166</v>
      </c>
      <c r="C509" s="369" t="s">
        <v>339</v>
      </c>
      <c r="D509" s="359" t="s">
        <v>142</v>
      </c>
      <c r="E509" s="360">
        <v>4.8</v>
      </c>
      <c r="F509" s="361">
        <v>42305</v>
      </c>
      <c r="G509" s="16">
        <v>0</v>
      </c>
      <c r="H509" s="27">
        <f t="shared" si="42"/>
        <v>0</v>
      </c>
      <c r="I509" s="27">
        <f t="shared" si="38"/>
        <v>4.8</v>
      </c>
      <c r="J509" s="16">
        <f t="shared" si="39"/>
        <v>0</v>
      </c>
      <c r="K509" s="16">
        <f t="shared" si="40"/>
        <v>0</v>
      </c>
      <c r="L509" s="16">
        <f t="shared" si="41"/>
        <v>0</v>
      </c>
    </row>
    <row r="510" spans="2:12" ht="18">
      <c r="B510" s="357">
        <v>165</v>
      </c>
      <c r="C510" s="369" t="s">
        <v>310</v>
      </c>
      <c r="D510" s="359" t="s">
        <v>132</v>
      </c>
      <c r="E510" s="360">
        <v>3.3</v>
      </c>
      <c r="F510" s="361">
        <v>42305</v>
      </c>
      <c r="G510" s="16">
        <v>0</v>
      </c>
      <c r="H510" s="27">
        <f t="shared" si="42"/>
        <v>0</v>
      </c>
      <c r="I510" s="27">
        <f t="shared" si="38"/>
        <v>3.3</v>
      </c>
      <c r="J510" s="16">
        <f t="shared" si="39"/>
        <v>0</v>
      </c>
      <c r="K510" s="16">
        <f t="shared" si="40"/>
        <v>0</v>
      </c>
      <c r="L510" s="16">
        <f t="shared" si="41"/>
        <v>0</v>
      </c>
    </row>
    <row r="511" spans="2:12" ht="18">
      <c r="B511" s="357">
        <v>164</v>
      </c>
      <c r="C511" s="369" t="s">
        <v>328</v>
      </c>
      <c r="D511" s="359" t="s">
        <v>132</v>
      </c>
      <c r="E511" s="360">
        <v>3.2</v>
      </c>
      <c r="F511" s="361">
        <v>42305</v>
      </c>
      <c r="G511" s="16">
        <v>0</v>
      </c>
      <c r="H511" s="27">
        <f t="shared" si="42"/>
        <v>0</v>
      </c>
      <c r="I511" s="27">
        <f t="shared" si="38"/>
        <v>3.2</v>
      </c>
      <c r="J511" s="16">
        <f t="shared" si="39"/>
        <v>0</v>
      </c>
      <c r="K511" s="16">
        <f t="shared" si="40"/>
        <v>0</v>
      </c>
      <c r="L511" s="16">
        <f t="shared" si="41"/>
        <v>0</v>
      </c>
    </row>
    <row r="512" spans="2:12" ht="36">
      <c r="B512" s="362">
        <v>163</v>
      </c>
      <c r="C512" s="370" t="s">
        <v>340</v>
      </c>
      <c r="D512" s="368" t="s">
        <v>142</v>
      </c>
      <c r="E512" s="365">
        <v>1.7629999999999999</v>
      </c>
      <c r="F512" s="366">
        <v>42304</v>
      </c>
      <c r="G512" s="12">
        <v>1</v>
      </c>
      <c r="H512" s="19">
        <f t="shared" si="42"/>
        <v>1.7629999999999999</v>
      </c>
      <c r="I512" s="19">
        <f t="shared" si="38"/>
        <v>0</v>
      </c>
      <c r="J512" s="12">
        <f t="shared" si="39"/>
        <v>0</v>
      </c>
      <c r="K512" s="12">
        <f t="shared" si="40"/>
        <v>0</v>
      </c>
      <c r="L512" s="12">
        <f t="shared" si="41"/>
        <v>0</v>
      </c>
    </row>
    <row r="513" spans="2:12" ht="18">
      <c r="B513" s="357">
        <v>162</v>
      </c>
      <c r="C513" s="369" t="s">
        <v>329</v>
      </c>
      <c r="D513" s="359" t="s">
        <v>132</v>
      </c>
      <c r="E513" s="360">
        <v>2.4</v>
      </c>
      <c r="F513" s="361">
        <v>42304</v>
      </c>
      <c r="G513" s="16">
        <v>0</v>
      </c>
      <c r="H513" s="27">
        <f t="shared" si="42"/>
        <v>0</v>
      </c>
      <c r="I513" s="27">
        <f t="shared" si="38"/>
        <v>2.4</v>
      </c>
      <c r="J513" s="16">
        <f t="shared" si="39"/>
        <v>0</v>
      </c>
      <c r="K513" s="16">
        <f t="shared" si="40"/>
        <v>0</v>
      </c>
      <c r="L513" s="16">
        <f t="shared" si="41"/>
        <v>0</v>
      </c>
    </row>
    <row r="514" spans="2:12" ht="36">
      <c r="B514" s="362">
        <v>161</v>
      </c>
      <c r="C514" s="370" t="s">
        <v>341</v>
      </c>
      <c r="D514" s="368" t="s">
        <v>130</v>
      </c>
      <c r="E514" s="365">
        <v>9.01</v>
      </c>
      <c r="F514" s="366">
        <v>42303</v>
      </c>
      <c r="G514" s="12">
        <v>1</v>
      </c>
      <c r="H514" s="19">
        <f t="shared" si="42"/>
        <v>9.01</v>
      </c>
      <c r="I514" s="19">
        <f t="shared" si="38"/>
        <v>0</v>
      </c>
      <c r="J514" s="12">
        <f t="shared" si="39"/>
        <v>0</v>
      </c>
      <c r="K514" s="12">
        <f t="shared" si="40"/>
        <v>0</v>
      </c>
      <c r="L514" s="12">
        <f t="shared" si="41"/>
        <v>0</v>
      </c>
    </row>
    <row r="515" spans="2:12" ht="54">
      <c r="B515" s="362">
        <v>160</v>
      </c>
      <c r="C515" s="370" t="s">
        <v>342</v>
      </c>
      <c r="D515" s="368" t="s">
        <v>142</v>
      </c>
      <c r="E515" s="365">
        <v>1.9</v>
      </c>
      <c r="F515" s="366">
        <v>42303</v>
      </c>
      <c r="G515" s="12">
        <v>1</v>
      </c>
      <c r="H515" s="19">
        <f t="shared" si="42"/>
        <v>1.9</v>
      </c>
      <c r="I515" s="19">
        <f t="shared" si="38"/>
        <v>0</v>
      </c>
      <c r="J515" s="12">
        <f t="shared" si="39"/>
        <v>0</v>
      </c>
      <c r="K515" s="12">
        <f t="shared" si="40"/>
        <v>0</v>
      </c>
      <c r="L515" s="12">
        <f t="shared" si="41"/>
        <v>0</v>
      </c>
    </row>
    <row r="516" spans="2:12" ht="36">
      <c r="B516" s="362">
        <v>159</v>
      </c>
      <c r="C516" s="370" t="s">
        <v>343</v>
      </c>
      <c r="D516" s="364" t="s">
        <v>134</v>
      </c>
      <c r="E516" s="365">
        <v>2.8260000000000001</v>
      </c>
      <c r="F516" s="366">
        <v>42302</v>
      </c>
      <c r="G516" s="12">
        <v>1</v>
      </c>
      <c r="H516" s="19">
        <f t="shared" si="42"/>
        <v>2.8260000000000001</v>
      </c>
      <c r="I516" s="19">
        <f t="shared" si="38"/>
        <v>0</v>
      </c>
      <c r="J516" s="12">
        <f t="shared" si="39"/>
        <v>0</v>
      </c>
      <c r="K516" s="12">
        <f t="shared" si="40"/>
        <v>0</v>
      </c>
      <c r="L516" s="12">
        <f t="shared" si="41"/>
        <v>0</v>
      </c>
    </row>
    <row r="517" spans="2:12" ht="36">
      <c r="B517" s="362">
        <v>158</v>
      </c>
      <c r="C517" s="370" t="s">
        <v>344</v>
      </c>
      <c r="D517" s="368" t="s">
        <v>130</v>
      </c>
      <c r="E517" s="365">
        <v>3.5</v>
      </c>
      <c r="F517" s="366">
        <v>42302</v>
      </c>
      <c r="G517" s="12">
        <v>1</v>
      </c>
      <c r="H517" s="19">
        <f t="shared" si="42"/>
        <v>3.5</v>
      </c>
      <c r="I517" s="19">
        <f t="shared" si="38"/>
        <v>0</v>
      </c>
      <c r="J517" s="12">
        <f t="shared" si="39"/>
        <v>0</v>
      </c>
      <c r="K517" s="12">
        <f t="shared" si="40"/>
        <v>0</v>
      </c>
      <c r="L517" s="12">
        <f t="shared" si="41"/>
        <v>0</v>
      </c>
    </row>
    <row r="518" spans="2:12" ht="18">
      <c r="B518" s="362">
        <v>157</v>
      </c>
      <c r="C518" s="363" t="s">
        <v>345</v>
      </c>
      <c r="D518" s="368" t="s">
        <v>137</v>
      </c>
      <c r="E518" s="365">
        <v>8</v>
      </c>
      <c r="F518" s="366">
        <v>42301</v>
      </c>
      <c r="G518" s="12">
        <v>1</v>
      </c>
      <c r="H518" s="19">
        <f t="shared" si="42"/>
        <v>8</v>
      </c>
      <c r="I518" s="19">
        <f t="shared" si="38"/>
        <v>0</v>
      </c>
      <c r="J518" s="12">
        <f t="shared" si="39"/>
        <v>0</v>
      </c>
      <c r="K518" s="12">
        <f t="shared" si="40"/>
        <v>0</v>
      </c>
      <c r="L518" s="12">
        <f t="shared" si="41"/>
        <v>0</v>
      </c>
    </row>
    <row r="519" spans="2:12" ht="36">
      <c r="B519" s="357">
        <v>156</v>
      </c>
      <c r="C519" s="358" t="s">
        <v>346</v>
      </c>
      <c r="D519" s="367" t="s">
        <v>134</v>
      </c>
      <c r="E519" s="360">
        <v>1.0629999999999999</v>
      </c>
      <c r="F519" s="361">
        <v>42301</v>
      </c>
      <c r="G519" s="16">
        <v>0</v>
      </c>
      <c r="H519" s="27">
        <f t="shared" si="42"/>
        <v>0</v>
      </c>
      <c r="I519" s="27">
        <f t="shared" si="38"/>
        <v>1.0629999999999999</v>
      </c>
      <c r="J519" s="16">
        <f t="shared" si="39"/>
        <v>0</v>
      </c>
      <c r="K519" s="16">
        <f t="shared" si="40"/>
        <v>0</v>
      </c>
      <c r="L519" s="16">
        <f t="shared" si="41"/>
        <v>0</v>
      </c>
    </row>
    <row r="520" spans="2:12" ht="36">
      <c r="B520" s="362">
        <v>155</v>
      </c>
      <c r="C520" s="363" t="s">
        <v>347</v>
      </c>
      <c r="D520" s="368" t="s">
        <v>130</v>
      </c>
      <c r="E520" s="365">
        <v>8.84</v>
      </c>
      <c r="F520" s="366">
        <v>42301</v>
      </c>
      <c r="G520" s="12">
        <v>1</v>
      </c>
      <c r="H520" s="19">
        <f t="shared" si="42"/>
        <v>8.84</v>
      </c>
      <c r="I520" s="19">
        <f t="shared" si="38"/>
        <v>0</v>
      </c>
      <c r="J520" s="12">
        <f t="shared" si="39"/>
        <v>0</v>
      </c>
      <c r="K520" s="12">
        <f t="shared" si="40"/>
        <v>0</v>
      </c>
      <c r="L520" s="12">
        <f t="shared" si="41"/>
        <v>0</v>
      </c>
    </row>
    <row r="521" spans="2:12" ht="72">
      <c r="B521" s="362">
        <v>154</v>
      </c>
      <c r="C521" s="363" t="s">
        <v>348</v>
      </c>
      <c r="D521" s="364" t="s">
        <v>134</v>
      </c>
      <c r="E521" s="365">
        <v>1.41</v>
      </c>
      <c r="F521" s="366">
        <v>42301</v>
      </c>
      <c r="G521" s="12">
        <v>1</v>
      </c>
      <c r="H521" s="19">
        <f t="shared" si="42"/>
        <v>1.41</v>
      </c>
      <c r="I521" s="19">
        <f t="shared" si="38"/>
        <v>0</v>
      </c>
      <c r="J521" s="12">
        <f t="shared" si="39"/>
        <v>0</v>
      </c>
      <c r="K521" s="12">
        <f t="shared" si="40"/>
        <v>0</v>
      </c>
      <c r="L521" s="12">
        <f t="shared" si="41"/>
        <v>0</v>
      </c>
    </row>
    <row r="522" spans="2:12" ht="18">
      <c r="B522" s="362">
        <v>153</v>
      </c>
      <c r="C522" s="363" t="s">
        <v>349</v>
      </c>
      <c r="D522" s="368" t="s">
        <v>130</v>
      </c>
      <c r="E522" s="365">
        <v>22.635999999999999</v>
      </c>
      <c r="F522" s="366">
        <v>42301</v>
      </c>
      <c r="G522" s="12">
        <v>1</v>
      </c>
      <c r="H522" s="19">
        <f t="shared" si="42"/>
        <v>22.635999999999999</v>
      </c>
      <c r="I522" s="19">
        <f t="shared" si="38"/>
        <v>0</v>
      </c>
      <c r="J522" s="12">
        <f t="shared" si="39"/>
        <v>0</v>
      </c>
      <c r="K522" s="12">
        <f t="shared" si="40"/>
        <v>0</v>
      </c>
      <c r="L522" s="12">
        <f t="shared" si="41"/>
        <v>0</v>
      </c>
    </row>
    <row r="523" spans="2:12" ht="18">
      <c r="B523" s="362">
        <v>152</v>
      </c>
      <c r="C523" s="363" t="s">
        <v>350</v>
      </c>
      <c r="D523" s="368" t="s">
        <v>132</v>
      </c>
      <c r="E523" s="365">
        <v>14</v>
      </c>
      <c r="F523" s="366">
        <v>42301</v>
      </c>
      <c r="G523" s="12">
        <v>1</v>
      </c>
      <c r="H523" s="19">
        <f t="shared" si="42"/>
        <v>14</v>
      </c>
      <c r="I523" s="19">
        <f t="shared" si="38"/>
        <v>0</v>
      </c>
      <c r="J523" s="12">
        <f t="shared" si="39"/>
        <v>0</v>
      </c>
      <c r="K523" s="12">
        <f t="shared" si="40"/>
        <v>0</v>
      </c>
      <c r="L523" s="12">
        <f t="shared" si="41"/>
        <v>0</v>
      </c>
    </row>
    <row r="524" spans="2:12" ht="18">
      <c r="B524" s="357">
        <v>151</v>
      </c>
      <c r="C524" s="358" t="s">
        <v>351</v>
      </c>
      <c r="D524" s="359" t="s">
        <v>132</v>
      </c>
      <c r="E524" s="360">
        <v>7</v>
      </c>
      <c r="F524" s="361">
        <v>42300</v>
      </c>
      <c r="G524" s="16">
        <v>0</v>
      </c>
      <c r="H524" s="27">
        <f t="shared" si="42"/>
        <v>0</v>
      </c>
      <c r="I524" s="27">
        <f t="shared" si="38"/>
        <v>7</v>
      </c>
      <c r="J524" s="16">
        <f t="shared" si="39"/>
        <v>0</v>
      </c>
      <c r="K524" s="16">
        <f t="shared" si="40"/>
        <v>0</v>
      </c>
      <c r="L524" s="16">
        <f t="shared" si="41"/>
        <v>0</v>
      </c>
    </row>
    <row r="525" spans="2:12" ht="18">
      <c r="B525" s="357">
        <v>150</v>
      </c>
      <c r="C525" s="358" t="s">
        <v>235</v>
      </c>
      <c r="D525" s="359" t="s">
        <v>132</v>
      </c>
      <c r="E525" s="360">
        <v>12</v>
      </c>
      <c r="F525" s="361">
        <v>42300</v>
      </c>
      <c r="G525" s="16">
        <v>0</v>
      </c>
      <c r="H525" s="27">
        <f t="shared" si="42"/>
        <v>0</v>
      </c>
      <c r="I525" s="27">
        <f t="shared" ref="I525:I588" si="43">E525-H525</f>
        <v>12</v>
      </c>
      <c r="J525" s="16">
        <f t="shared" ref="J525:J588" si="44">OR(IF((D525="DG"),1,0),IF(D525="DG/FO",1,0),IF(D525="DG/FO/Linyit",1,0))*E525</f>
        <v>0</v>
      </c>
      <c r="K525" s="16">
        <f t="shared" ref="K525:K588" si="45">OR(IF((D525="KÖMÜR+DİĞER"),1,0),IF(D525="KÖMÜR",1,0))*E525</f>
        <v>0</v>
      </c>
      <c r="L525" s="16">
        <f t="shared" ref="L525:L588" si="46">(IF((D525="LİNYİT"),1,0))*E525</f>
        <v>0</v>
      </c>
    </row>
    <row r="526" spans="2:12" ht="18">
      <c r="B526" s="357">
        <v>149</v>
      </c>
      <c r="C526" s="358" t="s">
        <v>312</v>
      </c>
      <c r="D526" s="359" t="s">
        <v>132</v>
      </c>
      <c r="E526" s="360">
        <v>9.6</v>
      </c>
      <c r="F526" s="361">
        <v>42300</v>
      </c>
      <c r="G526" s="16">
        <v>0</v>
      </c>
      <c r="H526" s="27">
        <f t="shared" ref="H526:H589" si="47">E526*G526</f>
        <v>0</v>
      </c>
      <c r="I526" s="27">
        <f t="shared" si="43"/>
        <v>9.6</v>
      </c>
      <c r="J526" s="16">
        <f t="shared" si="44"/>
        <v>0</v>
      </c>
      <c r="K526" s="16">
        <f t="shared" si="45"/>
        <v>0</v>
      </c>
      <c r="L526" s="16">
        <f t="shared" si="46"/>
        <v>0</v>
      </c>
    </row>
    <row r="527" spans="2:12" ht="18">
      <c r="B527" s="362">
        <v>148</v>
      </c>
      <c r="C527" s="363" t="s">
        <v>317</v>
      </c>
      <c r="D527" s="368" t="s">
        <v>130</v>
      </c>
      <c r="E527" s="365">
        <v>2.5</v>
      </c>
      <c r="F527" s="366">
        <v>42299</v>
      </c>
      <c r="G527" s="12">
        <v>1</v>
      </c>
      <c r="H527" s="19">
        <f t="shared" si="47"/>
        <v>2.5</v>
      </c>
      <c r="I527" s="19">
        <f t="shared" si="43"/>
        <v>0</v>
      </c>
      <c r="J527" s="12">
        <f t="shared" si="44"/>
        <v>0</v>
      </c>
      <c r="K527" s="12">
        <f t="shared" si="45"/>
        <v>0</v>
      </c>
      <c r="L527" s="12">
        <f t="shared" si="46"/>
        <v>0</v>
      </c>
    </row>
    <row r="528" spans="2:12" ht="18">
      <c r="B528" s="362">
        <v>147</v>
      </c>
      <c r="C528" s="363" t="s">
        <v>352</v>
      </c>
      <c r="D528" s="368" t="s">
        <v>132</v>
      </c>
      <c r="E528" s="365">
        <v>3.2</v>
      </c>
      <c r="F528" s="366">
        <v>42298</v>
      </c>
      <c r="G528" s="12">
        <v>1</v>
      </c>
      <c r="H528" s="19">
        <f t="shared" si="47"/>
        <v>3.2</v>
      </c>
      <c r="I528" s="19">
        <f t="shared" si="43"/>
        <v>0</v>
      </c>
      <c r="J528" s="12">
        <f t="shared" si="44"/>
        <v>0</v>
      </c>
      <c r="K528" s="12">
        <f t="shared" si="45"/>
        <v>0</v>
      </c>
      <c r="L528" s="12">
        <f t="shared" si="46"/>
        <v>0</v>
      </c>
    </row>
    <row r="529" spans="2:12" ht="36">
      <c r="B529" s="357" t="s">
        <v>353</v>
      </c>
      <c r="C529" s="358" t="s">
        <v>354</v>
      </c>
      <c r="D529" s="359" t="s">
        <v>130</v>
      </c>
      <c r="E529" s="360">
        <v>0.8</v>
      </c>
      <c r="F529" s="361">
        <v>42296</v>
      </c>
      <c r="G529" s="16">
        <v>0</v>
      </c>
      <c r="H529" s="27">
        <f t="shared" si="47"/>
        <v>0</v>
      </c>
      <c r="I529" s="27">
        <f t="shared" si="43"/>
        <v>0.8</v>
      </c>
      <c r="J529" s="16">
        <f t="shared" si="44"/>
        <v>0</v>
      </c>
      <c r="K529" s="16">
        <f t="shared" si="45"/>
        <v>0</v>
      </c>
      <c r="L529" s="16">
        <f t="shared" si="46"/>
        <v>0</v>
      </c>
    </row>
    <row r="530" spans="2:12" ht="18">
      <c r="B530" s="362">
        <v>145</v>
      </c>
      <c r="C530" s="363" t="s">
        <v>355</v>
      </c>
      <c r="D530" s="368" t="s">
        <v>130</v>
      </c>
      <c r="E530" s="365">
        <v>14.4</v>
      </c>
      <c r="F530" s="366">
        <v>42296</v>
      </c>
      <c r="G530" s="12">
        <v>1</v>
      </c>
      <c r="H530" s="19">
        <f t="shared" si="47"/>
        <v>14.4</v>
      </c>
      <c r="I530" s="19">
        <f t="shared" si="43"/>
        <v>0</v>
      </c>
      <c r="J530" s="12">
        <f t="shared" si="44"/>
        <v>0</v>
      </c>
      <c r="K530" s="12">
        <f t="shared" si="45"/>
        <v>0</v>
      </c>
      <c r="L530" s="12">
        <f t="shared" si="46"/>
        <v>0</v>
      </c>
    </row>
    <row r="531" spans="2:12" ht="18">
      <c r="B531" s="357">
        <v>144</v>
      </c>
      <c r="C531" s="358" t="s">
        <v>356</v>
      </c>
      <c r="D531" s="359" t="s">
        <v>130</v>
      </c>
      <c r="E531" s="360">
        <v>12.6</v>
      </c>
      <c r="F531" s="361">
        <v>42294</v>
      </c>
      <c r="G531" s="16">
        <v>0</v>
      </c>
      <c r="H531" s="27">
        <f t="shared" si="47"/>
        <v>0</v>
      </c>
      <c r="I531" s="27">
        <f t="shared" si="43"/>
        <v>12.6</v>
      </c>
      <c r="J531" s="16">
        <f t="shared" si="44"/>
        <v>0</v>
      </c>
      <c r="K531" s="16">
        <f t="shared" si="45"/>
        <v>0</v>
      </c>
      <c r="L531" s="16">
        <f t="shared" si="46"/>
        <v>0</v>
      </c>
    </row>
    <row r="532" spans="2:12" ht="18">
      <c r="B532" s="357">
        <v>143</v>
      </c>
      <c r="C532" s="358" t="s">
        <v>329</v>
      </c>
      <c r="D532" s="359" t="s">
        <v>132</v>
      </c>
      <c r="E532" s="360">
        <v>2.4</v>
      </c>
      <c r="F532" s="361">
        <v>42293</v>
      </c>
      <c r="G532" s="16">
        <v>0</v>
      </c>
      <c r="H532" s="27">
        <f t="shared" si="47"/>
        <v>0</v>
      </c>
      <c r="I532" s="27">
        <f t="shared" si="43"/>
        <v>2.4</v>
      </c>
      <c r="J532" s="16">
        <f t="shared" si="44"/>
        <v>0</v>
      </c>
      <c r="K532" s="16">
        <f t="shared" si="45"/>
        <v>0</v>
      </c>
      <c r="L532" s="16">
        <f t="shared" si="46"/>
        <v>0</v>
      </c>
    </row>
    <row r="533" spans="2:12" ht="18">
      <c r="B533" s="357">
        <v>142</v>
      </c>
      <c r="C533" s="358" t="s">
        <v>304</v>
      </c>
      <c r="D533" s="359" t="s">
        <v>132</v>
      </c>
      <c r="E533" s="360">
        <v>16</v>
      </c>
      <c r="F533" s="361">
        <v>42293</v>
      </c>
      <c r="G533" s="16">
        <v>0</v>
      </c>
      <c r="H533" s="27">
        <f t="shared" si="47"/>
        <v>0</v>
      </c>
      <c r="I533" s="27">
        <f t="shared" si="43"/>
        <v>16</v>
      </c>
      <c r="J533" s="16">
        <f t="shared" si="44"/>
        <v>0</v>
      </c>
      <c r="K533" s="16">
        <f t="shared" si="45"/>
        <v>0</v>
      </c>
      <c r="L533" s="16">
        <f t="shared" si="46"/>
        <v>0</v>
      </c>
    </row>
    <row r="534" spans="2:12" ht="18">
      <c r="B534" s="357">
        <v>141</v>
      </c>
      <c r="C534" s="358" t="s">
        <v>357</v>
      </c>
      <c r="D534" s="359" t="s">
        <v>132</v>
      </c>
      <c r="E534" s="360">
        <v>7</v>
      </c>
      <c r="F534" s="361">
        <v>42293</v>
      </c>
      <c r="G534" s="16">
        <v>0</v>
      </c>
      <c r="H534" s="27">
        <f t="shared" si="47"/>
        <v>0</v>
      </c>
      <c r="I534" s="27">
        <f t="shared" si="43"/>
        <v>7</v>
      </c>
      <c r="J534" s="16">
        <f t="shared" si="44"/>
        <v>0</v>
      </c>
      <c r="K534" s="16">
        <f t="shared" si="45"/>
        <v>0</v>
      </c>
      <c r="L534" s="16">
        <f t="shared" si="46"/>
        <v>0</v>
      </c>
    </row>
    <row r="535" spans="2:12" ht="36">
      <c r="B535" s="362">
        <v>140</v>
      </c>
      <c r="C535" s="363" t="s">
        <v>358</v>
      </c>
      <c r="D535" s="368" t="s">
        <v>130</v>
      </c>
      <c r="E535" s="365">
        <v>3.77</v>
      </c>
      <c r="F535" s="366">
        <v>42292</v>
      </c>
      <c r="G535" s="12">
        <v>1</v>
      </c>
      <c r="H535" s="19">
        <f t="shared" si="47"/>
        <v>3.77</v>
      </c>
      <c r="I535" s="19">
        <f t="shared" si="43"/>
        <v>0</v>
      </c>
      <c r="J535" s="12">
        <f t="shared" si="44"/>
        <v>0</v>
      </c>
      <c r="K535" s="12">
        <f t="shared" si="45"/>
        <v>0</v>
      </c>
      <c r="L535" s="12">
        <f t="shared" si="46"/>
        <v>0</v>
      </c>
    </row>
    <row r="536" spans="2:12" ht="18">
      <c r="B536" s="362">
        <v>139</v>
      </c>
      <c r="C536" s="363" t="s">
        <v>359</v>
      </c>
      <c r="D536" s="368" t="s">
        <v>130</v>
      </c>
      <c r="E536" s="365">
        <v>23.625</v>
      </c>
      <c r="F536" s="366">
        <v>42292</v>
      </c>
      <c r="G536" s="12">
        <v>1</v>
      </c>
      <c r="H536" s="19">
        <f t="shared" si="47"/>
        <v>23.625</v>
      </c>
      <c r="I536" s="19">
        <f t="shared" si="43"/>
        <v>0</v>
      </c>
      <c r="J536" s="12">
        <f t="shared" si="44"/>
        <v>0</v>
      </c>
      <c r="K536" s="12">
        <f t="shared" si="45"/>
        <v>0</v>
      </c>
      <c r="L536" s="12">
        <f t="shared" si="46"/>
        <v>0</v>
      </c>
    </row>
    <row r="537" spans="2:12" ht="18">
      <c r="B537" s="357">
        <v>138</v>
      </c>
      <c r="C537" s="358" t="s">
        <v>327</v>
      </c>
      <c r="D537" s="359" t="s">
        <v>132</v>
      </c>
      <c r="E537" s="360">
        <v>18</v>
      </c>
      <c r="F537" s="361">
        <v>42288</v>
      </c>
      <c r="G537" s="16">
        <v>0</v>
      </c>
      <c r="H537" s="27">
        <f t="shared" si="47"/>
        <v>0</v>
      </c>
      <c r="I537" s="27">
        <f t="shared" si="43"/>
        <v>18</v>
      </c>
      <c r="J537" s="16">
        <f t="shared" si="44"/>
        <v>0</v>
      </c>
      <c r="K537" s="16">
        <f t="shared" si="45"/>
        <v>0</v>
      </c>
      <c r="L537" s="16">
        <f t="shared" si="46"/>
        <v>0</v>
      </c>
    </row>
    <row r="538" spans="2:12" ht="54">
      <c r="B538" s="362">
        <v>137</v>
      </c>
      <c r="C538" s="363" t="s">
        <v>143</v>
      </c>
      <c r="D538" s="368" t="s">
        <v>131</v>
      </c>
      <c r="E538" s="365">
        <v>4</v>
      </c>
      <c r="F538" s="366">
        <v>42287</v>
      </c>
      <c r="G538" s="12">
        <v>1</v>
      </c>
      <c r="H538" s="19">
        <f t="shared" si="47"/>
        <v>4</v>
      </c>
      <c r="I538" s="19">
        <f t="shared" si="43"/>
        <v>0</v>
      </c>
      <c r="J538" s="12">
        <f t="shared" si="44"/>
        <v>4</v>
      </c>
      <c r="K538" s="12">
        <f t="shared" si="45"/>
        <v>0</v>
      </c>
      <c r="L538" s="12">
        <f t="shared" si="46"/>
        <v>0</v>
      </c>
    </row>
    <row r="539" spans="2:12" ht="18">
      <c r="B539" s="357">
        <v>136</v>
      </c>
      <c r="C539" s="358" t="s">
        <v>360</v>
      </c>
      <c r="D539" s="359" t="s">
        <v>132</v>
      </c>
      <c r="E539" s="360">
        <v>10</v>
      </c>
      <c r="F539" s="361">
        <v>42287</v>
      </c>
      <c r="G539" s="16">
        <v>0</v>
      </c>
      <c r="H539" s="27">
        <f t="shared" si="47"/>
        <v>0</v>
      </c>
      <c r="I539" s="27">
        <f t="shared" si="43"/>
        <v>10</v>
      </c>
      <c r="J539" s="16">
        <f t="shared" si="44"/>
        <v>0</v>
      </c>
      <c r="K539" s="16">
        <f t="shared" si="45"/>
        <v>0</v>
      </c>
      <c r="L539" s="16">
        <f t="shared" si="46"/>
        <v>0</v>
      </c>
    </row>
    <row r="540" spans="2:12" ht="18">
      <c r="B540" s="357">
        <v>135</v>
      </c>
      <c r="C540" s="369" t="s">
        <v>272</v>
      </c>
      <c r="D540" s="359" t="s">
        <v>132</v>
      </c>
      <c r="E540" s="360">
        <v>0</v>
      </c>
      <c r="F540" s="361">
        <v>42280</v>
      </c>
      <c r="G540" s="16">
        <v>0</v>
      </c>
      <c r="H540" s="27">
        <f t="shared" si="47"/>
        <v>0</v>
      </c>
      <c r="I540" s="27">
        <f t="shared" si="43"/>
        <v>0</v>
      </c>
      <c r="J540" s="16">
        <f t="shared" si="44"/>
        <v>0</v>
      </c>
      <c r="K540" s="16">
        <f t="shared" si="45"/>
        <v>0</v>
      </c>
      <c r="L540" s="16">
        <f t="shared" si="46"/>
        <v>0</v>
      </c>
    </row>
    <row r="541" spans="2:12" ht="18">
      <c r="B541" s="362">
        <v>134</v>
      </c>
      <c r="C541" s="370" t="s">
        <v>164</v>
      </c>
      <c r="D541" s="368" t="s">
        <v>130</v>
      </c>
      <c r="E541" s="365">
        <v>7.9489999999999998</v>
      </c>
      <c r="F541" s="366">
        <v>42279</v>
      </c>
      <c r="G541" s="12">
        <v>1</v>
      </c>
      <c r="H541" s="19">
        <f t="shared" si="47"/>
        <v>7.9489999999999998</v>
      </c>
      <c r="I541" s="19">
        <f t="shared" si="43"/>
        <v>0</v>
      </c>
      <c r="J541" s="12">
        <f t="shared" si="44"/>
        <v>0</v>
      </c>
      <c r="K541" s="12">
        <f t="shared" si="45"/>
        <v>0</v>
      </c>
      <c r="L541" s="12">
        <f t="shared" si="46"/>
        <v>0</v>
      </c>
    </row>
    <row r="542" spans="2:12" ht="36">
      <c r="B542" s="362">
        <v>133</v>
      </c>
      <c r="C542" s="370" t="s">
        <v>361</v>
      </c>
      <c r="D542" s="368" t="s">
        <v>130</v>
      </c>
      <c r="E542" s="365">
        <v>153.4</v>
      </c>
      <c r="F542" s="366">
        <v>42279</v>
      </c>
      <c r="G542" s="12">
        <v>1</v>
      </c>
      <c r="H542" s="19">
        <f t="shared" si="47"/>
        <v>153.4</v>
      </c>
      <c r="I542" s="19">
        <f t="shared" si="43"/>
        <v>0</v>
      </c>
      <c r="J542" s="12">
        <f t="shared" si="44"/>
        <v>0</v>
      </c>
      <c r="K542" s="12">
        <f t="shared" si="45"/>
        <v>0</v>
      </c>
      <c r="L542" s="12">
        <f t="shared" si="46"/>
        <v>0</v>
      </c>
    </row>
    <row r="543" spans="2:12" ht="18">
      <c r="B543" s="357">
        <v>132</v>
      </c>
      <c r="C543" s="369" t="s">
        <v>335</v>
      </c>
      <c r="D543" s="359" t="s">
        <v>132</v>
      </c>
      <c r="E543" s="360">
        <v>21.6</v>
      </c>
      <c r="F543" s="361">
        <v>42276</v>
      </c>
      <c r="G543" s="16">
        <v>0</v>
      </c>
      <c r="H543" s="27">
        <f t="shared" si="47"/>
        <v>0</v>
      </c>
      <c r="I543" s="27">
        <f t="shared" si="43"/>
        <v>21.6</v>
      </c>
      <c r="J543" s="16">
        <f t="shared" si="44"/>
        <v>0</v>
      </c>
      <c r="K543" s="16">
        <f t="shared" si="45"/>
        <v>0</v>
      </c>
      <c r="L543" s="16">
        <f t="shared" si="46"/>
        <v>0</v>
      </c>
    </row>
    <row r="544" spans="2:12" ht="18">
      <c r="B544" s="374">
        <v>131</v>
      </c>
      <c r="C544" s="375" t="s">
        <v>350</v>
      </c>
      <c r="D544" s="376" t="s">
        <v>132</v>
      </c>
      <c r="E544" s="377">
        <v>16</v>
      </c>
      <c r="F544" s="378">
        <v>42265</v>
      </c>
      <c r="G544" s="12">
        <v>1</v>
      </c>
      <c r="H544" s="19">
        <f t="shared" si="47"/>
        <v>16</v>
      </c>
      <c r="I544" s="19">
        <f t="shared" si="43"/>
        <v>0</v>
      </c>
      <c r="J544" s="12">
        <f t="shared" si="44"/>
        <v>0</v>
      </c>
      <c r="K544" s="12">
        <f t="shared" si="45"/>
        <v>0</v>
      </c>
      <c r="L544" s="12">
        <f t="shared" si="46"/>
        <v>0</v>
      </c>
    </row>
    <row r="545" spans="2:12" ht="36">
      <c r="B545" s="357">
        <v>130</v>
      </c>
      <c r="C545" s="358" t="s">
        <v>362</v>
      </c>
      <c r="D545" s="359" t="s">
        <v>142</v>
      </c>
      <c r="E545" s="360">
        <v>1.0669999999999999</v>
      </c>
      <c r="F545" s="361">
        <v>42265</v>
      </c>
      <c r="G545" s="16">
        <v>0</v>
      </c>
      <c r="H545" s="27">
        <f t="shared" si="47"/>
        <v>0</v>
      </c>
      <c r="I545" s="27">
        <f t="shared" si="43"/>
        <v>1.0669999999999999</v>
      </c>
      <c r="J545" s="16">
        <f t="shared" si="44"/>
        <v>0</v>
      </c>
      <c r="K545" s="16">
        <f t="shared" si="45"/>
        <v>0</v>
      </c>
      <c r="L545" s="16">
        <f t="shared" si="46"/>
        <v>0</v>
      </c>
    </row>
    <row r="546" spans="2:12" ht="18">
      <c r="B546" s="357">
        <v>129</v>
      </c>
      <c r="C546" s="358" t="s">
        <v>327</v>
      </c>
      <c r="D546" s="359" t="s">
        <v>132</v>
      </c>
      <c r="E546" s="360">
        <v>18</v>
      </c>
      <c r="F546" s="361">
        <v>42265</v>
      </c>
      <c r="G546" s="16">
        <v>0</v>
      </c>
      <c r="H546" s="27">
        <f t="shared" si="47"/>
        <v>0</v>
      </c>
      <c r="I546" s="27">
        <f t="shared" si="43"/>
        <v>18</v>
      </c>
      <c r="J546" s="16">
        <f t="shared" si="44"/>
        <v>0</v>
      </c>
      <c r="K546" s="16">
        <f t="shared" si="45"/>
        <v>0</v>
      </c>
      <c r="L546" s="16">
        <f t="shared" si="46"/>
        <v>0</v>
      </c>
    </row>
    <row r="547" spans="2:12" ht="18">
      <c r="B547" s="362">
        <v>128</v>
      </c>
      <c r="C547" s="363" t="s">
        <v>307</v>
      </c>
      <c r="D547" s="368" t="s">
        <v>130</v>
      </c>
      <c r="E547" s="365">
        <v>3.69</v>
      </c>
      <c r="F547" s="366">
        <v>42264</v>
      </c>
      <c r="G547" s="12">
        <v>1</v>
      </c>
      <c r="H547" s="19">
        <f t="shared" si="47"/>
        <v>3.69</v>
      </c>
      <c r="I547" s="19">
        <f t="shared" si="43"/>
        <v>0</v>
      </c>
      <c r="J547" s="12">
        <f t="shared" si="44"/>
        <v>0</v>
      </c>
      <c r="K547" s="12">
        <f t="shared" si="45"/>
        <v>0</v>
      </c>
      <c r="L547" s="12">
        <f t="shared" si="46"/>
        <v>0</v>
      </c>
    </row>
    <row r="548" spans="2:12" ht="18">
      <c r="B548" s="362">
        <v>127</v>
      </c>
      <c r="C548" s="363" t="s">
        <v>363</v>
      </c>
      <c r="D548" s="368" t="s">
        <v>137</v>
      </c>
      <c r="E548" s="365">
        <v>24</v>
      </c>
      <c r="F548" s="366">
        <v>42264</v>
      </c>
      <c r="G548" s="12">
        <v>1</v>
      </c>
      <c r="H548" s="19">
        <f t="shared" si="47"/>
        <v>24</v>
      </c>
      <c r="I548" s="19">
        <f t="shared" si="43"/>
        <v>0</v>
      </c>
      <c r="J548" s="12">
        <f t="shared" si="44"/>
        <v>0</v>
      </c>
      <c r="K548" s="12">
        <f t="shared" si="45"/>
        <v>0</v>
      </c>
      <c r="L548" s="12">
        <f t="shared" si="46"/>
        <v>0</v>
      </c>
    </row>
    <row r="549" spans="2:12" ht="18">
      <c r="B549" s="357">
        <v>126</v>
      </c>
      <c r="C549" s="358" t="s">
        <v>235</v>
      </c>
      <c r="D549" s="359" t="s">
        <v>132</v>
      </c>
      <c r="E549" s="360">
        <v>9</v>
      </c>
      <c r="F549" s="361">
        <v>42264</v>
      </c>
      <c r="G549" s="16">
        <v>0</v>
      </c>
      <c r="H549" s="27">
        <f t="shared" si="47"/>
        <v>0</v>
      </c>
      <c r="I549" s="27">
        <f t="shared" si="43"/>
        <v>9</v>
      </c>
      <c r="J549" s="16">
        <f t="shared" si="44"/>
        <v>0</v>
      </c>
      <c r="K549" s="16">
        <f t="shared" si="45"/>
        <v>0</v>
      </c>
      <c r="L549" s="16">
        <f t="shared" si="46"/>
        <v>0</v>
      </c>
    </row>
    <row r="550" spans="2:12" ht="18">
      <c r="B550" s="362">
        <v>125</v>
      </c>
      <c r="C550" s="363" t="s">
        <v>364</v>
      </c>
      <c r="D550" s="368" t="s">
        <v>130</v>
      </c>
      <c r="E550" s="365">
        <v>0.71499999999999997</v>
      </c>
      <c r="F550" s="366">
        <v>42262</v>
      </c>
      <c r="G550" s="12">
        <v>1</v>
      </c>
      <c r="H550" s="19">
        <f t="shared" si="47"/>
        <v>0.71499999999999997</v>
      </c>
      <c r="I550" s="19">
        <f t="shared" si="43"/>
        <v>0</v>
      </c>
      <c r="J550" s="12">
        <f t="shared" si="44"/>
        <v>0</v>
      </c>
      <c r="K550" s="12">
        <f t="shared" si="45"/>
        <v>0</v>
      </c>
      <c r="L550" s="12">
        <f t="shared" si="46"/>
        <v>0</v>
      </c>
    </row>
    <row r="551" spans="2:12" ht="18">
      <c r="B551" s="357">
        <v>124</v>
      </c>
      <c r="C551" s="358" t="s">
        <v>365</v>
      </c>
      <c r="D551" s="359" t="s">
        <v>132</v>
      </c>
      <c r="E551" s="360">
        <v>9.6</v>
      </c>
      <c r="F551" s="361">
        <v>42262</v>
      </c>
      <c r="G551" s="16">
        <v>0</v>
      </c>
      <c r="H551" s="27">
        <f t="shared" si="47"/>
        <v>0</v>
      </c>
      <c r="I551" s="27">
        <f t="shared" si="43"/>
        <v>9.6</v>
      </c>
      <c r="J551" s="16">
        <f t="shared" si="44"/>
        <v>0</v>
      </c>
      <c r="K551" s="16">
        <f t="shared" si="45"/>
        <v>0</v>
      </c>
      <c r="L551" s="16">
        <f t="shared" si="46"/>
        <v>0</v>
      </c>
    </row>
    <row r="552" spans="2:12" ht="18">
      <c r="B552" s="357">
        <v>123</v>
      </c>
      <c r="C552" s="358" t="s">
        <v>366</v>
      </c>
      <c r="D552" s="359" t="s">
        <v>132</v>
      </c>
      <c r="E552" s="360">
        <v>15.1</v>
      </c>
      <c r="F552" s="361">
        <v>42259</v>
      </c>
      <c r="G552" s="16">
        <v>0</v>
      </c>
      <c r="H552" s="27">
        <f t="shared" si="47"/>
        <v>0</v>
      </c>
      <c r="I552" s="27">
        <f t="shared" si="43"/>
        <v>15.1</v>
      </c>
      <c r="J552" s="16">
        <f t="shared" si="44"/>
        <v>0</v>
      </c>
      <c r="K552" s="16">
        <f t="shared" si="45"/>
        <v>0</v>
      </c>
      <c r="L552" s="16">
        <f t="shared" si="46"/>
        <v>0</v>
      </c>
    </row>
    <row r="553" spans="2:12" ht="36">
      <c r="B553" s="362">
        <v>122</v>
      </c>
      <c r="C553" s="363" t="s">
        <v>219</v>
      </c>
      <c r="D553" s="364" t="s">
        <v>137</v>
      </c>
      <c r="E553" s="365">
        <v>33.729999999999997</v>
      </c>
      <c r="F553" s="366">
        <v>42259</v>
      </c>
      <c r="G553" s="12">
        <v>1</v>
      </c>
      <c r="H553" s="19">
        <f t="shared" si="47"/>
        <v>33.729999999999997</v>
      </c>
      <c r="I553" s="19">
        <f t="shared" si="43"/>
        <v>0</v>
      </c>
      <c r="J553" s="12">
        <f t="shared" si="44"/>
        <v>0</v>
      </c>
      <c r="K553" s="12">
        <f t="shared" si="45"/>
        <v>0</v>
      </c>
      <c r="L553" s="12">
        <f t="shared" si="46"/>
        <v>0</v>
      </c>
    </row>
    <row r="554" spans="2:12" ht="36">
      <c r="B554" s="362">
        <v>121</v>
      </c>
      <c r="C554" s="363" t="s">
        <v>367</v>
      </c>
      <c r="D554" s="368" t="s">
        <v>131</v>
      </c>
      <c r="E554" s="365">
        <v>1.2</v>
      </c>
      <c r="F554" s="366">
        <v>42258</v>
      </c>
      <c r="G554" s="12">
        <v>1</v>
      </c>
      <c r="H554" s="19">
        <f t="shared" si="47"/>
        <v>1.2</v>
      </c>
      <c r="I554" s="19">
        <f t="shared" si="43"/>
        <v>0</v>
      </c>
      <c r="J554" s="12">
        <f t="shared" si="44"/>
        <v>1.2</v>
      </c>
      <c r="K554" s="12">
        <f t="shared" si="45"/>
        <v>0</v>
      </c>
      <c r="L554" s="12">
        <f t="shared" si="46"/>
        <v>0</v>
      </c>
    </row>
    <row r="555" spans="2:12" ht="54">
      <c r="B555" s="362">
        <v>120</v>
      </c>
      <c r="C555" s="363" t="s">
        <v>143</v>
      </c>
      <c r="D555" s="368" t="s">
        <v>131</v>
      </c>
      <c r="E555" s="365">
        <v>2</v>
      </c>
      <c r="F555" s="366">
        <v>42257</v>
      </c>
      <c r="G555" s="12">
        <v>1</v>
      </c>
      <c r="H555" s="19">
        <f t="shared" si="47"/>
        <v>2</v>
      </c>
      <c r="I555" s="19">
        <f t="shared" si="43"/>
        <v>0</v>
      </c>
      <c r="J555" s="12">
        <f t="shared" si="44"/>
        <v>2</v>
      </c>
      <c r="K555" s="12">
        <f t="shared" si="45"/>
        <v>0</v>
      </c>
      <c r="L555" s="12">
        <f t="shared" si="46"/>
        <v>0</v>
      </c>
    </row>
    <row r="556" spans="2:12" ht="54">
      <c r="B556" s="362">
        <v>119</v>
      </c>
      <c r="C556" s="363" t="s">
        <v>143</v>
      </c>
      <c r="D556" s="368" t="s">
        <v>131</v>
      </c>
      <c r="E556" s="365">
        <v>1.2</v>
      </c>
      <c r="F556" s="366">
        <v>42256</v>
      </c>
      <c r="G556" s="12">
        <v>1</v>
      </c>
      <c r="H556" s="19">
        <f t="shared" si="47"/>
        <v>1.2</v>
      </c>
      <c r="I556" s="19">
        <f t="shared" si="43"/>
        <v>0</v>
      </c>
      <c r="J556" s="12">
        <f t="shared" si="44"/>
        <v>1.2</v>
      </c>
      <c r="K556" s="12">
        <f t="shared" si="45"/>
        <v>0</v>
      </c>
      <c r="L556" s="12">
        <f t="shared" si="46"/>
        <v>0</v>
      </c>
    </row>
    <row r="557" spans="2:12" ht="36">
      <c r="B557" s="362">
        <v>118</v>
      </c>
      <c r="C557" s="363" t="s">
        <v>331</v>
      </c>
      <c r="D557" s="368" t="s">
        <v>130</v>
      </c>
      <c r="E557" s="365">
        <v>32.993000000000002</v>
      </c>
      <c r="F557" s="366">
        <v>42251</v>
      </c>
      <c r="G557" s="12">
        <v>1</v>
      </c>
      <c r="H557" s="19">
        <f t="shared" si="47"/>
        <v>32.993000000000002</v>
      </c>
      <c r="I557" s="19">
        <f t="shared" si="43"/>
        <v>0</v>
      </c>
      <c r="J557" s="12">
        <f t="shared" si="44"/>
        <v>0</v>
      </c>
      <c r="K557" s="12">
        <f t="shared" si="45"/>
        <v>0</v>
      </c>
      <c r="L557" s="12">
        <f t="shared" si="46"/>
        <v>0</v>
      </c>
    </row>
    <row r="558" spans="2:12" ht="36">
      <c r="B558" s="362">
        <v>117</v>
      </c>
      <c r="C558" s="370" t="s">
        <v>368</v>
      </c>
      <c r="D558" s="368" t="s">
        <v>130</v>
      </c>
      <c r="E558" s="379">
        <v>1.3435999999999999</v>
      </c>
      <c r="F558" s="366">
        <v>42250</v>
      </c>
      <c r="G558" s="12">
        <v>1</v>
      </c>
      <c r="H558" s="19">
        <f t="shared" si="47"/>
        <v>1.3435999999999999</v>
      </c>
      <c r="I558" s="19">
        <f t="shared" si="43"/>
        <v>0</v>
      </c>
      <c r="J558" s="12">
        <f t="shared" si="44"/>
        <v>0</v>
      </c>
      <c r="K558" s="12">
        <f t="shared" si="45"/>
        <v>0</v>
      </c>
      <c r="L558" s="12">
        <f t="shared" si="46"/>
        <v>0</v>
      </c>
    </row>
    <row r="559" spans="2:12" ht="36">
      <c r="B559" s="362">
        <v>116</v>
      </c>
      <c r="C559" s="370" t="s">
        <v>369</v>
      </c>
      <c r="D559" s="368" t="s">
        <v>130</v>
      </c>
      <c r="E559" s="365">
        <v>121.654</v>
      </c>
      <c r="F559" s="366">
        <v>42250</v>
      </c>
      <c r="G559" s="12">
        <v>1</v>
      </c>
      <c r="H559" s="19">
        <f t="shared" si="47"/>
        <v>121.654</v>
      </c>
      <c r="I559" s="19">
        <f t="shared" si="43"/>
        <v>0</v>
      </c>
      <c r="J559" s="12">
        <f t="shared" si="44"/>
        <v>0</v>
      </c>
      <c r="K559" s="12">
        <f t="shared" si="45"/>
        <v>0</v>
      </c>
      <c r="L559" s="12">
        <f t="shared" si="46"/>
        <v>0</v>
      </c>
    </row>
    <row r="560" spans="2:12" ht="54">
      <c r="B560" s="362">
        <v>115</v>
      </c>
      <c r="C560" s="370" t="s">
        <v>143</v>
      </c>
      <c r="D560" s="368" t="s">
        <v>131</v>
      </c>
      <c r="E560" s="365">
        <v>4.0439999999999996</v>
      </c>
      <c r="F560" s="366">
        <v>42249</v>
      </c>
      <c r="G560" s="12">
        <v>1</v>
      </c>
      <c r="H560" s="19">
        <f t="shared" si="47"/>
        <v>4.0439999999999996</v>
      </c>
      <c r="I560" s="19">
        <f t="shared" si="43"/>
        <v>0</v>
      </c>
      <c r="J560" s="12">
        <f t="shared" si="44"/>
        <v>4.0439999999999996</v>
      </c>
      <c r="K560" s="12">
        <f t="shared" si="45"/>
        <v>0</v>
      </c>
      <c r="L560" s="12">
        <f t="shared" si="46"/>
        <v>0</v>
      </c>
    </row>
    <row r="561" spans="2:12" ht="18">
      <c r="B561" s="357">
        <v>114</v>
      </c>
      <c r="C561" s="369" t="s">
        <v>370</v>
      </c>
      <c r="D561" s="359" t="s">
        <v>132</v>
      </c>
      <c r="E561" s="360">
        <v>2.5</v>
      </c>
      <c r="F561" s="361">
        <v>42249</v>
      </c>
      <c r="G561" s="16">
        <v>0</v>
      </c>
      <c r="H561" s="27">
        <f t="shared" si="47"/>
        <v>0</v>
      </c>
      <c r="I561" s="27">
        <f t="shared" si="43"/>
        <v>2.5</v>
      </c>
      <c r="J561" s="16">
        <f t="shared" si="44"/>
        <v>0</v>
      </c>
      <c r="K561" s="16">
        <f t="shared" si="45"/>
        <v>0</v>
      </c>
      <c r="L561" s="16">
        <f t="shared" si="46"/>
        <v>0</v>
      </c>
    </row>
    <row r="562" spans="2:12" ht="18">
      <c r="B562" s="357">
        <v>113</v>
      </c>
      <c r="C562" s="358" t="s">
        <v>365</v>
      </c>
      <c r="D562" s="359" t="s">
        <v>132</v>
      </c>
      <c r="E562" s="360">
        <v>7.2</v>
      </c>
      <c r="F562" s="361">
        <v>42243</v>
      </c>
      <c r="G562" s="16">
        <v>0</v>
      </c>
      <c r="H562" s="27">
        <f t="shared" si="47"/>
        <v>0</v>
      </c>
      <c r="I562" s="27">
        <f t="shared" si="43"/>
        <v>7.2</v>
      </c>
      <c r="J562" s="16">
        <f t="shared" si="44"/>
        <v>0</v>
      </c>
      <c r="K562" s="16">
        <f t="shared" si="45"/>
        <v>0</v>
      </c>
      <c r="L562" s="16">
        <f t="shared" si="46"/>
        <v>0</v>
      </c>
    </row>
    <row r="563" spans="2:12" ht="18">
      <c r="B563" s="357">
        <v>112</v>
      </c>
      <c r="C563" s="358" t="s">
        <v>284</v>
      </c>
      <c r="D563" s="367" t="s">
        <v>130</v>
      </c>
      <c r="E563" s="360">
        <v>1.0900000000000001</v>
      </c>
      <c r="F563" s="361">
        <v>42243</v>
      </c>
      <c r="G563" s="16">
        <v>0</v>
      </c>
      <c r="H563" s="27">
        <f t="shared" si="47"/>
        <v>0</v>
      </c>
      <c r="I563" s="27">
        <f t="shared" si="43"/>
        <v>1.0900000000000001</v>
      </c>
      <c r="J563" s="16">
        <f t="shared" si="44"/>
        <v>0</v>
      </c>
      <c r="K563" s="16">
        <f t="shared" si="45"/>
        <v>0</v>
      </c>
      <c r="L563" s="16">
        <f t="shared" si="46"/>
        <v>0</v>
      </c>
    </row>
    <row r="564" spans="2:12" ht="36">
      <c r="B564" s="362">
        <v>111</v>
      </c>
      <c r="C564" s="363" t="s">
        <v>213</v>
      </c>
      <c r="D564" s="364" t="s">
        <v>137</v>
      </c>
      <c r="E564" s="365">
        <v>47.4</v>
      </c>
      <c r="F564" s="366">
        <v>42242</v>
      </c>
      <c r="G564" s="12">
        <v>1</v>
      </c>
      <c r="H564" s="19">
        <f t="shared" si="47"/>
        <v>47.4</v>
      </c>
      <c r="I564" s="19">
        <f t="shared" si="43"/>
        <v>0</v>
      </c>
      <c r="J564" s="12">
        <f t="shared" si="44"/>
        <v>0</v>
      </c>
      <c r="K564" s="12">
        <f t="shared" si="45"/>
        <v>0</v>
      </c>
      <c r="L564" s="12">
        <f t="shared" si="46"/>
        <v>0</v>
      </c>
    </row>
    <row r="565" spans="2:12" ht="18">
      <c r="B565" s="357">
        <v>110</v>
      </c>
      <c r="C565" s="358" t="s">
        <v>371</v>
      </c>
      <c r="D565" s="359" t="s">
        <v>130</v>
      </c>
      <c r="E565" s="360">
        <v>8.3160000000000007</v>
      </c>
      <c r="F565" s="361">
        <v>42236</v>
      </c>
      <c r="G565" s="16">
        <v>0</v>
      </c>
      <c r="H565" s="27">
        <f t="shared" si="47"/>
        <v>0</v>
      </c>
      <c r="I565" s="27">
        <f t="shared" si="43"/>
        <v>8.3160000000000007</v>
      </c>
      <c r="J565" s="16">
        <f t="shared" si="44"/>
        <v>0</v>
      </c>
      <c r="K565" s="16">
        <f t="shared" si="45"/>
        <v>0</v>
      </c>
      <c r="L565" s="16">
        <f t="shared" si="46"/>
        <v>0</v>
      </c>
    </row>
    <row r="566" spans="2:12" ht="36">
      <c r="B566" s="362">
        <v>109</v>
      </c>
      <c r="C566" s="363" t="s">
        <v>331</v>
      </c>
      <c r="D566" s="368" t="s">
        <v>130</v>
      </c>
      <c r="E566" s="365">
        <v>3.641</v>
      </c>
      <c r="F566" s="366">
        <v>42229</v>
      </c>
      <c r="G566" s="12">
        <v>1</v>
      </c>
      <c r="H566" s="19">
        <f t="shared" si="47"/>
        <v>3.641</v>
      </c>
      <c r="I566" s="19">
        <f t="shared" si="43"/>
        <v>0</v>
      </c>
      <c r="J566" s="12">
        <f t="shared" si="44"/>
        <v>0</v>
      </c>
      <c r="K566" s="12">
        <f t="shared" si="45"/>
        <v>0</v>
      </c>
      <c r="L566" s="12">
        <f t="shared" si="46"/>
        <v>0</v>
      </c>
    </row>
    <row r="567" spans="2:12" ht="18">
      <c r="B567" s="357">
        <v>108</v>
      </c>
      <c r="C567" s="358" t="s">
        <v>235</v>
      </c>
      <c r="D567" s="359" t="s">
        <v>132</v>
      </c>
      <c r="E567" s="360">
        <v>12</v>
      </c>
      <c r="F567" s="361">
        <v>42229</v>
      </c>
      <c r="G567" s="16">
        <v>0</v>
      </c>
      <c r="H567" s="27">
        <f t="shared" si="47"/>
        <v>0</v>
      </c>
      <c r="I567" s="27">
        <f t="shared" si="43"/>
        <v>12</v>
      </c>
      <c r="J567" s="16">
        <f t="shared" si="44"/>
        <v>0</v>
      </c>
      <c r="K567" s="16">
        <f t="shared" si="45"/>
        <v>0</v>
      </c>
      <c r="L567" s="16">
        <f t="shared" si="46"/>
        <v>0</v>
      </c>
    </row>
    <row r="568" spans="2:12" ht="18">
      <c r="B568" s="362">
        <v>107</v>
      </c>
      <c r="C568" s="363" t="s">
        <v>156</v>
      </c>
      <c r="D568" s="368" t="s">
        <v>137</v>
      </c>
      <c r="E568" s="365">
        <v>16.006</v>
      </c>
      <c r="F568" s="366">
        <v>42223</v>
      </c>
      <c r="G568" s="12">
        <v>1</v>
      </c>
      <c r="H568" s="19">
        <f t="shared" si="47"/>
        <v>16.006</v>
      </c>
      <c r="I568" s="19">
        <f t="shared" si="43"/>
        <v>0</v>
      </c>
      <c r="J568" s="12">
        <f t="shared" si="44"/>
        <v>0</v>
      </c>
      <c r="K568" s="12">
        <f t="shared" si="45"/>
        <v>0</v>
      </c>
      <c r="L568" s="12">
        <f t="shared" si="46"/>
        <v>0</v>
      </c>
    </row>
    <row r="569" spans="2:12" ht="18">
      <c r="B569" s="362">
        <v>106</v>
      </c>
      <c r="C569" s="363" t="s">
        <v>372</v>
      </c>
      <c r="D569" s="368" t="s">
        <v>130</v>
      </c>
      <c r="E569" s="365">
        <v>6.79</v>
      </c>
      <c r="F569" s="366">
        <v>42222</v>
      </c>
      <c r="G569" s="12">
        <v>1</v>
      </c>
      <c r="H569" s="19">
        <f t="shared" si="47"/>
        <v>6.79</v>
      </c>
      <c r="I569" s="19">
        <f t="shared" si="43"/>
        <v>0</v>
      </c>
      <c r="J569" s="12">
        <f t="shared" si="44"/>
        <v>0</v>
      </c>
      <c r="K569" s="12">
        <f t="shared" si="45"/>
        <v>0</v>
      </c>
      <c r="L569" s="12">
        <f t="shared" si="46"/>
        <v>0</v>
      </c>
    </row>
    <row r="570" spans="2:12" ht="18">
      <c r="B570" s="357">
        <v>105</v>
      </c>
      <c r="C570" s="358" t="s">
        <v>116</v>
      </c>
      <c r="D570" s="359" t="s">
        <v>132</v>
      </c>
      <c r="E570" s="360">
        <v>1</v>
      </c>
      <c r="F570" s="361">
        <v>42220</v>
      </c>
      <c r="G570" s="16">
        <v>0</v>
      </c>
      <c r="H570" s="27">
        <f t="shared" si="47"/>
        <v>0</v>
      </c>
      <c r="I570" s="27">
        <f t="shared" si="43"/>
        <v>1</v>
      </c>
      <c r="J570" s="16">
        <f t="shared" si="44"/>
        <v>0</v>
      </c>
      <c r="K570" s="16">
        <f t="shared" si="45"/>
        <v>0</v>
      </c>
      <c r="L570" s="16">
        <f t="shared" si="46"/>
        <v>0</v>
      </c>
    </row>
    <row r="571" spans="2:12" ht="18">
      <c r="B571" s="357">
        <v>104</v>
      </c>
      <c r="C571" s="358" t="s">
        <v>373</v>
      </c>
      <c r="D571" s="367" t="s">
        <v>132</v>
      </c>
      <c r="E571" s="360">
        <v>0.5</v>
      </c>
      <c r="F571" s="361">
        <v>42216</v>
      </c>
      <c r="G571" s="16">
        <v>0</v>
      </c>
      <c r="H571" s="27">
        <f t="shared" si="47"/>
        <v>0</v>
      </c>
      <c r="I571" s="27">
        <f t="shared" si="43"/>
        <v>0.5</v>
      </c>
      <c r="J571" s="16">
        <f t="shared" si="44"/>
        <v>0</v>
      </c>
      <c r="K571" s="16">
        <f t="shared" si="45"/>
        <v>0</v>
      </c>
      <c r="L571" s="16">
        <f t="shared" si="46"/>
        <v>0</v>
      </c>
    </row>
    <row r="572" spans="2:12" ht="36">
      <c r="B572" s="357">
        <v>103</v>
      </c>
      <c r="C572" s="358" t="s">
        <v>374</v>
      </c>
      <c r="D572" s="367" t="s">
        <v>130</v>
      </c>
      <c r="E572" s="360">
        <v>10.175000000000001</v>
      </c>
      <c r="F572" s="361">
        <v>42215</v>
      </c>
      <c r="G572" s="16">
        <v>0</v>
      </c>
      <c r="H572" s="27">
        <f t="shared" si="47"/>
        <v>0</v>
      </c>
      <c r="I572" s="27">
        <f t="shared" si="43"/>
        <v>10.175000000000001</v>
      </c>
      <c r="J572" s="16">
        <f t="shared" si="44"/>
        <v>0</v>
      </c>
      <c r="K572" s="16">
        <f t="shared" si="45"/>
        <v>0</v>
      </c>
      <c r="L572" s="16">
        <f t="shared" si="46"/>
        <v>0</v>
      </c>
    </row>
    <row r="573" spans="2:12" ht="18">
      <c r="B573" s="362">
        <v>102</v>
      </c>
      <c r="C573" s="363" t="s">
        <v>375</v>
      </c>
      <c r="D573" s="368" t="s">
        <v>130</v>
      </c>
      <c r="E573" s="365">
        <v>17.177</v>
      </c>
      <c r="F573" s="366">
        <v>42210</v>
      </c>
      <c r="G573" s="12">
        <v>1</v>
      </c>
      <c r="H573" s="19">
        <f t="shared" si="47"/>
        <v>17.177</v>
      </c>
      <c r="I573" s="19">
        <f t="shared" si="43"/>
        <v>0</v>
      </c>
      <c r="J573" s="12">
        <f t="shared" si="44"/>
        <v>0</v>
      </c>
      <c r="K573" s="12">
        <f t="shared" si="45"/>
        <v>0</v>
      </c>
      <c r="L573" s="12">
        <f t="shared" si="46"/>
        <v>0</v>
      </c>
    </row>
    <row r="574" spans="2:12" ht="18">
      <c r="B574" s="357">
        <v>101</v>
      </c>
      <c r="C574" s="358" t="s">
        <v>365</v>
      </c>
      <c r="D574" s="359" t="s">
        <v>132</v>
      </c>
      <c r="E574" s="360">
        <v>7.2</v>
      </c>
      <c r="F574" s="361">
        <v>42209</v>
      </c>
      <c r="G574" s="16">
        <v>0</v>
      </c>
      <c r="H574" s="27">
        <f t="shared" si="47"/>
        <v>0</v>
      </c>
      <c r="I574" s="27">
        <f t="shared" si="43"/>
        <v>7.2</v>
      </c>
      <c r="J574" s="16">
        <f t="shared" si="44"/>
        <v>0</v>
      </c>
      <c r="K574" s="16">
        <f t="shared" si="45"/>
        <v>0</v>
      </c>
      <c r="L574" s="16">
        <f t="shared" si="46"/>
        <v>0</v>
      </c>
    </row>
    <row r="575" spans="2:12" ht="18">
      <c r="B575" s="362">
        <v>100</v>
      </c>
      <c r="C575" s="363" t="s">
        <v>156</v>
      </c>
      <c r="D575" s="368" t="s">
        <v>137</v>
      </c>
      <c r="E575" s="365">
        <v>6.5039999999999996</v>
      </c>
      <c r="F575" s="366">
        <v>42206</v>
      </c>
      <c r="G575" s="12">
        <v>1</v>
      </c>
      <c r="H575" s="19">
        <f t="shared" si="47"/>
        <v>6.5039999999999996</v>
      </c>
      <c r="I575" s="19">
        <f t="shared" si="43"/>
        <v>0</v>
      </c>
      <c r="J575" s="12">
        <f t="shared" si="44"/>
        <v>0</v>
      </c>
      <c r="K575" s="12">
        <f t="shared" si="45"/>
        <v>0</v>
      </c>
      <c r="L575" s="12">
        <f t="shared" si="46"/>
        <v>0</v>
      </c>
    </row>
    <row r="576" spans="2:12" ht="36">
      <c r="B576" s="362">
        <v>99</v>
      </c>
      <c r="C576" s="363" t="s">
        <v>376</v>
      </c>
      <c r="D576" s="368" t="s">
        <v>138</v>
      </c>
      <c r="E576" s="365">
        <v>135</v>
      </c>
      <c r="F576" s="366">
        <v>42200</v>
      </c>
      <c r="G576" s="12">
        <v>1</v>
      </c>
      <c r="H576" s="19">
        <f t="shared" si="47"/>
        <v>135</v>
      </c>
      <c r="I576" s="19">
        <f t="shared" si="43"/>
        <v>0</v>
      </c>
      <c r="J576" s="12">
        <f t="shared" si="44"/>
        <v>0</v>
      </c>
      <c r="K576" s="12">
        <f t="shared" si="45"/>
        <v>0</v>
      </c>
      <c r="L576" s="12">
        <f t="shared" si="46"/>
        <v>135</v>
      </c>
    </row>
    <row r="577" spans="2:12" ht="18">
      <c r="B577" s="362">
        <v>98</v>
      </c>
      <c r="C577" s="363" t="s">
        <v>377</v>
      </c>
      <c r="D577" s="368" t="s">
        <v>130</v>
      </c>
      <c r="E577" s="365">
        <v>5.9850000000000003</v>
      </c>
      <c r="F577" s="366">
        <v>42193</v>
      </c>
      <c r="G577" s="12">
        <v>1</v>
      </c>
      <c r="H577" s="19">
        <f t="shared" si="47"/>
        <v>5.9850000000000003</v>
      </c>
      <c r="I577" s="19">
        <f t="shared" si="43"/>
        <v>0</v>
      </c>
      <c r="J577" s="12">
        <f t="shared" si="44"/>
        <v>0</v>
      </c>
      <c r="K577" s="12">
        <f t="shared" si="45"/>
        <v>0</v>
      </c>
      <c r="L577" s="12">
        <f t="shared" si="46"/>
        <v>0</v>
      </c>
    </row>
    <row r="578" spans="2:12" ht="36">
      <c r="B578" s="362">
        <v>97</v>
      </c>
      <c r="C578" s="363" t="s">
        <v>378</v>
      </c>
      <c r="D578" s="368" t="s">
        <v>130</v>
      </c>
      <c r="E578" s="365">
        <v>76</v>
      </c>
      <c r="F578" s="366">
        <v>42193</v>
      </c>
      <c r="G578" s="12">
        <v>1</v>
      </c>
      <c r="H578" s="19">
        <f t="shared" si="47"/>
        <v>76</v>
      </c>
      <c r="I578" s="19">
        <f t="shared" si="43"/>
        <v>0</v>
      </c>
      <c r="J578" s="12">
        <f t="shared" si="44"/>
        <v>0</v>
      </c>
      <c r="K578" s="12">
        <f t="shared" si="45"/>
        <v>0</v>
      </c>
      <c r="L578" s="12">
        <f t="shared" si="46"/>
        <v>0</v>
      </c>
    </row>
    <row r="579" spans="2:12" ht="18">
      <c r="B579" s="362">
        <v>96</v>
      </c>
      <c r="C579" s="363" t="s">
        <v>379</v>
      </c>
      <c r="D579" s="368" t="s">
        <v>130</v>
      </c>
      <c r="E579" s="365">
        <v>1.1200000000000001</v>
      </c>
      <c r="F579" s="366">
        <v>42190</v>
      </c>
      <c r="G579" s="12">
        <v>1</v>
      </c>
      <c r="H579" s="19">
        <f t="shared" si="47"/>
        <v>1.1200000000000001</v>
      </c>
      <c r="I579" s="19">
        <f t="shared" si="43"/>
        <v>0</v>
      </c>
      <c r="J579" s="12">
        <f t="shared" si="44"/>
        <v>0</v>
      </c>
      <c r="K579" s="12">
        <f t="shared" si="45"/>
        <v>0</v>
      </c>
      <c r="L579" s="12">
        <f t="shared" si="46"/>
        <v>0</v>
      </c>
    </row>
    <row r="580" spans="2:12" ht="18">
      <c r="B580" s="362">
        <v>95</v>
      </c>
      <c r="C580" s="363" t="s">
        <v>380</v>
      </c>
      <c r="D580" s="368" t="s">
        <v>130</v>
      </c>
      <c r="E580" s="365">
        <v>0</v>
      </c>
      <c r="F580" s="366">
        <v>42188</v>
      </c>
      <c r="G580" s="12">
        <v>1</v>
      </c>
      <c r="H580" s="19">
        <f t="shared" si="47"/>
        <v>0</v>
      </c>
      <c r="I580" s="19">
        <f t="shared" si="43"/>
        <v>0</v>
      </c>
      <c r="J580" s="12">
        <f t="shared" si="44"/>
        <v>0</v>
      </c>
      <c r="K580" s="12">
        <f t="shared" si="45"/>
        <v>0</v>
      </c>
      <c r="L580" s="12">
        <f t="shared" si="46"/>
        <v>0</v>
      </c>
    </row>
    <row r="581" spans="2:12" ht="18">
      <c r="B581" s="362">
        <v>94</v>
      </c>
      <c r="C581" s="363" t="s">
        <v>213</v>
      </c>
      <c r="D581" s="368" t="s">
        <v>137</v>
      </c>
      <c r="E581" s="365">
        <v>22.5</v>
      </c>
      <c r="F581" s="366">
        <v>42188</v>
      </c>
      <c r="G581" s="12">
        <v>1</v>
      </c>
      <c r="H581" s="19">
        <f t="shared" si="47"/>
        <v>22.5</v>
      </c>
      <c r="I581" s="19">
        <f t="shared" si="43"/>
        <v>0</v>
      </c>
      <c r="J581" s="12">
        <f t="shared" si="44"/>
        <v>0</v>
      </c>
      <c r="K581" s="12">
        <f t="shared" si="45"/>
        <v>0</v>
      </c>
      <c r="L581" s="12">
        <f t="shared" si="46"/>
        <v>0</v>
      </c>
    </row>
    <row r="582" spans="2:12" ht="54">
      <c r="B582" s="362">
        <v>93</v>
      </c>
      <c r="C582" s="363" t="s">
        <v>381</v>
      </c>
      <c r="D582" s="368" t="s">
        <v>130</v>
      </c>
      <c r="E582" s="365">
        <v>6</v>
      </c>
      <c r="F582" s="366">
        <v>42188</v>
      </c>
      <c r="G582" s="12">
        <v>1</v>
      </c>
      <c r="H582" s="19">
        <f t="shared" si="47"/>
        <v>6</v>
      </c>
      <c r="I582" s="19">
        <f t="shared" si="43"/>
        <v>0</v>
      </c>
      <c r="J582" s="12">
        <f t="shared" si="44"/>
        <v>0</v>
      </c>
      <c r="K582" s="12">
        <f t="shared" si="45"/>
        <v>0</v>
      </c>
      <c r="L582" s="12">
        <f t="shared" si="46"/>
        <v>0</v>
      </c>
    </row>
    <row r="583" spans="2:12" ht="18">
      <c r="B583" s="362">
        <v>92</v>
      </c>
      <c r="C583" s="363" t="s">
        <v>382</v>
      </c>
      <c r="D583" s="368" t="s">
        <v>130</v>
      </c>
      <c r="E583" s="365">
        <v>5.14</v>
      </c>
      <c r="F583" s="366">
        <v>42187</v>
      </c>
      <c r="G583" s="12">
        <v>1</v>
      </c>
      <c r="H583" s="19">
        <f t="shared" si="47"/>
        <v>5.14</v>
      </c>
      <c r="I583" s="19">
        <f t="shared" si="43"/>
        <v>0</v>
      </c>
      <c r="J583" s="12">
        <f t="shared" si="44"/>
        <v>0</v>
      </c>
      <c r="K583" s="12">
        <f t="shared" si="45"/>
        <v>0</v>
      </c>
      <c r="L583" s="12">
        <f t="shared" si="46"/>
        <v>0</v>
      </c>
    </row>
    <row r="584" spans="2:12" ht="18">
      <c r="B584" s="357">
        <v>91</v>
      </c>
      <c r="C584" s="358" t="s">
        <v>113</v>
      </c>
      <c r="D584" s="359" t="s">
        <v>132</v>
      </c>
      <c r="E584" s="360">
        <v>8</v>
      </c>
      <c r="F584" s="361">
        <v>42181</v>
      </c>
      <c r="G584" s="16">
        <v>0</v>
      </c>
      <c r="H584" s="27">
        <f t="shared" si="47"/>
        <v>0</v>
      </c>
      <c r="I584" s="27">
        <f t="shared" si="43"/>
        <v>8</v>
      </c>
      <c r="J584" s="16">
        <f t="shared" si="44"/>
        <v>0</v>
      </c>
      <c r="K584" s="16">
        <f t="shared" si="45"/>
        <v>0</v>
      </c>
      <c r="L584" s="16">
        <f t="shared" si="46"/>
        <v>0</v>
      </c>
    </row>
    <row r="585" spans="2:12" ht="18">
      <c r="B585" s="362">
        <v>90</v>
      </c>
      <c r="C585" s="363" t="s">
        <v>383</v>
      </c>
      <c r="D585" s="364" t="s">
        <v>130</v>
      </c>
      <c r="E585" s="365">
        <v>9.16</v>
      </c>
      <c r="F585" s="366">
        <v>42181</v>
      </c>
      <c r="G585" s="12">
        <v>1</v>
      </c>
      <c r="H585" s="19">
        <f t="shared" si="47"/>
        <v>9.16</v>
      </c>
      <c r="I585" s="19">
        <f t="shared" si="43"/>
        <v>0</v>
      </c>
      <c r="J585" s="12">
        <f t="shared" si="44"/>
        <v>0</v>
      </c>
      <c r="K585" s="12">
        <f t="shared" si="45"/>
        <v>0</v>
      </c>
      <c r="L585" s="12">
        <f t="shared" si="46"/>
        <v>0</v>
      </c>
    </row>
    <row r="586" spans="2:12" ht="18">
      <c r="B586" s="362">
        <v>89</v>
      </c>
      <c r="C586" s="363" t="s">
        <v>379</v>
      </c>
      <c r="D586" s="368" t="s">
        <v>130</v>
      </c>
      <c r="E586" s="365">
        <v>5.96</v>
      </c>
      <c r="F586" s="366">
        <v>42180</v>
      </c>
      <c r="G586" s="12">
        <v>1</v>
      </c>
      <c r="H586" s="19">
        <f t="shared" si="47"/>
        <v>5.96</v>
      </c>
      <c r="I586" s="19">
        <f t="shared" si="43"/>
        <v>0</v>
      </c>
      <c r="J586" s="12">
        <f t="shared" si="44"/>
        <v>0</v>
      </c>
      <c r="K586" s="12">
        <f t="shared" si="45"/>
        <v>0</v>
      </c>
      <c r="L586" s="12">
        <f t="shared" si="46"/>
        <v>0</v>
      </c>
    </row>
    <row r="587" spans="2:12" ht="18">
      <c r="B587" s="362">
        <v>88</v>
      </c>
      <c r="C587" s="363" t="s">
        <v>384</v>
      </c>
      <c r="D587" s="364" t="s">
        <v>132</v>
      </c>
      <c r="E587" s="365">
        <v>8</v>
      </c>
      <c r="F587" s="366">
        <v>42180</v>
      </c>
      <c r="G587" s="12">
        <v>1</v>
      </c>
      <c r="H587" s="19">
        <f t="shared" si="47"/>
        <v>8</v>
      </c>
      <c r="I587" s="19">
        <f t="shared" si="43"/>
        <v>0</v>
      </c>
      <c r="J587" s="12">
        <f t="shared" si="44"/>
        <v>0</v>
      </c>
      <c r="K587" s="12">
        <f t="shared" si="45"/>
        <v>0</v>
      </c>
      <c r="L587" s="12">
        <f t="shared" si="46"/>
        <v>0</v>
      </c>
    </row>
    <row r="588" spans="2:12" ht="18">
      <c r="B588" s="357">
        <v>87</v>
      </c>
      <c r="C588" s="358" t="s">
        <v>385</v>
      </c>
      <c r="D588" s="367" t="s">
        <v>132</v>
      </c>
      <c r="E588" s="360">
        <v>7</v>
      </c>
      <c r="F588" s="361">
        <v>42175</v>
      </c>
      <c r="G588" s="16">
        <v>0</v>
      </c>
      <c r="H588" s="27">
        <f t="shared" si="47"/>
        <v>0</v>
      </c>
      <c r="I588" s="27">
        <f t="shared" si="43"/>
        <v>7</v>
      </c>
      <c r="J588" s="16">
        <f t="shared" si="44"/>
        <v>0</v>
      </c>
      <c r="K588" s="16">
        <f t="shared" si="45"/>
        <v>0</v>
      </c>
      <c r="L588" s="16">
        <f t="shared" si="46"/>
        <v>0</v>
      </c>
    </row>
    <row r="589" spans="2:12" ht="18">
      <c r="B589" s="357">
        <v>86</v>
      </c>
      <c r="C589" s="358" t="s">
        <v>373</v>
      </c>
      <c r="D589" s="367" t="s">
        <v>132</v>
      </c>
      <c r="E589" s="360">
        <v>13.2</v>
      </c>
      <c r="F589" s="361">
        <v>42174</v>
      </c>
      <c r="G589" s="16">
        <v>0</v>
      </c>
      <c r="H589" s="27">
        <f t="shared" si="47"/>
        <v>0</v>
      </c>
      <c r="I589" s="27">
        <f t="shared" ref="I589:I652" si="48">E589-H589</f>
        <v>13.2</v>
      </c>
      <c r="J589" s="16">
        <f t="shared" ref="J589:J652" si="49">OR(IF((D589="DG"),1,0),IF(D589="DG/FO",1,0),IF(D589="DG/FO/Linyit",1,0))*E589</f>
        <v>0</v>
      </c>
      <c r="K589" s="16">
        <f t="shared" ref="K589:K652" si="50">OR(IF((D589="KÖMÜR+DİĞER"),1,0),IF(D589="KÖMÜR",1,0))*E589</f>
        <v>0</v>
      </c>
      <c r="L589" s="16">
        <f t="shared" ref="L589:L652" si="51">(IF((D589="LİNYİT"),1,0))*E589</f>
        <v>0</v>
      </c>
    </row>
    <row r="590" spans="2:12" ht="18">
      <c r="B590" s="362">
        <v>85</v>
      </c>
      <c r="C590" s="370" t="s">
        <v>386</v>
      </c>
      <c r="D590" s="368" t="s">
        <v>137</v>
      </c>
      <c r="E590" s="365">
        <v>3.8069999999999999</v>
      </c>
      <c r="F590" s="366">
        <v>42167</v>
      </c>
      <c r="G590" s="12">
        <v>1</v>
      </c>
      <c r="H590" s="19">
        <f t="shared" ref="H590:H653" si="52">E590*G590</f>
        <v>3.8069999999999999</v>
      </c>
      <c r="I590" s="19">
        <f t="shared" si="48"/>
        <v>0</v>
      </c>
      <c r="J590" s="12">
        <f t="shared" si="49"/>
        <v>0</v>
      </c>
      <c r="K590" s="12">
        <f t="shared" si="50"/>
        <v>0</v>
      </c>
      <c r="L590" s="12">
        <f t="shared" si="51"/>
        <v>0</v>
      </c>
    </row>
    <row r="591" spans="2:12" ht="18">
      <c r="B591" s="362">
        <v>84</v>
      </c>
      <c r="C591" s="370" t="s">
        <v>387</v>
      </c>
      <c r="D591" s="368" t="s">
        <v>130</v>
      </c>
      <c r="E591" s="365">
        <v>10.56</v>
      </c>
      <c r="F591" s="366">
        <v>42166</v>
      </c>
      <c r="G591" s="12">
        <v>1</v>
      </c>
      <c r="H591" s="19">
        <f t="shared" si="52"/>
        <v>10.56</v>
      </c>
      <c r="I591" s="19">
        <f t="shared" si="48"/>
        <v>0</v>
      </c>
      <c r="J591" s="12">
        <f t="shared" si="49"/>
        <v>0</v>
      </c>
      <c r="K591" s="12">
        <f t="shared" si="50"/>
        <v>0</v>
      </c>
      <c r="L591" s="12">
        <f t="shared" si="51"/>
        <v>0</v>
      </c>
    </row>
    <row r="592" spans="2:12" ht="54">
      <c r="B592" s="362">
        <v>83</v>
      </c>
      <c r="C592" s="363" t="s">
        <v>388</v>
      </c>
      <c r="D592" s="364" t="s">
        <v>139</v>
      </c>
      <c r="E592" s="365">
        <v>6</v>
      </c>
      <c r="F592" s="366">
        <v>42160</v>
      </c>
      <c r="G592" s="12">
        <v>1</v>
      </c>
      <c r="H592" s="19">
        <f t="shared" si="52"/>
        <v>6</v>
      </c>
      <c r="I592" s="19">
        <f t="shared" si="48"/>
        <v>0</v>
      </c>
      <c r="J592" s="12">
        <f t="shared" si="49"/>
        <v>0</v>
      </c>
      <c r="K592" s="12">
        <f t="shared" si="50"/>
        <v>0</v>
      </c>
      <c r="L592" s="12">
        <f t="shared" si="51"/>
        <v>0</v>
      </c>
    </row>
    <row r="593" spans="2:12" ht="18">
      <c r="B593" s="357">
        <v>82</v>
      </c>
      <c r="C593" s="358" t="s">
        <v>373</v>
      </c>
      <c r="D593" s="367" t="s">
        <v>132</v>
      </c>
      <c r="E593" s="360">
        <v>16.5</v>
      </c>
      <c r="F593" s="361">
        <v>42160</v>
      </c>
      <c r="G593" s="16">
        <v>0</v>
      </c>
      <c r="H593" s="27">
        <f t="shared" si="52"/>
        <v>0</v>
      </c>
      <c r="I593" s="27">
        <f t="shared" si="48"/>
        <v>16.5</v>
      </c>
      <c r="J593" s="16">
        <f t="shared" si="49"/>
        <v>0</v>
      </c>
      <c r="K593" s="16">
        <f t="shared" si="50"/>
        <v>0</v>
      </c>
      <c r="L593" s="16">
        <f t="shared" si="51"/>
        <v>0</v>
      </c>
    </row>
    <row r="594" spans="2:12" ht="18">
      <c r="B594" s="362">
        <v>81</v>
      </c>
      <c r="C594" s="363" t="s">
        <v>273</v>
      </c>
      <c r="D594" s="364" t="s">
        <v>130</v>
      </c>
      <c r="E594" s="365">
        <v>4.78</v>
      </c>
      <c r="F594" s="366">
        <v>42159</v>
      </c>
      <c r="G594" s="12">
        <v>1</v>
      </c>
      <c r="H594" s="19">
        <f t="shared" si="52"/>
        <v>4.78</v>
      </c>
      <c r="I594" s="19">
        <f t="shared" si="48"/>
        <v>0</v>
      </c>
      <c r="J594" s="12">
        <f t="shared" si="49"/>
        <v>0</v>
      </c>
      <c r="K594" s="12">
        <f t="shared" si="50"/>
        <v>0</v>
      </c>
      <c r="L594" s="12">
        <f t="shared" si="51"/>
        <v>0</v>
      </c>
    </row>
    <row r="595" spans="2:12" ht="18">
      <c r="B595" s="362">
        <v>80</v>
      </c>
      <c r="C595" s="363" t="s">
        <v>384</v>
      </c>
      <c r="D595" s="364" t="s">
        <v>132</v>
      </c>
      <c r="E595" s="365">
        <v>12</v>
      </c>
      <c r="F595" s="366">
        <v>42153</v>
      </c>
      <c r="G595" s="12">
        <v>1</v>
      </c>
      <c r="H595" s="19">
        <f t="shared" si="52"/>
        <v>12</v>
      </c>
      <c r="I595" s="19">
        <f t="shared" si="48"/>
        <v>0</v>
      </c>
      <c r="J595" s="12">
        <f t="shared" si="49"/>
        <v>0</v>
      </c>
      <c r="K595" s="12">
        <f t="shared" si="50"/>
        <v>0</v>
      </c>
      <c r="L595" s="12">
        <f t="shared" si="51"/>
        <v>0</v>
      </c>
    </row>
    <row r="596" spans="2:12" ht="54">
      <c r="B596" s="362">
        <v>79</v>
      </c>
      <c r="C596" s="363" t="s">
        <v>389</v>
      </c>
      <c r="D596" s="364" t="s">
        <v>131</v>
      </c>
      <c r="E596" s="365">
        <v>8.0000000000000002E-3</v>
      </c>
      <c r="F596" s="366">
        <v>42153</v>
      </c>
      <c r="G596" s="12">
        <v>1</v>
      </c>
      <c r="H596" s="19">
        <f t="shared" si="52"/>
        <v>8.0000000000000002E-3</v>
      </c>
      <c r="I596" s="19">
        <f t="shared" si="48"/>
        <v>0</v>
      </c>
      <c r="J596" s="12">
        <f t="shared" si="49"/>
        <v>8.0000000000000002E-3</v>
      </c>
      <c r="K596" s="12">
        <f t="shared" si="50"/>
        <v>0</v>
      </c>
      <c r="L596" s="12">
        <f t="shared" si="51"/>
        <v>0</v>
      </c>
    </row>
    <row r="597" spans="2:12" ht="18">
      <c r="B597" s="357">
        <v>78</v>
      </c>
      <c r="C597" s="358" t="s">
        <v>122</v>
      </c>
      <c r="D597" s="367" t="s">
        <v>132</v>
      </c>
      <c r="E597" s="360">
        <v>9</v>
      </c>
      <c r="F597" s="361">
        <v>42152</v>
      </c>
      <c r="G597" s="16">
        <v>0</v>
      </c>
      <c r="H597" s="27">
        <f t="shared" si="52"/>
        <v>0</v>
      </c>
      <c r="I597" s="27">
        <f t="shared" si="48"/>
        <v>9</v>
      </c>
      <c r="J597" s="16">
        <f t="shared" si="49"/>
        <v>0</v>
      </c>
      <c r="K597" s="16">
        <f t="shared" si="50"/>
        <v>0</v>
      </c>
      <c r="L597" s="16">
        <f t="shared" si="51"/>
        <v>0</v>
      </c>
    </row>
    <row r="598" spans="2:12" ht="36">
      <c r="B598" s="362">
        <v>77</v>
      </c>
      <c r="C598" s="363" t="s">
        <v>390</v>
      </c>
      <c r="D598" s="364" t="s">
        <v>130</v>
      </c>
      <c r="E598" s="365">
        <v>31.6</v>
      </c>
      <c r="F598" s="366">
        <v>42150</v>
      </c>
      <c r="G598" s="12">
        <v>1</v>
      </c>
      <c r="H598" s="19">
        <f t="shared" si="52"/>
        <v>31.6</v>
      </c>
      <c r="I598" s="19">
        <f t="shared" si="48"/>
        <v>0</v>
      </c>
      <c r="J598" s="12">
        <f t="shared" si="49"/>
        <v>0</v>
      </c>
      <c r="K598" s="12">
        <f t="shared" si="50"/>
        <v>0</v>
      </c>
      <c r="L598" s="12">
        <f t="shared" si="51"/>
        <v>0</v>
      </c>
    </row>
    <row r="599" spans="2:12" ht="18">
      <c r="B599" s="362">
        <v>76</v>
      </c>
      <c r="C599" s="363" t="s">
        <v>391</v>
      </c>
      <c r="D599" s="364" t="s">
        <v>130</v>
      </c>
      <c r="E599" s="365">
        <v>8.8979999999999997</v>
      </c>
      <c r="F599" s="366">
        <v>42149</v>
      </c>
      <c r="G599" s="12">
        <v>1</v>
      </c>
      <c r="H599" s="19">
        <f t="shared" si="52"/>
        <v>8.8979999999999997</v>
      </c>
      <c r="I599" s="19">
        <f t="shared" si="48"/>
        <v>0</v>
      </c>
      <c r="J599" s="12">
        <f t="shared" si="49"/>
        <v>0</v>
      </c>
      <c r="K599" s="12">
        <f t="shared" si="50"/>
        <v>0</v>
      </c>
      <c r="L599" s="12">
        <f t="shared" si="51"/>
        <v>0</v>
      </c>
    </row>
    <row r="600" spans="2:12" ht="18">
      <c r="B600" s="357">
        <v>75</v>
      </c>
      <c r="C600" s="358" t="s">
        <v>160</v>
      </c>
      <c r="D600" s="367" t="s">
        <v>132</v>
      </c>
      <c r="E600" s="360">
        <v>26.4</v>
      </c>
      <c r="F600" s="361">
        <v>42147</v>
      </c>
      <c r="G600" s="16">
        <v>0</v>
      </c>
      <c r="H600" s="27">
        <f t="shared" si="52"/>
        <v>0</v>
      </c>
      <c r="I600" s="27">
        <f t="shared" si="48"/>
        <v>26.4</v>
      </c>
      <c r="J600" s="16">
        <f t="shared" si="49"/>
        <v>0</v>
      </c>
      <c r="K600" s="16">
        <f t="shared" si="50"/>
        <v>0</v>
      </c>
      <c r="L600" s="16">
        <f t="shared" si="51"/>
        <v>0</v>
      </c>
    </row>
    <row r="601" spans="2:12" ht="18">
      <c r="B601" s="357">
        <v>74</v>
      </c>
      <c r="C601" s="358" t="s">
        <v>392</v>
      </c>
      <c r="D601" s="367" t="s">
        <v>132</v>
      </c>
      <c r="E601" s="360">
        <v>10.4</v>
      </c>
      <c r="F601" s="361">
        <v>42146</v>
      </c>
      <c r="G601" s="16">
        <v>0</v>
      </c>
      <c r="H601" s="27">
        <f t="shared" si="52"/>
        <v>0</v>
      </c>
      <c r="I601" s="27">
        <f t="shared" si="48"/>
        <v>10.4</v>
      </c>
      <c r="J601" s="16">
        <f t="shared" si="49"/>
        <v>0</v>
      </c>
      <c r="K601" s="16">
        <f t="shared" si="50"/>
        <v>0</v>
      </c>
      <c r="L601" s="16">
        <f t="shared" si="51"/>
        <v>0</v>
      </c>
    </row>
    <row r="602" spans="2:12" ht="18">
      <c r="B602" s="357">
        <v>73</v>
      </c>
      <c r="C602" s="358" t="s">
        <v>373</v>
      </c>
      <c r="D602" s="367" t="s">
        <v>132</v>
      </c>
      <c r="E602" s="360">
        <v>19.8</v>
      </c>
      <c r="F602" s="361">
        <v>42146</v>
      </c>
      <c r="G602" s="16">
        <v>0</v>
      </c>
      <c r="H602" s="27">
        <f t="shared" si="52"/>
        <v>0</v>
      </c>
      <c r="I602" s="27">
        <f t="shared" si="48"/>
        <v>19.8</v>
      </c>
      <c r="J602" s="16">
        <f t="shared" si="49"/>
        <v>0</v>
      </c>
      <c r="K602" s="16">
        <f t="shared" si="50"/>
        <v>0</v>
      </c>
      <c r="L602" s="16">
        <f t="shared" si="51"/>
        <v>0</v>
      </c>
    </row>
    <row r="603" spans="2:12" ht="18">
      <c r="B603" s="357">
        <v>72</v>
      </c>
      <c r="C603" s="358" t="s">
        <v>393</v>
      </c>
      <c r="D603" s="367" t="s">
        <v>142</v>
      </c>
      <c r="E603" s="360">
        <v>0.63700000000000001</v>
      </c>
      <c r="F603" s="361">
        <v>42146</v>
      </c>
      <c r="G603" s="16">
        <v>0</v>
      </c>
      <c r="H603" s="27">
        <f t="shared" si="52"/>
        <v>0</v>
      </c>
      <c r="I603" s="27">
        <f t="shared" si="48"/>
        <v>0.63700000000000001</v>
      </c>
      <c r="J603" s="16">
        <f t="shared" si="49"/>
        <v>0</v>
      </c>
      <c r="K603" s="16">
        <f t="shared" si="50"/>
        <v>0</v>
      </c>
      <c r="L603" s="16">
        <f t="shared" si="51"/>
        <v>0</v>
      </c>
    </row>
    <row r="604" spans="2:12" ht="18">
      <c r="B604" s="357">
        <v>71</v>
      </c>
      <c r="C604" s="358" t="s">
        <v>385</v>
      </c>
      <c r="D604" s="367" t="s">
        <v>132</v>
      </c>
      <c r="E604" s="360">
        <v>9</v>
      </c>
      <c r="F604" s="361">
        <v>42146</v>
      </c>
      <c r="G604" s="16">
        <v>0</v>
      </c>
      <c r="H604" s="27">
        <f t="shared" si="52"/>
        <v>0</v>
      </c>
      <c r="I604" s="27">
        <f t="shared" si="48"/>
        <v>9</v>
      </c>
      <c r="J604" s="16">
        <f t="shared" si="49"/>
        <v>0</v>
      </c>
      <c r="K604" s="16">
        <f t="shared" si="50"/>
        <v>0</v>
      </c>
      <c r="L604" s="16">
        <f t="shared" si="51"/>
        <v>0</v>
      </c>
    </row>
    <row r="605" spans="2:12" ht="18">
      <c r="B605" s="362">
        <v>70</v>
      </c>
      <c r="C605" s="363" t="s">
        <v>394</v>
      </c>
      <c r="D605" s="364" t="s">
        <v>130</v>
      </c>
      <c r="E605" s="365">
        <v>6.63</v>
      </c>
      <c r="F605" s="366">
        <v>42145</v>
      </c>
      <c r="G605" s="12">
        <v>1</v>
      </c>
      <c r="H605" s="19">
        <f t="shared" si="52"/>
        <v>6.63</v>
      </c>
      <c r="I605" s="19">
        <f t="shared" si="48"/>
        <v>0</v>
      </c>
      <c r="J605" s="12">
        <f t="shared" si="49"/>
        <v>0</v>
      </c>
      <c r="K605" s="12">
        <f t="shared" si="50"/>
        <v>0</v>
      </c>
      <c r="L605" s="12">
        <f t="shared" si="51"/>
        <v>0</v>
      </c>
    </row>
    <row r="606" spans="2:12" ht="36">
      <c r="B606" s="362">
        <v>69</v>
      </c>
      <c r="C606" s="363" t="s">
        <v>395</v>
      </c>
      <c r="D606" s="364" t="s">
        <v>130</v>
      </c>
      <c r="E606" s="365">
        <v>17</v>
      </c>
      <c r="F606" s="366">
        <v>42145</v>
      </c>
      <c r="G606" s="12">
        <v>1</v>
      </c>
      <c r="H606" s="19">
        <f t="shared" si="52"/>
        <v>17</v>
      </c>
      <c r="I606" s="19">
        <f t="shared" si="48"/>
        <v>0</v>
      </c>
      <c r="J606" s="12">
        <f t="shared" si="49"/>
        <v>0</v>
      </c>
      <c r="K606" s="12">
        <f t="shared" si="50"/>
        <v>0</v>
      </c>
      <c r="L606" s="12">
        <f t="shared" si="51"/>
        <v>0</v>
      </c>
    </row>
    <row r="607" spans="2:12" ht="36">
      <c r="B607" s="357">
        <v>68</v>
      </c>
      <c r="C607" s="358" t="s">
        <v>396</v>
      </c>
      <c r="D607" s="367" t="s">
        <v>130</v>
      </c>
      <c r="E607" s="360">
        <v>101.72</v>
      </c>
      <c r="F607" s="361">
        <v>42144</v>
      </c>
      <c r="G607" s="16">
        <v>0</v>
      </c>
      <c r="H607" s="27">
        <f t="shared" si="52"/>
        <v>0</v>
      </c>
      <c r="I607" s="27">
        <f t="shared" si="48"/>
        <v>101.72</v>
      </c>
      <c r="J607" s="16">
        <f t="shared" si="49"/>
        <v>0</v>
      </c>
      <c r="K607" s="16">
        <f t="shared" si="50"/>
        <v>0</v>
      </c>
      <c r="L607" s="16">
        <f t="shared" si="51"/>
        <v>0</v>
      </c>
    </row>
    <row r="608" spans="2:12" ht="36">
      <c r="B608" s="357">
        <v>67</v>
      </c>
      <c r="C608" s="358" t="s">
        <v>159</v>
      </c>
      <c r="D608" s="367" t="s">
        <v>142</v>
      </c>
      <c r="E608" s="360">
        <v>1.0669999999999999</v>
      </c>
      <c r="F608" s="361">
        <v>42139</v>
      </c>
      <c r="G608" s="16">
        <v>0</v>
      </c>
      <c r="H608" s="27">
        <f t="shared" si="52"/>
        <v>0</v>
      </c>
      <c r="I608" s="27">
        <f t="shared" si="48"/>
        <v>1.0669999999999999</v>
      </c>
      <c r="J608" s="16">
        <f t="shared" si="49"/>
        <v>0</v>
      </c>
      <c r="K608" s="16">
        <f t="shared" si="50"/>
        <v>0</v>
      </c>
      <c r="L608" s="16">
        <f t="shared" si="51"/>
        <v>0</v>
      </c>
    </row>
    <row r="609" spans="2:12" ht="18">
      <c r="B609" s="362">
        <v>66</v>
      </c>
      <c r="C609" s="363" t="s">
        <v>397</v>
      </c>
      <c r="D609" s="364" t="s">
        <v>130</v>
      </c>
      <c r="E609" s="365">
        <v>0.53</v>
      </c>
      <c r="F609" s="366">
        <v>42132</v>
      </c>
      <c r="G609" s="12">
        <v>1</v>
      </c>
      <c r="H609" s="19">
        <f t="shared" si="52"/>
        <v>0.53</v>
      </c>
      <c r="I609" s="19">
        <f t="shared" si="48"/>
        <v>0</v>
      </c>
      <c r="J609" s="12">
        <f t="shared" si="49"/>
        <v>0</v>
      </c>
      <c r="K609" s="12">
        <f t="shared" si="50"/>
        <v>0</v>
      </c>
      <c r="L609" s="12">
        <f t="shared" si="51"/>
        <v>0</v>
      </c>
    </row>
    <row r="610" spans="2:12" ht="18">
      <c r="B610" s="357">
        <v>65</v>
      </c>
      <c r="C610" s="358" t="s">
        <v>392</v>
      </c>
      <c r="D610" s="367" t="s">
        <v>132</v>
      </c>
      <c r="E610" s="360">
        <v>19.8</v>
      </c>
      <c r="F610" s="361">
        <v>42132</v>
      </c>
      <c r="G610" s="16">
        <v>0</v>
      </c>
      <c r="H610" s="27">
        <f t="shared" si="52"/>
        <v>0</v>
      </c>
      <c r="I610" s="27">
        <f t="shared" si="48"/>
        <v>19.8</v>
      </c>
      <c r="J610" s="16">
        <f t="shared" si="49"/>
        <v>0</v>
      </c>
      <c r="K610" s="16">
        <f t="shared" si="50"/>
        <v>0</v>
      </c>
      <c r="L610" s="16">
        <f t="shared" si="51"/>
        <v>0</v>
      </c>
    </row>
    <row r="611" spans="2:12" ht="18">
      <c r="B611" s="357">
        <v>64</v>
      </c>
      <c r="C611" s="358" t="s">
        <v>398</v>
      </c>
      <c r="D611" s="367" t="s">
        <v>132</v>
      </c>
      <c r="E611" s="360">
        <v>10</v>
      </c>
      <c r="F611" s="361">
        <v>42132</v>
      </c>
      <c r="G611" s="16">
        <v>0</v>
      </c>
      <c r="H611" s="27">
        <f t="shared" si="52"/>
        <v>0</v>
      </c>
      <c r="I611" s="27">
        <f t="shared" si="48"/>
        <v>10</v>
      </c>
      <c r="J611" s="16">
        <f t="shared" si="49"/>
        <v>0</v>
      </c>
      <c r="K611" s="16">
        <f t="shared" si="50"/>
        <v>0</v>
      </c>
      <c r="L611" s="16">
        <f t="shared" si="51"/>
        <v>0</v>
      </c>
    </row>
    <row r="612" spans="2:12" ht="36">
      <c r="B612" s="362">
        <v>63</v>
      </c>
      <c r="C612" s="363" t="s">
        <v>313</v>
      </c>
      <c r="D612" s="364" t="s">
        <v>314</v>
      </c>
      <c r="E612" s="365">
        <v>135</v>
      </c>
      <c r="F612" s="366">
        <v>42132</v>
      </c>
      <c r="G612" s="12">
        <v>1</v>
      </c>
      <c r="H612" s="19">
        <f t="shared" si="52"/>
        <v>135</v>
      </c>
      <c r="I612" s="19">
        <f t="shared" si="48"/>
        <v>0</v>
      </c>
      <c r="J612" s="12">
        <f t="shared" si="49"/>
        <v>0</v>
      </c>
      <c r="K612" s="12">
        <f>OR(IF((D612="KÖMÜR+DİĞER"),1,0),IF(D612="KÖMÜR",1,0),IF(D612="YERLİ ASFALTİT",1,0))*E612</f>
        <v>135</v>
      </c>
      <c r="L612" s="12">
        <f t="shared" si="51"/>
        <v>0</v>
      </c>
    </row>
    <row r="613" spans="2:12" ht="36">
      <c r="B613" s="362">
        <v>62</v>
      </c>
      <c r="C613" s="363" t="s">
        <v>177</v>
      </c>
      <c r="D613" s="364" t="s">
        <v>130</v>
      </c>
      <c r="E613" s="365">
        <v>3.9780000000000002</v>
      </c>
      <c r="F613" s="366">
        <v>42131</v>
      </c>
      <c r="G613" s="12">
        <v>1</v>
      </c>
      <c r="H613" s="19">
        <f t="shared" si="52"/>
        <v>3.9780000000000002</v>
      </c>
      <c r="I613" s="19">
        <f t="shared" si="48"/>
        <v>0</v>
      </c>
      <c r="J613" s="12">
        <f t="shared" si="49"/>
        <v>0</v>
      </c>
      <c r="K613" s="12">
        <f t="shared" si="50"/>
        <v>0</v>
      </c>
      <c r="L613" s="12">
        <f t="shared" si="51"/>
        <v>0</v>
      </c>
    </row>
    <row r="614" spans="2:12" ht="18">
      <c r="B614" s="357">
        <v>61</v>
      </c>
      <c r="C614" s="358" t="s">
        <v>399</v>
      </c>
      <c r="D614" s="367" t="s">
        <v>132</v>
      </c>
      <c r="E614" s="360">
        <v>10.4</v>
      </c>
      <c r="F614" s="361">
        <v>42130</v>
      </c>
      <c r="G614" s="16">
        <v>0</v>
      </c>
      <c r="H614" s="27">
        <f t="shared" si="52"/>
        <v>0</v>
      </c>
      <c r="I614" s="27">
        <f t="shared" si="48"/>
        <v>10.4</v>
      </c>
      <c r="J614" s="16">
        <f t="shared" si="49"/>
        <v>0</v>
      </c>
      <c r="K614" s="16">
        <f t="shared" si="50"/>
        <v>0</v>
      </c>
      <c r="L614" s="16">
        <f t="shared" si="51"/>
        <v>0</v>
      </c>
    </row>
    <row r="615" spans="2:12" ht="36">
      <c r="B615" s="362">
        <v>60</v>
      </c>
      <c r="C615" s="363" t="s">
        <v>400</v>
      </c>
      <c r="D615" s="364" t="s">
        <v>130</v>
      </c>
      <c r="E615" s="365">
        <v>1.32</v>
      </c>
      <c r="F615" s="366">
        <v>42129</v>
      </c>
      <c r="G615" s="12">
        <v>1</v>
      </c>
      <c r="H615" s="19">
        <f t="shared" si="52"/>
        <v>1.32</v>
      </c>
      <c r="I615" s="19">
        <f t="shared" si="48"/>
        <v>0</v>
      </c>
      <c r="J615" s="12">
        <f t="shared" si="49"/>
        <v>0</v>
      </c>
      <c r="K615" s="12">
        <f t="shared" si="50"/>
        <v>0</v>
      </c>
      <c r="L615" s="12">
        <f t="shared" si="51"/>
        <v>0</v>
      </c>
    </row>
    <row r="616" spans="2:12" ht="36">
      <c r="B616" s="357">
        <v>59</v>
      </c>
      <c r="C616" s="358" t="s">
        <v>374</v>
      </c>
      <c r="D616" s="367" t="s">
        <v>130</v>
      </c>
      <c r="E616" s="360">
        <v>74.506</v>
      </c>
      <c r="F616" s="361">
        <v>42127</v>
      </c>
      <c r="G616" s="16">
        <v>0</v>
      </c>
      <c r="H616" s="27">
        <f t="shared" si="52"/>
        <v>0</v>
      </c>
      <c r="I616" s="27">
        <f t="shared" si="48"/>
        <v>74.506</v>
      </c>
      <c r="J616" s="16">
        <f t="shared" si="49"/>
        <v>0</v>
      </c>
      <c r="K616" s="16">
        <f t="shared" si="50"/>
        <v>0</v>
      </c>
      <c r="L616" s="16">
        <f t="shared" si="51"/>
        <v>0</v>
      </c>
    </row>
    <row r="617" spans="2:12" ht="90">
      <c r="B617" s="362">
        <v>58</v>
      </c>
      <c r="C617" s="363" t="s">
        <v>401</v>
      </c>
      <c r="D617" s="364" t="s">
        <v>141</v>
      </c>
      <c r="E617" s="365">
        <v>7.6</v>
      </c>
      <c r="F617" s="366">
        <v>42125</v>
      </c>
      <c r="G617" s="12">
        <v>1</v>
      </c>
      <c r="H617" s="19">
        <f t="shared" si="52"/>
        <v>7.6</v>
      </c>
      <c r="I617" s="19">
        <f t="shared" si="48"/>
        <v>0</v>
      </c>
      <c r="J617" s="12">
        <f t="shared" si="49"/>
        <v>0</v>
      </c>
      <c r="K617" s="12">
        <f t="shared" si="50"/>
        <v>7.6</v>
      </c>
      <c r="L617" s="12">
        <f t="shared" si="51"/>
        <v>0</v>
      </c>
    </row>
    <row r="618" spans="2:12" ht="18">
      <c r="B618" s="362">
        <v>57</v>
      </c>
      <c r="C618" s="363" t="s">
        <v>402</v>
      </c>
      <c r="D618" s="364" t="s">
        <v>130</v>
      </c>
      <c r="E618" s="380">
        <v>6.21</v>
      </c>
      <c r="F618" s="366">
        <v>42124</v>
      </c>
      <c r="G618" s="12">
        <v>1</v>
      </c>
      <c r="H618" s="19">
        <f t="shared" si="52"/>
        <v>6.21</v>
      </c>
      <c r="I618" s="19">
        <f t="shared" si="48"/>
        <v>0</v>
      </c>
      <c r="J618" s="12">
        <f t="shared" si="49"/>
        <v>0</v>
      </c>
      <c r="K618" s="12">
        <f t="shared" si="50"/>
        <v>0</v>
      </c>
      <c r="L618" s="12">
        <f t="shared" si="51"/>
        <v>0</v>
      </c>
    </row>
    <row r="619" spans="2:12" ht="54">
      <c r="B619" s="362">
        <v>56</v>
      </c>
      <c r="C619" s="363" t="s">
        <v>403</v>
      </c>
      <c r="D619" s="364" t="s">
        <v>131</v>
      </c>
      <c r="E619" s="365">
        <v>2.4329999999999998</v>
      </c>
      <c r="F619" s="366">
        <v>42124</v>
      </c>
      <c r="G619" s="12">
        <v>1</v>
      </c>
      <c r="H619" s="19">
        <f t="shared" si="52"/>
        <v>2.4329999999999998</v>
      </c>
      <c r="I619" s="19">
        <f t="shared" si="48"/>
        <v>0</v>
      </c>
      <c r="J619" s="12">
        <f t="shared" si="49"/>
        <v>2.4329999999999998</v>
      </c>
      <c r="K619" s="12">
        <f t="shared" si="50"/>
        <v>0</v>
      </c>
      <c r="L619" s="12">
        <f t="shared" si="51"/>
        <v>0</v>
      </c>
    </row>
    <row r="620" spans="2:12" ht="18">
      <c r="B620" s="362">
        <v>55</v>
      </c>
      <c r="C620" s="363" t="s">
        <v>404</v>
      </c>
      <c r="D620" s="364" t="s">
        <v>130</v>
      </c>
      <c r="E620" s="365">
        <v>11.243</v>
      </c>
      <c r="F620" s="366">
        <v>42124</v>
      </c>
      <c r="G620" s="12">
        <v>1</v>
      </c>
      <c r="H620" s="19">
        <f t="shared" si="52"/>
        <v>11.243</v>
      </c>
      <c r="I620" s="19">
        <f t="shared" si="48"/>
        <v>0</v>
      </c>
      <c r="J620" s="12">
        <f t="shared" si="49"/>
        <v>0</v>
      </c>
      <c r="K620" s="12">
        <f t="shared" si="50"/>
        <v>0</v>
      </c>
      <c r="L620" s="12">
        <f t="shared" si="51"/>
        <v>0</v>
      </c>
    </row>
    <row r="621" spans="2:12" ht="18">
      <c r="B621" s="362">
        <v>54</v>
      </c>
      <c r="C621" s="363" t="s">
        <v>405</v>
      </c>
      <c r="D621" s="364" t="s">
        <v>130</v>
      </c>
      <c r="E621" s="365">
        <v>7.96</v>
      </c>
      <c r="F621" s="366">
        <v>42122</v>
      </c>
      <c r="G621" s="12">
        <v>1</v>
      </c>
      <c r="H621" s="19">
        <f t="shared" si="52"/>
        <v>7.96</v>
      </c>
      <c r="I621" s="19">
        <f t="shared" si="48"/>
        <v>0</v>
      </c>
      <c r="J621" s="12">
        <f t="shared" si="49"/>
        <v>0</v>
      </c>
      <c r="K621" s="12">
        <f t="shared" si="50"/>
        <v>0</v>
      </c>
      <c r="L621" s="12">
        <f t="shared" si="51"/>
        <v>0</v>
      </c>
    </row>
    <row r="622" spans="2:12" ht="18">
      <c r="B622" s="357">
        <v>53</v>
      </c>
      <c r="C622" s="358" t="s">
        <v>399</v>
      </c>
      <c r="D622" s="367" t="s">
        <v>132</v>
      </c>
      <c r="E622" s="360">
        <v>13.2</v>
      </c>
      <c r="F622" s="361">
        <v>42118</v>
      </c>
      <c r="G622" s="16">
        <v>0</v>
      </c>
      <c r="H622" s="27">
        <f t="shared" si="52"/>
        <v>0</v>
      </c>
      <c r="I622" s="27">
        <f t="shared" si="48"/>
        <v>13.2</v>
      </c>
      <c r="J622" s="16">
        <f t="shared" si="49"/>
        <v>0</v>
      </c>
      <c r="K622" s="16">
        <f t="shared" si="50"/>
        <v>0</v>
      </c>
      <c r="L622" s="16">
        <f t="shared" si="51"/>
        <v>0</v>
      </c>
    </row>
    <row r="623" spans="2:12" ht="18">
      <c r="B623" s="357">
        <v>52</v>
      </c>
      <c r="C623" s="358" t="s">
        <v>392</v>
      </c>
      <c r="D623" s="367" t="s">
        <v>132</v>
      </c>
      <c r="E623" s="360">
        <v>19.8</v>
      </c>
      <c r="F623" s="361">
        <v>42116</v>
      </c>
      <c r="G623" s="16">
        <v>0</v>
      </c>
      <c r="H623" s="27">
        <f t="shared" si="52"/>
        <v>0</v>
      </c>
      <c r="I623" s="27">
        <f t="shared" si="48"/>
        <v>19.8</v>
      </c>
      <c r="J623" s="16">
        <f t="shared" si="49"/>
        <v>0</v>
      </c>
      <c r="K623" s="16">
        <f t="shared" si="50"/>
        <v>0</v>
      </c>
      <c r="L623" s="16">
        <f t="shared" si="51"/>
        <v>0</v>
      </c>
    </row>
    <row r="624" spans="2:12" ht="36">
      <c r="B624" s="362">
        <v>51</v>
      </c>
      <c r="C624" s="363" t="s">
        <v>278</v>
      </c>
      <c r="D624" s="364" t="s">
        <v>130</v>
      </c>
      <c r="E624" s="365">
        <v>8.8650000000000002</v>
      </c>
      <c r="F624" s="366">
        <v>42111</v>
      </c>
      <c r="G624" s="12">
        <v>1</v>
      </c>
      <c r="H624" s="19">
        <f t="shared" si="52"/>
        <v>8.8650000000000002</v>
      </c>
      <c r="I624" s="19">
        <f t="shared" si="48"/>
        <v>0</v>
      </c>
      <c r="J624" s="12">
        <f t="shared" si="49"/>
        <v>0</v>
      </c>
      <c r="K624" s="12">
        <f t="shared" si="50"/>
        <v>0</v>
      </c>
      <c r="L624" s="12">
        <f t="shared" si="51"/>
        <v>0</v>
      </c>
    </row>
    <row r="625" spans="2:12" ht="18">
      <c r="B625" s="357">
        <v>50</v>
      </c>
      <c r="C625" s="358" t="s">
        <v>406</v>
      </c>
      <c r="D625" s="367" t="s">
        <v>132</v>
      </c>
      <c r="E625" s="360">
        <v>2.5</v>
      </c>
      <c r="F625" s="361">
        <v>42111</v>
      </c>
      <c r="G625" s="16">
        <v>0</v>
      </c>
      <c r="H625" s="27">
        <f t="shared" si="52"/>
        <v>0</v>
      </c>
      <c r="I625" s="27">
        <f t="shared" si="48"/>
        <v>2.5</v>
      </c>
      <c r="J625" s="16">
        <f t="shared" si="49"/>
        <v>0</v>
      </c>
      <c r="K625" s="16">
        <f t="shared" si="50"/>
        <v>0</v>
      </c>
      <c r="L625" s="16">
        <f t="shared" si="51"/>
        <v>0</v>
      </c>
    </row>
    <row r="626" spans="2:12" ht="36">
      <c r="B626" s="362">
        <v>49</v>
      </c>
      <c r="C626" s="363" t="s">
        <v>390</v>
      </c>
      <c r="D626" s="364" t="s">
        <v>130</v>
      </c>
      <c r="E626" s="365">
        <v>183.5</v>
      </c>
      <c r="F626" s="366">
        <v>42111</v>
      </c>
      <c r="G626" s="12">
        <v>1</v>
      </c>
      <c r="H626" s="19">
        <f t="shared" si="52"/>
        <v>183.5</v>
      </c>
      <c r="I626" s="19">
        <f t="shared" si="48"/>
        <v>0</v>
      </c>
      <c r="J626" s="12">
        <f t="shared" si="49"/>
        <v>0</v>
      </c>
      <c r="K626" s="12">
        <f t="shared" si="50"/>
        <v>0</v>
      </c>
      <c r="L626" s="12">
        <f t="shared" si="51"/>
        <v>0</v>
      </c>
    </row>
    <row r="627" spans="2:12" ht="18">
      <c r="B627" s="362">
        <v>48</v>
      </c>
      <c r="C627" s="363" t="s">
        <v>402</v>
      </c>
      <c r="D627" s="364" t="s">
        <v>130</v>
      </c>
      <c r="E627" s="365">
        <v>2.87</v>
      </c>
      <c r="F627" s="366">
        <v>42110</v>
      </c>
      <c r="G627" s="12">
        <v>1</v>
      </c>
      <c r="H627" s="19">
        <f t="shared" si="52"/>
        <v>2.87</v>
      </c>
      <c r="I627" s="19">
        <f t="shared" si="48"/>
        <v>0</v>
      </c>
      <c r="J627" s="12">
        <f t="shared" si="49"/>
        <v>0</v>
      </c>
      <c r="K627" s="12">
        <f t="shared" si="50"/>
        <v>0</v>
      </c>
      <c r="L627" s="12">
        <f t="shared" si="51"/>
        <v>0</v>
      </c>
    </row>
    <row r="628" spans="2:12" ht="36">
      <c r="B628" s="362">
        <v>47</v>
      </c>
      <c r="C628" s="363" t="s">
        <v>407</v>
      </c>
      <c r="D628" s="364" t="s">
        <v>130</v>
      </c>
      <c r="E628" s="365">
        <v>3.21</v>
      </c>
      <c r="F628" s="366">
        <v>42109</v>
      </c>
      <c r="G628" s="12">
        <v>1</v>
      </c>
      <c r="H628" s="19">
        <f t="shared" si="52"/>
        <v>3.21</v>
      </c>
      <c r="I628" s="19">
        <f t="shared" si="48"/>
        <v>0</v>
      </c>
      <c r="J628" s="12">
        <f t="shared" si="49"/>
        <v>0</v>
      </c>
      <c r="K628" s="12">
        <f t="shared" si="50"/>
        <v>0</v>
      </c>
      <c r="L628" s="12">
        <f t="shared" si="51"/>
        <v>0</v>
      </c>
    </row>
    <row r="629" spans="2:12" ht="18">
      <c r="B629" s="357">
        <v>46</v>
      </c>
      <c r="C629" s="358" t="s">
        <v>399</v>
      </c>
      <c r="D629" s="367" t="s">
        <v>132</v>
      </c>
      <c r="E629" s="360">
        <v>26.4</v>
      </c>
      <c r="F629" s="361">
        <v>42105</v>
      </c>
      <c r="G629" s="16">
        <v>0</v>
      </c>
      <c r="H629" s="27">
        <f t="shared" si="52"/>
        <v>0</v>
      </c>
      <c r="I629" s="27">
        <f t="shared" si="48"/>
        <v>26.4</v>
      </c>
      <c r="J629" s="16">
        <f t="shared" si="49"/>
        <v>0</v>
      </c>
      <c r="K629" s="16">
        <f t="shared" si="50"/>
        <v>0</v>
      </c>
      <c r="L629" s="16">
        <f t="shared" si="51"/>
        <v>0</v>
      </c>
    </row>
    <row r="630" spans="2:12" ht="18">
      <c r="B630" s="362">
        <v>45</v>
      </c>
      <c r="C630" s="363" t="s">
        <v>408</v>
      </c>
      <c r="D630" s="364" t="s">
        <v>130</v>
      </c>
      <c r="E630" s="365">
        <v>6.93</v>
      </c>
      <c r="F630" s="366">
        <v>42103</v>
      </c>
      <c r="G630" s="12">
        <v>1</v>
      </c>
      <c r="H630" s="19">
        <f t="shared" si="52"/>
        <v>6.93</v>
      </c>
      <c r="I630" s="19">
        <f t="shared" si="48"/>
        <v>0</v>
      </c>
      <c r="J630" s="12">
        <f t="shared" si="49"/>
        <v>0</v>
      </c>
      <c r="K630" s="12">
        <f t="shared" si="50"/>
        <v>0</v>
      </c>
      <c r="L630" s="12">
        <f t="shared" si="51"/>
        <v>0</v>
      </c>
    </row>
    <row r="631" spans="2:12" ht="18">
      <c r="B631" s="357">
        <v>44</v>
      </c>
      <c r="C631" s="358" t="s">
        <v>113</v>
      </c>
      <c r="D631" s="367" t="s">
        <v>132</v>
      </c>
      <c r="E631" s="360">
        <v>12</v>
      </c>
      <c r="F631" s="361">
        <v>42103</v>
      </c>
      <c r="G631" s="16">
        <v>0</v>
      </c>
      <c r="H631" s="27">
        <f t="shared" si="52"/>
        <v>0</v>
      </c>
      <c r="I631" s="27">
        <f t="shared" si="48"/>
        <v>12</v>
      </c>
      <c r="J631" s="16">
        <f t="shared" si="49"/>
        <v>0</v>
      </c>
      <c r="K631" s="16">
        <f t="shared" si="50"/>
        <v>0</v>
      </c>
      <c r="L631" s="16">
        <f t="shared" si="51"/>
        <v>0</v>
      </c>
    </row>
    <row r="632" spans="2:12" ht="18">
      <c r="B632" s="362">
        <v>43</v>
      </c>
      <c r="C632" s="363" t="s">
        <v>397</v>
      </c>
      <c r="D632" s="364" t="s">
        <v>130</v>
      </c>
      <c r="E632" s="365">
        <v>15.93</v>
      </c>
      <c r="F632" s="366">
        <v>42102</v>
      </c>
      <c r="G632" s="12">
        <v>1</v>
      </c>
      <c r="H632" s="19">
        <f t="shared" si="52"/>
        <v>15.93</v>
      </c>
      <c r="I632" s="19">
        <f t="shared" si="48"/>
        <v>0</v>
      </c>
      <c r="J632" s="12">
        <f t="shared" si="49"/>
        <v>0</v>
      </c>
      <c r="K632" s="12">
        <f t="shared" si="50"/>
        <v>0</v>
      </c>
      <c r="L632" s="12">
        <f t="shared" si="51"/>
        <v>0</v>
      </c>
    </row>
    <row r="633" spans="2:12" ht="18">
      <c r="B633" s="357">
        <v>42</v>
      </c>
      <c r="C633" s="358" t="s">
        <v>409</v>
      </c>
      <c r="D633" s="367" t="s">
        <v>132</v>
      </c>
      <c r="E633" s="360">
        <v>2</v>
      </c>
      <c r="F633" s="361">
        <v>42101</v>
      </c>
      <c r="G633" s="16">
        <v>0</v>
      </c>
      <c r="H633" s="27">
        <f t="shared" si="52"/>
        <v>0</v>
      </c>
      <c r="I633" s="27">
        <f t="shared" si="48"/>
        <v>2</v>
      </c>
      <c r="J633" s="16">
        <f t="shared" si="49"/>
        <v>0</v>
      </c>
      <c r="K633" s="16">
        <f t="shared" si="50"/>
        <v>0</v>
      </c>
      <c r="L633" s="16">
        <f t="shared" si="51"/>
        <v>0</v>
      </c>
    </row>
    <row r="634" spans="2:12" ht="36">
      <c r="B634" s="362">
        <v>41</v>
      </c>
      <c r="C634" s="363" t="s">
        <v>410</v>
      </c>
      <c r="D634" s="364" t="s">
        <v>130</v>
      </c>
      <c r="E634" s="365">
        <v>89.54</v>
      </c>
      <c r="F634" s="366">
        <v>42097</v>
      </c>
      <c r="G634" s="12">
        <v>1</v>
      </c>
      <c r="H634" s="19">
        <f t="shared" si="52"/>
        <v>89.54</v>
      </c>
      <c r="I634" s="19">
        <f t="shared" si="48"/>
        <v>0</v>
      </c>
      <c r="J634" s="12">
        <f t="shared" si="49"/>
        <v>0</v>
      </c>
      <c r="K634" s="12">
        <f t="shared" si="50"/>
        <v>0</v>
      </c>
      <c r="L634" s="12">
        <f t="shared" si="51"/>
        <v>0</v>
      </c>
    </row>
    <row r="635" spans="2:12" ht="36">
      <c r="B635" s="362">
        <v>40</v>
      </c>
      <c r="C635" s="363" t="s">
        <v>411</v>
      </c>
      <c r="D635" s="364" t="s">
        <v>130</v>
      </c>
      <c r="E635" s="365">
        <v>8.6300000000000008</v>
      </c>
      <c r="F635" s="366">
        <v>42097</v>
      </c>
      <c r="G635" s="12">
        <v>1</v>
      </c>
      <c r="H635" s="19">
        <f t="shared" si="52"/>
        <v>8.6300000000000008</v>
      </c>
      <c r="I635" s="19">
        <f t="shared" si="48"/>
        <v>0</v>
      </c>
      <c r="J635" s="12">
        <f t="shared" si="49"/>
        <v>0</v>
      </c>
      <c r="K635" s="12">
        <f t="shared" si="50"/>
        <v>0</v>
      </c>
      <c r="L635" s="12">
        <f t="shared" si="51"/>
        <v>0</v>
      </c>
    </row>
    <row r="636" spans="2:12" ht="36">
      <c r="B636" s="362">
        <v>39</v>
      </c>
      <c r="C636" s="363" t="s">
        <v>412</v>
      </c>
      <c r="D636" s="364" t="s">
        <v>130</v>
      </c>
      <c r="E636" s="365">
        <v>19.568000000000001</v>
      </c>
      <c r="F636" s="366">
        <v>42096</v>
      </c>
      <c r="G636" s="12">
        <v>1</v>
      </c>
      <c r="H636" s="19">
        <f t="shared" si="52"/>
        <v>19.568000000000001</v>
      </c>
      <c r="I636" s="19">
        <f t="shared" si="48"/>
        <v>0</v>
      </c>
      <c r="J636" s="12">
        <f t="shared" si="49"/>
        <v>0</v>
      </c>
      <c r="K636" s="12">
        <f t="shared" si="50"/>
        <v>0</v>
      </c>
      <c r="L636" s="12">
        <f t="shared" si="51"/>
        <v>0</v>
      </c>
    </row>
    <row r="637" spans="2:12" ht="36">
      <c r="B637" s="362">
        <v>38</v>
      </c>
      <c r="C637" s="363" t="s">
        <v>390</v>
      </c>
      <c r="D637" s="364" t="s">
        <v>130</v>
      </c>
      <c r="E637" s="365">
        <v>183.5</v>
      </c>
      <c r="F637" s="366">
        <v>42092</v>
      </c>
      <c r="G637" s="12">
        <v>1</v>
      </c>
      <c r="H637" s="19">
        <f t="shared" si="52"/>
        <v>183.5</v>
      </c>
      <c r="I637" s="19">
        <f t="shared" si="48"/>
        <v>0</v>
      </c>
      <c r="J637" s="12">
        <f t="shared" si="49"/>
        <v>0</v>
      </c>
      <c r="K637" s="12">
        <f t="shared" si="50"/>
        <v>0</v>
      </c>
      <c r="L637" s="12">
        <f t="shared" si="51"/>
        <v>0</v>
      </c>
    </row>
    <row r="638" spans="2:12" ht="18">
      <c r="B638" s="357">
        <v>37</v>
      </c>
      <c r="C638" s="358" t="s">
        <v>413</v>
      </c>
      <c r="D638" s="367" t="s">
        <v>132</v>
      </c>
      <c r="E638" s="381">
        <v>11.15795</v>
      </c>
      <c r="F638" s="361">
        <v>42083</v>
      </c>
      <c r="G638" s="16">
        <v>0</v>
      </c>
      <c r="H638" s="27">
        <f t="shared" si="52"/>
        <v>0</v>
      </c>
      <c r="I638" s="27">
        <f t="shared" si="48"/>
        <v>11.15795</v>
      </c>
      <c r="J638" s="16">
        <f t="shared" si="49"/>
        <v>0</v>
      </c>
      <c r="K638" s="16">
        <f t="shared" si="50"/>
        <v>0</v>
      </c>
      <c r="L638" s="16">
        <f t="shared" si="51"/>
        <v>0</v>
      </c>
    </row>
    <row r="639" spans="2:12" ht="18">
      <c r="B639" s="357">
        <v>36</v>
      </c>
      <c r="C639" s="358" t="s">
        <v>113</v>
      </c>
      <c r="D639" s="367" t="s">
        <v>132</v>
      </c>
      <c r="E639" s="360">
        <v>18</v>
      </c>
      <c r="F639" s="361">
        <v>42083</v>
      </c>
      <c r="G639" s="16">
        <v>0</v>
      </c>
      <c r="H639" s="27">
        <f t="shared" si="52"/>
        <v>0</v>
      </c>
      <c r="I639" s="27">
        <f t="shared" si="48"/>
        <v>18</v>
      </c>
      <c r="J639" s="16">
        <f t="shared" si="49"/>
        <v>0</v>
      </c>
      <c r="K639" s="16">
        <f t="shared" si="50"/>
        <v>0</v>
      </c>
      <c r="L639" s="16">
        <f t="shared" si="51"/>
        <v>0</v>
      </c>
    </row>
    <row r="640" spans="2:12" ht="36">
      <c r="B640" s="357">
        <v>35</v>
      </c>
      <c r="C640" s="358" t="s">
        <v>414</v>
      </c>
      <c r="D640" s="367" t="s">
        <v>130</v>
      </c>
      <c r="E640" s="360">
        <v>5.64</v>
      </c>
      <c r="F640" s="361">
        <v>42082</v>
      </c>
      <c r="G640" s="16">
        <v>0</v>
      </c>
      <c r="H640" s="27">
        <f t="shared" si="52"/>
        <v>0</v>
      </c>
      <c r="I640" s="27">
        <f t="shared" si="48"/>
        <v>5.64</v>
      </c>
      <c r="J640" s="16">
        <f t="shared" si="49"/>
        <v>0</v>
      </c>
      <c r="K640" s="16">
        <f t="shared" si="50"/>
        <v>0</v>
      </c>
      <c r="L640" s="16">
        <f t="shared" si="51"/>
        <v>0</v>
      </c>
    </row>
    <row r="641" spans="2:12" ht="18">
      <c r="B641" s="362">
        <v>34</v>
      </c>
      <c r="C641" s="363" t="s">
        <v>397</v>
      </c>
      <c r="D641" s="364" t="s">
        <v>130</v>
      </c>
      <c r="E641" s="365">
        <v>15.93</v>
      </c>
      <c r="F641" s="366">
        <v>42082</v>
      </c>
      <c r="G641" s="12">
        <v>1</v>
      </c>
      <c r="H641" s="19">
        <f t="shared" si="52"/>
        <v>15.93</v>
      </c>
      <c r="I641" s="19">
        <f t="shared" si="48"/>
        <v>0</v>
      </c>
      <c r="J641" s="12">
        <f t="shared" si="49"/>
        <v>0</v>
      </c>
      <c r="K641" s="12">
        <f t="shared" si="50"/>
        <v>0</v>
      </c>
      <c r="L641" s="12">
        <f t="shared" si="51"/>
        <v>0</v>
      </c>
    </row>
    <row r="642" spans="2:12" ht="36">
      <c r="B642" s="357">
        <v>33</v>
      </c>
      <c r="C642" s="358" t="s">
        <v>415</v>
      </c>
      <c r="D642" s="367" t="s">
        <v>130</v>
      </c>
      <c r="E642" s="360">
        <v>28.89</v>
      </c>
      <c r="F642" s="361">
        <v>42081</v>
      </c>
      <c r="G642" s="16">
        <v>0</v>
      </c>
      <c r="H642" s="27">
        <f t="shared" si="52"/>
        <v>0</v>
      </c>
      <c r="I642" s="27">
        <f t="shared" si="48"/>
        <v>28.89</v>
      </c>
      <c r="J642" s="16">
        <f t="shared" si="49"/>
        <v>0</v>
      </c>
      <c r="K642" s="16">
        <f t="shared" si="50"/>
        <v>0</v>
      </c>
      <c r="L642" s="16">
        <f t="shared" si="51"/>
        <v>0</v>
      </c>
    </row>
    <row r="643" spans="2:12" ht="36">
      <c r="B643" s="357">
        <v>32</v>
      </c>
      <c r="C643" s="358" t="s">
        <v>416</v>
      </c>
      <c r="D643" s="367" t="s">
        <v>130</v>
      </c>
      <c r="E643" s="360">
        <v>63.67</v>
      </c>
      <c r="F643" s="361">
        <v>42076</v>
      </c>
      <c r="G643" s="16">
        <v>0</v>
      </c>
      <c r="H643" s="27">
        <f t="shared" si="52"/>
        <v>0</v>
      </c>
      <c r="I643" s="27">
        <f t="shared" si="48"/>
        <v>63.67</v>
      </c>
      <c r="J643" s="16">
        <f t="shared" si="49"/>
        <v>0</v>
      </c>
      <c r="K643" s="16">
        <f t="shared" si="50"/>
        <v>0</v>
      </c>
      <c r="L643" s="16">
        <f t="shared" si="51"/>
        <v>0</v>
      </c>
    </row>
    <row r="644" spans="2:12" ht="18">
      <c r="B644" s="357">
        <v>31</v>
      </c>
      <c r="C644" s="358" t="s">
        <v>235</v>
      </c>
      <c r="D644" s="367" t="s">
        <v>132</v>
      </c>
      <c r="E644" s="360">
        <v>3</v>
      </c>
      <c r="F644" s="361">
        <v>42076</v>
      </c>
      <c r="G644" s="16">
        <v>0</v>
      </c>
      <c r="H644" s="27">
        <f t="shared" si="52"/>
        <v>0</v>
      </c>
      <c r="I644" s="27">
        <f t="shared" si="48"/>
        <v>3</v>
      </c>
      <c r="J644" s="16">
        <f t="shared" si="49"/>
        <v>0</v>
      </c>
      <c r="K644" s="16">
        <f t="shared" si="50"/>
        <v>0</v>
      </c>
      <c r="L644" s="16">
        <f t="shared" si="51"/>
        <v>0</v>
      </c>
    </row>
    <row r="645" spans="2:12" ht="36">
      <c r="B645" s="362">
        <v>30</v>
      </c>
      <c r="C645" s="363" t="s">
        <v>417</v>
      </c>
      <c r="D645" s="364" t="s">
        <v>418</v>
      </c>
      <c r="E645" s="365">
        <v>27.6</v>
      </c>
      <c r="F645" s="366">
        <v>42075</v>
      </c>
      <c r="G645" s="12">
        <v>1</v>
      </c>
      <c r="H645" s="19">
        <f t="shared" si="52"/>
        <v>27.6</v>
      </c>
      <c r="I645" s="19">
        <f t="shared" si="48"/>
        <v>0</v>
      </c>
      <c r="J645" s="12">
        <f t="shared" si="49"/>
        <v>0</v>
      </c>
      <c r="K645" s="12">
        <f t="shared" si="50"/>
        <v>0</v>
      </c>
      <c r="L645" s="12">
        <f t="shared" si="51"/>
        <v>0</v>
      </c>
    </row>
    <row r="646" spans="2:12" ht="36">
      <c r="B646" s="362">
        <v>29</v>
      </c>
      <c r="C646" s="363" t="s">
        <v>390</v>
      </c>
      <c r="D646" s="364" t="s">
        <v>130</v>
      </c>
      <c r="E646" s="365">
        <v>183.5</v>
      </c>
      <c r="F646" s="366">
        <v>42075</v>
      </c>
      <c r="G646" s="12">
        <v>1</v>
      </c>
      <c r="H646" s="19">
        <f t="shared" si="52"/>
        <v>183.5</v>
      </c>
      <c r="I646" s="19">
        <f t="shared" si="48"/>
        <v>0</v>
      </c>
      <c r="J646" s="12">
        <f t="shared" si="49"/>
        <v>0</v>
      </c>
      <c r="K646" s="12">
        <f t="shared" si="50"/>
        <v>0</v>
      </c>
      <c r="L646" s="12">
        <f t="shared" si="51"/>
        <v>0</v>
      </c>
    </row>
    <row r="647" spans="2:12" ht="18">
      <c r="B647" s="362">
        <v>28</v>
      </c>
      <c r="C647" s="363" t="s">
        <v>383</v>
      </c>
      <c r="D647" s="364" t="s">
        <v>130</v>
      </c>
      <c r="E647" s="365">
        <v>9.16</v>
      </c>
      <c r="F647" s="366">
        <v>42075</v>
      </c>
      <c r="G647" s="12">
        <v>1</v>
      </c>
      <c r="H647" s="19">
        <f t="shared" si="52"/>
        <v>9.16</v>
      </c>
      <c r="I647" s="19">
        <f t="shared" si="48"/>
        <v>0</v>
      </c>
      <c r="J647" s="12">
        <f t="shared" si="49"/>
        <v>0</v>
      </c>
      <c r="K647" s="12">
        <f t="shared" si="50"/>
        <v>0</v>
      </c>
      <c r="L647" s="12">
        <f t="shared" si="51"/>
        <v>0</v>
      </c>
    </row>
    <row r="648" spans="2:12" ht="36">
      <c r="B648" s="362">
        <v>27</v>
      </c>
      <c r="C648" s="363" t="s">
        <v>411</v>
      </c>
      <c r="D648" s="364" t="s">
        <v>130</v>
      </c>
      <c r="E648" s="365">
        <v>18.75</v>
      </c>
      <c r="F648" s="366">
        <v>42073</v>
      </c>
      <c r="G648" s="12">
        <v>1</v>
      </c>
      <c r="H648" s="19">
        <f t="shared" si="52"/>
        <v>18.75</v>
      </c>
      <c r="I648" s="19">
        <f t="shared" si="48"/>
        <v>0</v>
      </c>
      <c r="J648" s="12">
        <f t="shared" si="49"/>
        <v>0</v>
      </c>
      <c r="K648" s="12">
        <f t="shared" si="50"/>
        <v>0</v>
      </c>
      <c r="L648" s="12">
        <f t="shared" si="51"/>
        <v>0</v>
      </c>
    </row>
    <row r="649" spans="2:12" ht="36">
      <c r="B649" s="362">
        <v>26</v>
      </c>
      <c r="C649" s="363" t="s">
        <v>213</v>
      </c>
      <c r="D649" s="364" t="s">
        <v>137</v>
      </c>
      <c r="E649" s="365">
        <v>22.5</v>
      </c>
      <c r="F649" s="366">
        <v>42069</v>
      </c>
      <c r="G649" s="12">
        <v>1</v>
      </c>
      <c r="H649" s="19">
        <f t="shared" si="52"/>
        <v>22.5</v>
      </c>
      <c r="I649" s="19">
        <f t="shared" si="48"/>
        <v>0</v>
      </c>
      <c r="J649" s="12">
        <f t="shared" si="49"/>
        <v>0</v>
      </c>
      <c r="K649" s="12">
        <f t="shared" si="50"/>
        <v>0</v>
      </c>
      <c r="L649" s="12">
        <f t="shared" si="51"/>
        <v>0</v>
      </c>
    </row>
    <row r="650" spans="2:12" ht="36">
      <c r="B650" s="362">
        <v>25</v>
      </c>
      <c r="C650" s="363" t="s">
        <v>419</v>
      </c>
      <c r="D650" s="364" t="s">
        <v>130</v>
      </c>
      <c r="E650" s="365">
        <v>11.7</v>
      </c>
      <c r="F650" s="366">
        <v>42069</v>
      </c>
      <c r="G650" s="12">
        <v>1</v>
      </c>
      <c r="H650" s="19">
        <f t="shared" si="52"/>
        <v>11.7</v>
      </c>
      <c r="I650" s="19">
        <f t="shared" si="48"/>
        <v>0</v>
      </c>
      <c r="J650" s="12">
        <f t="shared" si="49"/>
        <v>0</v>
      </c>
      <c r="K650" s="12">
        <f t="shared" si="50"/>
        <v>0</v>
      </c>
      <c r="L650" s="12">
        <f t="shared" si="51"/>
        <v>0</v>
      </c>
    </row>
    <row r="651" spans="2:12" ht="18">
      <c r="B651" s="357">
        <v>24</v>
      </c>
      <c r="C651" s="358" t="s">
        <v>178</v>
      </c>
      <c r="D651" s="367" t="s">
        <v>132</v>
      </c>
      <c r="E651" s="360">
        <v>0.6</v>
      </c>
      <c r="F651" s="361">
        <v>42062</v>
      </c>
      <c r="G651" s="16">
        <v>0</v>
      </c>
      <c r="H651" s="27">
        <f t="shared" si="52"/>
        <v>0</v>
      </c>
      <c r="I651" s="27">
        <f t="shared" si="48"/>
        <v>0.6</v>
      </c>
      <c r="J651" s="16">
        <f t="shared" si="49"/>
        <v>0</v>
      </c>
      <c r="K651" s="16">
        <f t="shared" si="50"/>
        <v>0</v>
      </c>
      <c r="L651" s="16">
        <f t="shared" si="51"/>
        <v>0</v>
      </c>
    </row>
    <row r="652" spans="2:12" ht="72">
      <c r="B652" s="362">
        <v>23</v>
      </c>
      <c r="C652" s="363" t="s">
        <v>420</v>
      </c>
      <c r="D652" s="364" t="s">
        <v>131</v>
      </c>
      <c r="E652" s="365">
        <v>79.08</v>
      </c>
      <c r="F652" s="366">
        <v>42062</v>
      </c>
      <c r="G652" s="12">
        <v>1</v>
      </c>
      <c r="H652" s="19">
        <f t="shared" si="52"/>
        <v>79.08</v>
      </c>
      <c r="I652" s="19">
        <f t="shared" si="48"/>
        <v>0</v>
      </c>
      <c r="J652" s="12">
        <f t="shared" si="49"/>
        <v>79.08</v>
      </c>
      <c r="K652" s="12">
        <f t="shared" si="50"/>
        <v>0</v>
      </c>
      <c r="L652" s="12">
        <f t="shared" si="51"/>
        <v>0</v>
      </c>
    </row>
    <row r="653" spans="2:12" ht="36">
      <c r="B653" s="362">
        <v>22</v>
      </c>
      <c r="C653" s="363" t="s">
        <v>410</v>
      </c>
      <c r="D653" s="364" t="s">
        <v>130</v>
      </c>
      <c r="E653" s="365">
        <v>51.09</v>
      </c>
      <c r="F653" s="366">
        <v>42062</v>
      </c>
      <c r="G653" s="12">
        <v>1</v>
      </c>
      <c r="H653" s="19">
        <f t="shared" si="52"/>
        <v>51.09</v>
      </c>
      <c r="I653" s="19">
        <f t="shared" ref="I653:I674" si="53">E653-H653</f>
        <v>0</v>
      </c>
      <c r="J653" s="12">
        <f t="shared" ref="J653:J673" si="54">OR(IF((D653="DG"),1,0),IF(D653="DG/FO",1,0),IF(D653="DG/FO/Linyit",1,0))*E653</f>
        <v>0</v>
      </c>
      <c r="K653" s="12">
        <f t="shared" ref="K653:K673" si="55">OR(IF((D653="KÖMÜR+DİĞER"),1,0),IF(D653="KÖMÜR",1,0))*E653</f>
        <v>0</v>
      </c>
      <c r="L653" s="12">
        <f t="shared" ref="L653:L674" si="56">(IF((D653="LİNYİT"),1,0))*E653</f>
        <v>0</v>
      </c>
    </row>
    <row r="654" spans="2:12" ht="18">
      <c r="B654" s="357">
        <v>21</v>
      </c>
      <c r="C654" s="358" t="s">
        <v>413</v>
      </c>
      <c r="D654" s="359" t="s">
        <v>132</v>
      </c>
      <c r="E654" s="381">
        <v>13.94735</v>
      </c>
      <c r="F654" s="361">
        <v>42054</v>
      </c>
      <c r="G654" s="16">
        <v>0</v>
      </c>
      <c r="H654" s="27">
        <f t="shared" ref="H654:H674" si="57">E654*G654</f>
        <v>0</v>
      </c>
      <c r="I654" s="27">
        <f t="shared" si="53"/>
        <v>13.94735</v>
      </c>
      <c r="J654" s="16">
        <f t="shared" si="54"/>
        <v>0</v>
      </c>
      <c r="K654" s="16">
        <f t="shared" si="55"/>
        <v>0</v>
      </c>
      <c r="L654" s="16">
        <f t="shared" si="56"/>
        <v>0</v>
      </c>
    </row>
    <row r="655" spans="2:12" ht="18">
      <c r="B655" s="357">
        <v>20</v>
      </c>
      <c r="C655" s="358" t="s">
        <v>421</v>
      </c>
      <c r="D655" s="367" t="s">
        <v>130</v>
      </c>
      <c r="E655" s="360">
        <v>11.222</v>
      </c>
      <c r="F655" s="361">
        <v>42054</v>
      </c>
      <c r="G655" s="16">
        <v>0</v>
      </c>
      <c r="H655" s="27">
        <f t="shared" si="57"/>
        <v>0</v>
      </c>
      <c r="I655" s="27">
        <f t="shared" si="53"/>
        <v>11.222</v>
      </c>
      <c r="J655" s="16">
        <f t="shared" si="54"/>
        <v>0</v>
      </c>
      <c r="K655" s="16">
        <f t="shared" si="55"/>
        <v>0</v>
      </c>
      <c r="L655" s="16">
        <f t="shared" si="56"/>
        <v>0</v>
      </c>
    </row>
    <row r="656" spans="2:12" ht="36">
      <c r="B656" s="357">
        <v>19</v>
      </c>
      <c r="C656" s="358" t="s">
        <v>416</v>
      </c>
      <c r="D656" s="367" t="s">
        <v>130</v>
      </c>
      <c r="E656" s="360">
        <v>63.67</v>
      </c>
      <c r="F656" s="361">
        <v>42053</v>
      </c>
      <c r="G656" s="16">
        <v>0</v>
      </c>
      <c r="H656" s="27">
        <f t="shared" si="57"/>
        <v>0</v>
      </c>
      <c r="I656" s="27">
        <f t="shared" si="53"/>
        <v>63.67</v>
      </c>
      <c r="J656" s="16">
        <f t="shared" si="54"/>
        <v>0</v>
      </c>
      <c r="K656" s="16">
        <f t="shared" si="55"/>
        <v>0</v>
      </c>
      <c r="L656" s="16">
        <f t="shared" si="56"/>
        <v>0</v>
      </c>
    </row>
    <row r="657" spans="2:12" ht="18">
      <c r="B657" s="357">
        <v>18</v>
      </c>
      <c r="C657" s="358" t="s">
        <v>122</v>
      </c>
      <c r="D657" s="367" t="s">
        <v>132</v>
      </c>
      <c r="E657" s="360">
        <v>8</v>
      </c>
      <c r="F657" s="361">
        <v>42048</v>
      </c>
      <c r="G657" s="16">
        <v>0</v>
      </c>
      <c r="H657" s="27">
        <f t="shared" si="57"/>
        <v>0</v>
      </c>
      <c r="I657" s="27">
        <f t="shared" si="53"/>
        <v>8</v>
      </c>
      <c r="J657" s="16">
        <f t="shared" si="54"/>
        <v>0</v>
      </c>
      <c r="K657" s="16">
        <f t="shared" si="55"/>
        <v>0</v>
      </c>
      <c r="L657" s="16">
        <f t="shared" si="56"/>
        <v>0</v>
      </c>
    </row>
    <row r="658" spans="2:12" ht="54">
      <c r="B658" s="362">
        <v>17</v>
      </c>
      <c r="C658" s="363" t="s">
        <v>422</v>
      </c>
      <c r="D658" s="364" t="s">
        <v>134</v>
      </c>
      <c r="E658" s="365">
        <v>5.6639999999999997</v>
      </c>
      <c r="F658" s="366">
        <v>42048</v>
      </c>
      <c r="G658" s="12">
        <v>1</v>
      </c>
      <c r="H658" s="19">
        <f t="shared" si="57"/>
        <v>5.6639999999999997</v>
      </c>
      <c r="I658" s="19">
        <f t="shared" si="53"/>
        <v>0</v>
      </c>
      <c r="J658" s="12">
        <f t="shared" si="54"/>
        <v>0</v>
      </c>
      <c r="K658" s="12">
        <f t="shared" si="55"/>
        <v>0</v>
      </c>
      <c r="L658" s="12">
        <f t="shared" si="56"/>
        <v>0</v>
      </c>
    </row>
    <row r="659" spans="2:12" ht="36">
      <c r="B659" s="357">
        <v>16</v>
      </c>
      <c r="C659" s="358" t="s">
        <v>423</v>
      </c>
      <c r="D659" s="367" t="s">
        <v>130</v>
      </c>
      <c r="E659" s="360">
        <v>9.18</v>
      </c>
      <c r="F659" s="361">
        <v>42047</v>
      </c>
      <c r="G659" s="16">
        <v>0</v>
      </c>
      <c r="H659" s="27">
        <f t="shared" si="57"/>
        <v>0</v>
      </c>
      <c r="I659" s="27">
        <f t="shared" si="53"/>
        <v>9.18</v>
      </c>
      <c r="J659" s="16">
        <f t="shared" si="54"/>
        <v>0</v>
      </c>
      <c r="K659" s="16">
        <f t="shared" si="55"/>
        <v>0</v>
      </c>
      <c r="L659" s="16">
        <f t="shared" si="56"/>
        <v>0</v>
      </c>
    </row>
    <row r="660" spans="2:12" ht="54">
      <c r="B660" s="362">
        <v>15</v>
      </c>
      <c r="C660" s="363" t="s">
        <v>424</v>
      </c>
      <c r="D660" s="364" t="s">
        <v>131</v>
      </c>
      <c r="E660" s="365">
        <v>2.476</v>
      </c>
      <c r="F660" s="366">
        <v>42046</v>
      </c>
      <c r="G660" s="12">
        <v>1</v>
      </c>
      <c r="H660" s="19">
        <f t="shared" si="57"/>
        <v>2.476</v>
      </c>
      <c r="I660" s="19">
        <f t="shared" si="53"/>
        <v>0</v>
      </c>
      <c r="J660" s="12">
        <f t="shared" si="54"/>
        <v>2.476</v>
      </c>
      <c r="K660" s="12">
        <f t="shared" si="55"/>
        <v>0</v>
      </c>
      <c r="L660" s="12">
        <f t="shared" si="56"/>
        <v>0</v>
      </c>
    </row>
    <row r="661" spans="2:12" ht="18">
      <c r="B661" s="357">
        <v>14</v>
      </c>
      <c r="C661" s="369" t="s">
        <v>425</v>
      </c>
      <c r="D661" s="382" t="s">
        <v>132</v>
      </c>
      <c r="E661" s="360">
        <v>4.8</v>
      </c>
      <c r="F661" s="361">
        <v>42044</v>
      </c>
      <c r="G661" s="16">
        <v>0</v>
      </c>
      <c r="H661" s="27">
        <f t="shared" si="57"/>
        <v>0</v>
      </c>
      <c r="I661" s="27">
        <f t="shared" si="53"/>
        <v>4.8</v>
      </c>
      <c r="J661" s="16">
        <f t="shared" si="54"/>
        <v>0</v>
      </c>
      <c r="K661" s="16">
        <f t="shared" si="55"/>
        <v>0</v>
      </c>
      <c r="L661" s="16">
        <f t="shared" si="56"/>
        <v>0</v>
      </c>
    </row>
    <row r="662" spans="2:12" ht="36">
      <c r="B662" s="357">
        <v>13</v>
      </c>
      <c r="C662" s="358" t="s">
        <v>426</v>
      </c>
      <c r="D662" s="359" t="s">
        <v>130</v>
      </c>
      <c r="E662" s="360">
        <v>9.3620000000000001</v>
      </c>
      <c r="F662" s="383">
        <v>42042</v>
      </c>
      <c r="G662" s="16">
        <v>0</v>
      </c>
      <c r="H662" s="27">
        <f t="shared" si="57"/>
        <v>0</v>
      </c>
      <c r="I662" s="27">
        <f t="shared" si="53"/>
        <v>9.3620000000000001</v>
      </c>
      <c r="J662" s="16">
        <f t="shared" si="54"/>
        <v>0</v>
      </c>
      <c r="K662" s="16">
        <f t="shared" si="55"/>
        <v>0</v>
      </c>
      <c r="L662" s="16">
        <f t="shared" si="56"/>
        <v>0</v>
      </c>
    </row>
    <row r="663" spans="2:12" ht="18">
      <c r="B663" s="357">
        <v>12</v>
      </c>
      <c r="C663" s="358" t="s">
        <v>113</v>
      </c>
      <c r="D663" s="359" t="s">
        <v>132</v>
      </c>
      <c r="E663" s="360">
        <v>6</v>
      </c>
      <c r="F663" s="383">
        <v>42042</v>
      </c>
      <c r="G663" s="16">
        <v>0</v>
      </c>
      <c r="H663" s="27">
        <f t="shared" si="57"/>
        <v>0</v>
      </c>
      <c r="I663" s="27">
        <f t="shared" si="53"/>
        <v>6</v>
      </c>
      <c r="J663" s="16">
        <f t="shared" si="54"/>
        <v>0</v>
      </c>
      <c r="K663" s="16">
        <f t="shared" si="55"/>
        <v>0</v>
      </c>
      <c r="L663" s="16">
        <f t="shared" si="56"/>
        <v>0</v>
      </c>
    </row>
    <row r="664" spans="2:12" ht="18">
      <c r="B664" s="357">
        <v>11</v>
      </c>
      <c r="C664" s="369" t="s">
        <v>370</v>
      </c>
      <c r="D664" s="359" t="s">
        <v>132</v>
      </c>
      <c r="E664" s="360">
        <v>7.5</v>
      </c>
      <c r="F664" s="383">
        <v>42041</v>
      </c>
      <c r="G664" s="16">
        <v>0</v>
      </c>
      <c r="H664" s="27">
        <f t="shared" si="57"/>
        <v>0</v>
      </c>
      <c r="I664" s="27">
        <f t="shared" si="53"/>
        <v>7.5</v>
      </c>
      <c r="J664" s="16">
        <f t="shared" si="54"/>
        <v>0</v>
      </c>
      <c r="K664" s="16">
        <f t="shared" si="55"/>
        <v>0</v>
      </c>
      <c r="L664" s="16">
        <f t="shared" si="56"/>
        <v>0</v>
      </c>
    </row>
    <row r="665" spans="2:12" ht="36">
      <c r="B665" s="362">
        <v>10</v>
      </c>
      <c r="C665" s="370" t="s">
        <v>427</v>
      </c>
      <c r="D665" s="368" t="s">
        <v>130</v>
      </c>
      <c r="E665" s="365">
        <v>11.9</v>
      </c>
      <c r="F665" s="384">
        <v>42039</v>
      </c>
      <c r="G665" s="12">
        <v>1</v>
      </c>
      <c r="H665" s="19">
        <f t="shared" si="57"/>
        <v>11.9</v>
      </c>
      <c r="I665" s="19">
        <f t="shared" si="53"/>
        <v>0</v>
      </c>
      <c r="J665" s="12">
        <f t="shared" si="54"/>
        <v>0</v>
      </c>
      <c r="K665" s="12">
        <f t="shared" si="55"/>
        <v>0</v>
      </c>
      <c r="L665" s="12">
        <f t="shared" si="56"/>
        <v>0</v>
      </c>
    </row>
    <row r="666" spans="2:12" ht="18">
      <c r="B666" s="357">
        <v>9</v>
      </c>
      <c r="C666" s="358" t="s">
        <v>421</v>
      </c>
      <c r="D666" s="359" t="s">
        <v>130</v>
      </c>
      <c r="E666" s="360">
        <v>11.222</v>
      </c>
      <c r="F666" s="383">
        <v>42035</v>
      </c>
      <c r="G666" s="16">
        <v>0</v>
      </c>
      <c r="H666" s="27">
        <f t="shared" si="57"/>
        <v>0</v>
      </c>
      <c r="I666" s="27">
        <f t="shared" si="53"/>
        <v>11.222</v>
      </c>
      <c r="J666" s="16">
        <f t="shared" si="54"/>
        <v>0</v>
      </c>
      <c r="K666" s="16">
        <f t="shared" si="55"/>
        <v>0</v>
      </c>
      <c r="L666" s="16">
        <f t="shared" si="56"/>
        <v>0</v>
      </c>
    </row>
    <row r="667" spans="2:12" ht="18">
      <c r="B667" s="362">
        <v>8</v>
      </c>
      <c r="C667" s="363" t="s">
        <v>428</v>
      </c>
      <c r="D667" s="368" t="s">
        <v>130</v>
      </c>
      <c r="E667" s="380">
        <v>30.09</v>
      </c>
      <c r="F667" s="384">
        <v>42028</v>
      </c>
      <c r="G667" s="12">
        <v>1</v>
      </c>
      <c r="H667" s="19">
        <f t="shared" si="57"/>
        <v>30.09</v>
      </c>
      <c r="I667" s="19">
        <f t="shared" si="53"/>
        <v>0</v>
      </c>
      <c r="J667" s="12">
        <f t="shared" si="54"/>
        <v>0</v>
      </c>
      <c r="K667" s="12">
        <f t="shared" si="55"/>
        <v>0</v>
      </c>
      <c r="L667" s="12">
        <f t="shared" si="56"/>
        <v>0</v>
      </c>
    </row>
    <row r="668" spans="2:12" ht="36">
      <c r="B668" s="362">
        <v>7</v>
      </c>
      <c r="C668" s="363" t="s">
        <v>168</v>
      </c>
      <c r="D668" s="368" t="s">
        <v>131</v>
      </c>
      <c r="E668" s="365">
        <v>1.125</v>
      </c>
      <c r="F668" s="384">
        <v>42027</v>
      </c>
      <c r="G668" s="12">
        <v>1</v>
      </c>
      <c r="H668" s="19">
        <f t="shared" si="57"/>
        <v>1.125</v>
      </c>
      <c r="I668" s="19">
        <f t="shared" si="53"/>
        <v>0</v>
      </c>
      <c r="J668" s="12">
        <f t="shared" si="54"/>
        <v>1.125</v>
      </c>
      <c r="K668" s="12">
        <f t="shared" si="55"/>
        <v>0</v>
      </c>
      <c r="L668" s="12">
        <f t="shared" si="56"/>
        <v>0</v>
      </c>
    </row>
    <row r="669" spans="2:12" ht="90">
      <c r="B669" s="362">
        <v>6</v>
      </c>
      <c r="C669" s="370" t="s">
        <v>429</v>
      </c>
      <c r="D669" s="368" t="s">
        <v>131</v>
      </c>
      <c r="E669" s="365">
        <v>15</v>
      </c>
      <c r="F669" s="384">
        <v>42021</v>
      </c>
      <c r="G669" s="12">
        <v>1</v>
      </c>
      <c r="H669" s="19">
        <f t="shared" si="57"/>
        <v>15</v>
      </c>
      <c r="I669" s="19">
        <f t="shared" si="53"/>
        <v>0</v>
      </c>
      <c r="J669" s="12">
        <f t="shared" si="54"/>
        <v>15</v>
      </c>
      <c r="K669" s="12">
        <f t="shared" si="55"/>
        <v>0</v>
      </c>
      <c r="L669" s="12">
        <f t="shared" si="56"/>
        <v>0</v>
      </c>
    </row>
    <row r="670" spans="2:12" ht="36">
      <c r="B670" s="362">
        <v>5</v>
      </c>
      <c r="C670" s="363" t="s">
        <v>430</v>
      </c>
      <c r="D670" s="368" t="s">
        <v>142</v>
      </c>
      <c r="E670" s="365">
        <v>0.95499999999999996</v>
      </c>
      <c r="F670" s="384">
        <v>42020</v>
      </c>
      <c r="G670" s="12">
        <v>1</v>
      </c>
      <c r="H670" s="19">
        <f t="shared" si="57"/>
        <v>0.95499999999999996</v>
      </c>
      <c r="I670" s="19">
        <f t="shared" si="53"/>
        <v>0</v>
      </c>
      <c r="J670" s="12">
        <f t="shared" si="54"/>
        <v>0</v>
      </c>
      <c r="K670" s="12">
        <f t="shared" si="55"/>
        <v>0</v>
      </c>
      <c r="L670" s="12">
        <f t="shared" si="56"/>
        <v>0</v>
      </c>
    </row>
    <row r="671" spans="2:12" ht="18">
      <c r="B671" s="362">
        <v>4</v>
      </c>
      <c r="C671" s="370" t="s">
        <v>387</v>
      </c>
      <c r="D671" s="368" t="s">
        <v>130</v>
      </c>
      <c r="E671" s="365">
        <v>15.36</v>
      </c>
      <c r="F671" s="384">
        <v>42020</v>
      </c>
      <c r="G671" s="12">
        <v>1</v>
      </c>
      <c r="H671" s="19">
        <f t="shared" si="57"/>
        <v>15.36</v>
      </c>
      <c r="I671" s="19">
        <f t="shared" si="53"/>
        <v>0</v>
      </c>
      <c r="J671" s="12">
        <f t="shared" si="54"/>
        <v>0</v>
      </c>
      <c r="K671" s="12">
        <f t="shared" si="55"/>
        <v>0</v>
      </c>
      <c r="L671" s="12">
        <f t="shared" si="56"/>
        <v>0</v>
      </c>
    </row>
    <row r="672" spans="2:12" ht="90">
      <c r="B672" s="362">
        <v>3</v>
      </c>
      <c r="C672" s="370" t="s">
        <v>431</v>
      </c>
      <c r="D672" s="368" t="s">
        <v>432</v>
      </c>
      <c r="E672" s="365">
        <v>15</v>
      </c>
      <c r="F672" s="384">
        <v>42014</v>
      </c>
      <c r="G672" s="12">
        <v>1</v>
      </c>
      <c r="H672" s="19">
        <f t="shared" si="57"/>
        <v>15</v>
      </c>
      <c r="I672" s="19">
        <f t="shared" si="53"/>
        <v>0</v>
      </c>
      <c r="J672" s="12">
        <f t="shared" si="54"/>
        <v>0</v>
      </c>
      <c r="K672" s="12">
        <f t="shared" si="55"/>
        <v>15</v>
      </c>
      <c r="L672" s="12">
        <f t="shared" si="56"/>
        <v>0</v>
      </c>
    </row>
    <row r="673" spans="2:12" ht="18">
      <c r="B673" s="385">
        <v>2</v>
      </c>
      <c r="C673" s="386" t="s">
        <v>413</v>
      </c>
      <c r="D673" s="387" t="s">
        <v>132</v>
      </c>
      <c r="E673" s="388">
        <v>27.8947</v>
      </c>
      <c r="F673" s="389">
        <v>42014</v>
      </c>
      <c r="G673" s="16">
        <v>0</v>
      </c>
      <c r="H673" s="27">
        <f t="shared" si="57"/>
        <v>0</v>
      </c>
      <c r="I673" s="27">
        <f t="shared" si="53"/>
        <v>27.8947</v>
      </c>
      <c r="J673" s="16">
        <f t="shared" si="54"/>
        <v>0</v>
      </c>
      <c r="K673" s="16">
        <f t="shared" si="55"/>
        <v>0</v>
      </c>
      <c r="L673" s="16">
        <f t="shared" si="56"/>
        <v>0</v>
      </c>
    </row>
    <row r="674" spans="2:12" ht="18">
      <c r="B674" s="385">
        <v>1</v>
      </c>
      <c r="C674" s="386" t="s">
        <v>433</v>
      </c>
      <c r="D674" s="387" t="s">
        <v>130</v>
      </c>
      <c r="E674" s="390">
        <v>41</v>
      </c>
      <c r="F674" s="389">
        <v>42012</v>
      </c>
      <c r="G674" s="16">
        <v>0</v>
      </c>
      <c r="H674" s="27">
        <f t="shared" si="57"/>
        <v>0</v>
      </c>
      <c r="I674" s="27">
        <f t="shared" si="53"/>
        <v>41</v>
      </c>
      <c r="J674" s="16">
        <f>OR(IF((D674="DG"),1,0),IF(D674="DG/FO",1,0),IF(D674="DG/FO/Linyit",1,0))*E674</f>
        <v>0</v>
      </c>
      <c r="K674" s="16">
        <f>OR(IF((D674="KÖMÜR+DİĞER"),1,0),IF(D674="KÖMÜR",1,0))*E674</f>
        <v>0</v>
      </c>
      <c r="L674" s="16">
        <f t="shared" si="56"/>
        <v>0</v>
      </c>
    </row>
    <row r="675" spans="2:12">
      <c r="B675" s="6"/>
      <c r="C675" s="6"/>
      <c r="D675" s="6"/>
      <c r="E675" s="8">
        <f>SUM(E460:E674)</f>
        <v>4287.5705999999991</v>
      </c>
      <c r="F675" s="8"/>
      <c r="G675" s="8"/>
      <c r="H675" s="8">
        <f>SUM(H460:H674)</f>
        <v>3035.2716</v>
      </c>
      <c r="I675" s="8">
        <f>SUM(I460:I674)</f>
        <v>1252.2989999999998</v>
      </c>
      <c r="J675" s="8">
        <f>SUM(J460:J674)</f>
        <v>203.23599999999999</v>
      </c>
      <c r="K675" s="8">
        <f>SUM(K460:K674)</f>
        <v>292.60000000000002</v>
      </c>
      <c r="L675" s="8">
        <f>SUM(L460:L674)</f>
        <v>435</v>
      </c>
    </row>
    <row r="678" spans="2:12" ht="90">
      <c r="B678" s="289" t="s">
        <v>436</v>
      </c>
      <c r="C678" s="289" t="s">
        <v>150</v>
      </c>
      <c r="D678" s="289" t="s">
        <v>437</v>
      </c>
      <c r="E678" s="290" t="s">
        <v>810</v>
      </c>
      <c r="F678" s="289" t="s">
        <v>438</v>
      </c>
      <c r="G678" s="291" t="s">
        <v>301</v>
      </c>
      <c r="H678" s="292" t="s">
        <v>147</v>
      </c>
      <c r="I678" s="291" t="s">
        <v>302</v>
      </c>
      <c r="J678" s="291" t="s">
        <v>146</v>
      </c>
      <c r="K678" s="291" t="s">
        <v>145</v>
      </c>
      <c r="L678" s="291" t="s">
        <v>144</v>
      </c>
    </row>
    <row r="679" spans="2:12" ht="54">
      <c r="B679" s="391">
        <v>226</v>
      </c>
      <c r="C679" s="392" t="s">
        <v>166</v>
      </c>
      <c r="D679" s="393" t="s">
        <v>138</v>
      </c>
      <c r="E679" s="394">
        <v>1.64</v>
      </c>
      <c r="F679" s="395">
        <v>42004</v>
      </c>
      <c r="G679" s="396">
        <v>1</v>
      </c>
      <c r="H679" s="397">
        <f t="shared" ref="H679:H708" si="58">E679*G679</f>
        <v>1.64</v>
      </c>
      <c r="I679" s="397">
        <f t="shared" ref="I679:I708" si="59">E679-H679</f>
        <v>0</v>
      </c>
      <c r="J679" s="396">
        <f t="shared" ref="J679:J708" si="60">OR(IF((D679="DG"),1,0),IF(D679="DG/FO",1,0),IF(D679="DG/FO/Linyit",1,0))*E679</f>
        <v>0</v>
      </c>
      <c r="K679" s="396">
        <f t="shared" ref="K679:K708" si="61">IF(D679="İTHAL KÖMÜR",1,0)*E679</f>
        <v>0</v>
      </c>
      <c r="L679" s="396">
        <f t="shared" ref="L679:L708" si="62">IF(D679="LİNYİT",1,0)*E679</f>
        <v>1.64</v>
      </c>
    </row>
    <row r="680" spans="2:12" ht="18">
      <c r="B680" s="391">
        <v>225</v>
      </c>
      <c r="C680" s="392" t="s">
        <v>167</v>
      </c>
      <c r="D680" s="393" t="s">
        <v>130</v>
      </c>
      <c r="E680" s="394">
        <v>8.82</v>
      </c>
      <c r="F680" s="395">
        <v>42004</v>
      </c>
      <c r="G680" s="396">
        <v>1</v>
      </c>
      <c r="H680" s="397">
        <f t="shared" si="58"/>
        <v>8.82</v>
      </c>
      <c r="I680" s="397">
        <f t="shared" si="59"/>
        <v>0</v>
      </c>
      <c r="J680" s="396">
        <f t="shared" si="60"/>
        <v>0</v>
      </c>
      <c r="K680" s="396">
        <f t="shared" si="61"/>
        <v>0</v>
      </c>
      <c r="L680" s="396">
        <f t="shared" si="62"/>
        <v>0</v>
      </c>
    </row>
    <row r="681" spans="2:12" ht="36">
      <c r="B681" s="398">
        <v>224</v>
      </c>
      <c r="C681" s="392" t="s">
        <v>168</v>
      </c>
      <c r="D681" s="393" t="s">
        <v>131</v>
      </c>
      <c r="E681" s="394">
        <v>13.074999999999999</v>
      </c>
      <c r="F681" s="395">
        <v>42004</v>
      </c>
      <c r="G681" s="396">
        <v>1</v>
      </c>
      <c r="H681" s="397">
        <f t="shared" si="58"/>
        <v>13.074999999999999</v>
      </c>
      <c r="I681" s="397">
        <f t="shared" si="59"/>
        <v>0</v>
      </c>
      <c r="J681" s="396">
        <f t="shared" si="60"/>
        <v>13.074999999999999</v>
      </c>
      <c r="K681" s="396">
        <f t="shared" si="61"/>
        <v>0</v>
      </c>
      <c r="L681" s="396">
        <f t="shared" si="62"/>
        <v>0</v>
      </c>
    </row>
    <row r="682" spans="2:12" ht="36">
      <c r="B682" s="398">
        <v>223</v>
      </c>
      <c r="C682" s="392" t="s">
        <v>169</v>
      </c>
      <c r="D682" s="393" t="s">
        <v>130</v>
      </c>
      <c r="E682" s="394">
        <v>2.3039999999999998</v>
      </c>
      <c r="F682" s="395">
        <v>42004</v>
      </c>
      <c r="G682" s="396">
        <v>1</v>
      </c>
      <c r="H682" s="397">
        <f t="shared" si="58"/>
        <v>2.3039999999999998</v>
      </c>
      <c r="I682" s="397">
        <f t="shared" si="59"/>
        <v>0</v>
      </c>
      <c r="J682" s="396">
        <f t="shared" si="60"/>
        <v>0</v>
      </c>
      <c r="K682" s="396">
        <f t="shared" si="61"/>
        <v>0</v>
      </c>
      <c r="L682" s="396">
        <f t="shared" si="62"/>
        <v>0</v>
      </c>
    </row>
    <row r="683" spans="2:12" ht="36">
      <c r="B683" s="391">
        <v>222</v>
      </c>
      <c r="C683" s="392" t="s">
        <v>170</v>
      </c>
      <c r="D683" s="393" t="s">
        <v>131</v>
      </c>
      <c r="E683" s="394">
        <v>8.6</v>
      </c>
      <c r="F683" s="395">
        <v>42004</v>
      </c>
      <c r="G683" s="396">
        <v>1</v>
      </c>
      <c r="H683" s="397">
        <f t="shared" si="58"/>
        <v>8.6</v>
      </c>
      <c r="I683" s="397">
        <f t="shared" si="59"/>
        <v>0</v>
      </c>
      <c r="J683" s="396">
        <f t="shared" si="60"/>
        <v>8.6</v>
      </c>
      <c r="K683" s="396">
        <f t="shared" si="61"/>
        <v>0</v>
      </c>
      <c r="L683" s="396">
        <f t="shared" si="62"/>
        <v>0</v>
      </c>
    </row>
    <row r="684" spans="2:12" ht="36">
      <c r="B684" s="391">
        <v>221</v>
      </c>
      <c r="C684" s="392" t="s">
        <v>171</v>
      </c>
      <c r="D684" s="393" t="s">
        <v>130</v>
      </c>
      <c r="E684" s="394">
        <v>3.72</v>
      </c>
      <c r="F684" s="395">
        <v>42003</v>
      </c>
      <c r="G684" s="396">
        <v>1</v>
      </c>
      <c r="H684" s="397">
        <f t="shared" si="58"/>
        <v>3.72</v>
      </c>
      <c r="I684" s="397">
        <f t="shared" si="59"/>
        <v>0</v>
      </c>
      <c r="J684" s="396">
        <f t="shared" si="60"/>
        <v>0</v>
      </c>
      <c r="K684" s="396">
        <f t="shared" si="61"/>
        <v>0</v>
      </c>
      <c r="L684" s="396">
        <f t="shared" si="62"/>
        <v>0</v>
      </c>
    </row>
    <row r="685" spans="2:12" ht="54">
      <c r="B685" s="398">
        <v>220</v>
      </c>
      <c r="C685" s="392" t="s">
        <v>172</v>
      </c>
      <c r="D685" s="393" t="s">
        <v>131</v>
      </c>
      <c r="E685" s="394">
        <v>2.677</v>
      </c>
      <c r="F685" s="395">
        <v>42003</v>
      </c>
      <c r="G685" s="396">
        <v>1</v>
      </c>
      <c r="H685" s="397">
        <f t="shared" si="58"/>
        <v>2.677</v>
      </c>
      <c r="I685" s="397">
        <f t="shared" si="59"/>
        <v>0</v>
      </c>
      <c r="J685" s="396">
        <f t="shared" si="60"/>
        <v>2.677</v>
      </c>
      <c r="K685" s="396">
        <f t="shared" si="61"/>
        <v>0</v>
      </c>
      <c r="L685" s="396">
        <f t="shared" si="62"/>
        <v>0</v>
      </c>
    </row>
    <row r="686" spans="2:12" ht="18">
      <c r="B686" s="399">
        <v>219</v>
      </c>
      <c r="C686" s="400" t="s">
        <v>173</v>
      </c>
      <c r="D686" s="401" t="s">
        <v>132</v>
      </c>
      <c r="E686" s="402">
        <v>2.5</v>
      </c>
      <c r="F686" s="403">
        <v>41999</v>
      </c>
      <c r="G686" s="404">
        <v>0</v>
      </c>
      <c r="H686" s="405">
        <f t="shared" si="58"/>
        <v>0</v>
      </c>
      <c r="I686" s="405">
        <f t="shared" si="59"/>
        <v>2.5</v>
      </c>
      <c r="J686" s="404">
        <f t="shared" si="60"/>
        <v>0</v>
      </c>
      <c r="K686" s="404">
        <f t="shared" si="61"/>
        <v>0</v>
      </c>
      <c r="L686" s="404">
        <f t="shared" si="62"/>
        <v>0</v>
      </c>
    </row>
    <row r="687" spans="2:12" ht="18">
      <c r="B687" s="399">
        <v>218</v>
      </c>
      <c r="C687" s="400" t="s">
        <v>113</v>
      </c>
      <c r="D687" s="401" t="s">
        <v>132</v>
      </c>
      <c r="E687" s="402">
        <v>24</v>
      </c>
      <c r="F687" s="403">
        <v>41998</v>
      </c>
      <c r="G687" s="404">
        <v>0</v>
      </c>
      <c r="H687" s="405">
        <f t="shared" si="58"/>
        <v>0</v>
      </c>
      <c r="I687" s="405">
        <f t="shared" si="59"/>
        <v>24</v>
      </c>
      <c r="J687" s="404">
        <f t="shared" si="60"/>
        <v>0</v>
      </c>
      <c r="K687" s="404">
        <f t="shared" si="61"/>
        <v>0</v>
      </c>
      <c r="L687" s="404">
        <f t="shared" si="62"/>
        <v>0</v>
      </c>
    </row>
    <row r="688" spans="2:12" ht="18">
      <c r="B688" s="391">
        <v>217</v>
      </c>
      <c r="C688" s="392" t="s">
        <v>174</v>
      </c>
      <c r="D688" s="393" t="s">
        <v>130</v>
      </c>
      <c r="E688" s="394">
        <v>6.62</v>
      </c>
      <c r="F688" s="395">
        <v>41998</v>
      </c>
      <c r="G688" s="396">
        <v>1</v>
      </c>
      <c r="H688" s="397">
        <f t="shared" si="58"/>
        <v>6.62</v>
      </c>
      <c r="I688" s="397">
        <f t="shared" si="59"/>
        <v>0</v>
      </c>
      <c r="J688" s="396">
        <f t="shared" si="60"/>
        <v>0</v>
      </c>
      <c r="K688" s="396">
        <f t="shared" si="61"/>
        <v>0</v>
      </c>
      <c r="L688" s="396">
        <f t="shared" si="62"/>
        <v>0</v>
      </c>
    </row>
    <row r="689" spans="2:12" ht="18">
      <c r="B689" s="399">
        <v>216</v>
      </c>
      <c r="C689" s="400" t="s">
        <v>173</v>
      </c>
      <c r="D689" s="401" t="s">
        <v>132</v>
      </c>
      <c r="E689" s="402">
        <v>5</v>
      </c>
      <c r="F689" s="403">
        <v>41993</v>
      </c>
      <c r="G689" s="404">
        <v>0</v>
      </c>
      <c r="H689" s="405">
        <f t="shared" si="58"/>
        <v>0</v>
      </c>
      <c r="I689" s="405">
        <f t="shared" si="59"/>
        <v>5</v>
      </c>
      <c r="J689" s="404">
        <f t="shared" si="60"/>
        <v>0</v>
      </c>
      <c r="K689" s="404">
        <f t="shared" si="61"/>
        <v>0</v>
      </c>
      <c r="L689" s="404">
        <f t="shared" si="62"/>
        <v>0</v>
      </c>
    </row>
    <row r="690" spans="2:12" ht="18">
      <c r="B690" s="398">
        <v>215</v>
      </c>
      <c r="C690" s="392" t="s">
        <v>122</v>
      </c>
      <c r="D690" s="393" t="s">
        <v>132</v>
      </c>
      <c r="E690" s="394">
        <v>13</v>
      </c>
      <c r="F690" s="395">
        <v>41993</v>
      </c>
      <c r="G690" s="396">
        <v>1</v>
      </c>
      <c r="H690" s="397">
        <f t="shared" si="58"/>
        <v>13</v>
      </c>
      <c r="I690" s="397">
        <f t="shared" si="59"/>
        <v>0</v>
      </c>
      <c r="J690" s="396">
        <f t="shared" si="60"/>
        <v>0</v>
      </c>
      <c r="K690" s="396">
        <f t="shared" si="61"/>
        <v>0</v>
      </c>
      <c r="L690" s="396">
        <f t="shared" si="62"/>
        <v>0</v>
      </c>
    </row>
    <row r="691" spans="2:12" ht="36">
      <c r="B691" s="391">
        <v>214</v>
      </c>
      <c r="C691" s="392" t="s">
        <v>176</v>
      </c>
      <c r="D691" s="393" t="s">
        <v>175</v>
      </c>
      <c r="E691" s="394">
        <v>600</v>
      </c>
      <c r="F691" s="395">
        <v>41992</v>
      </c>
      <c r="G691" s="396">
        <v>1</v>
      </c>
      <c r="H691" s="397">
        <f t="shared" si="58"/>
        <v>600</v>
      </c>
      <c r="I691" s="397">
        <f t="shared" si="59"/>
        <v>0</v>
      </c>
      <c r="J691" s="396">
        <f t="shared" si="60"/>
        <v>0</v>
      </c>
      <c r="K691" s="396">
        <f t="shared" si="61"/>
        <v>600</v>
      </c>
      <c r="L691" s="396">
        <f t="shared" si="62"/>
        <v>0</v>
      </c>
    </row>
    <row r="692" spans="2:12" ht="36">
      <c r="B692" s="391">
        <v>213</v>
      </c>
      <c r="C692" s="392" t="s">
        <v>177</v>
      </c>
      <c r="D692" s="393" t="s">
        <v>130</v>
      </c>
      <c r="E692" s="394">
        <v>7.9560000000000004</v>
      </c>
      <c r="F692" s="395">
        <v>41992</v>
      </c>
      <c r="G692" s="396">
        <v>1</v>
      </c>
      <c r="H692" s="397">
        <f t="shared" si="58"/>
        <v>7.9560000000000004</v>
      </c>
      <c r="I692" s="397">
        <f t="shared" si="59"/>
        <v>0</v>
      </c>
      <c r="J692" s="396">
        <f t="shared" si="60"/>
        <v>0</v>
      </c>
      <c r="K692" s="396">
        <f t="shared" si="61"/>
        <v>0</v>
      </c>
      <c r="L692" s="396">
        <f t="shared" si="62"/>
        <v>0</v>
      </c>
    </row>
    <row r="693" spans="2:12" ht="18">
      <c r="B693" s="399">
        <v>212</v>
      </c>
      <c r="C693" s="400" t="s">
        <v>178</v>
      </c>
      <c r="D693" s="401" t="s">
        <v>132</v>
      </c>
      <c r="E693" s="402">
        <v>26.4</v>
      </c>
      <c r="F693" s="403">
        <v>41987</v>
      </c>
      <c r="G693" s="404">
        <v>0</v>
      </c>
      <c r="H693" s="405">
        <f t="shared" si="58"/>
        <v>0</v>
      </c>
      <c r="I693" s="405">
        <f t="shared" si="59"/>
        <v>26.4</v>
      </c>
      <c r="J693" s="404">
        <f t="shared" si="60"/>
        <v>0</v>
      </c>
      <c r="K693" s="404">
        <f t="shared" si="61"/>
        <v>0</v>
      </c>
      <c r="L693" s="404">
        <f t="shared" si="62"/>
        <v>0</v>
      </c>
    </row>
    <row r="694" spans="2:12" ht="18">
      <c r="B694" s="398">
        <v>211</v>
      </c>
      <c r="C694" s="392" t="s">
        <v>179</v>
      </c>
      <c r="D694" s="393" t="s">
        <v>130</v>
      </c>
      <c r="E694" s="394">
        <v>0.63100000000000001</v>
      </c>
      <c r="F694" s="395">
        <v>41985</v>
      </c>
      <c r="G694" s="396">
        <v>1</v>
      </c>
      <c r="H694" s="397">
        <f t="shared" si="58"/>
        <v>0.63100000000000001</v>
      </c>
      <c r="I694" s="397">
        <f t="shared" si="59"/>
        <v>0</v>
      </c>
      <c r="J694" s="396">
        <f t="shared" si="60"/>
        <v>0</v>
      </c>
      <c r="K694" s="396">
        <f t="shared" si="61"/>
        <v>0</v>
      </c>
      <c r="L694" s="396">
        <f t="shared" si="62"/>
        <v>0</v>
      </c>
    </row>
    <row r="695" spans="2:12" ht="18">
      <c r="B695" s="399">
        <v>210</v>
      </c>
      <c r="C695" s="400" t="s">
        <v>180</v>
      </c>
      <c r="D695" s="401" t="s">
        <v>132</v>
      </c>
      <c r="E695" s="402">
        <v>11</v>
      </c>
      <c r="F695" s="403">
        <v>41979</v>
      </c>
      <c r="G695" s="404">
        <v>0</v>
      </c>
      <c r="H695" s="405">
        <f t="shared" si="58"/>
        <v>0</v>
      </c>
      <c r="I695" s="405">
        <f t="shared" si="59"/>
        <v>11</v>
      </c>
      <c r="J695" s="404">
        <f t="shared" si="60"/>
        <v>0</v>
      </c>
      <c r="K695" s="404">
        <f t="shared" si="61"/>
        <v>0</v>
      </c>
      <c r="L695" s="404">
        <f t="shared" si="62"/>
        <v>0</v>
      </c>
    </row>
    <row r="696" spans="2:12" ht="36">
      <c r="B696" s="391">
        <v>209</v>
      </c>
      <c r="C696" s="392" t="s">
        <v>181</v>
      </c>
      <c r="D696" s="393" t="s">
        <v>131</v>
      </c>
      <c r="E696" s="406">
        <v>208.67</v>
      </c>
      <c r="F696" s="395">
        <v>41978</v>
      </c>
      <c r="G696" s="396">
        <v>1</v>
      </c>
      <c r="H696" s="397">
        <f t="shared" si="58"/>
        <v>208.67</v>
      </c>
      <c r="I696" s="397">
        <f t="shared" si="59"/>
        <v>0</v>
      </c>
      <c r="J696" s="396">
        <f t="shared" si="60"/>
        <v>208.67</v>
      </c>
      <c r="K696" s="396">
        <f t="shared" si="61"/>
        <v>0</v>
      </c>
      <c r="L696" s="396">
        <f t="shared" si="62"/>
        <v>0</v>
      </c>
    </row>
    <row r="697" spans="2:12" ht="18">
      <c r="B697" s="398">
        <v>208</v>
      </c>
      <c r="C697" s="392" t="s">
        <v>182</v>
      </c>
      <c r="D697" s="393" t="s">
        <v>130</v>
      </c>
      <c r="E697" s="394">
        <v>35.186</v>
      </c>
      <c r="F697" s="395">
        <v>41977</v>
      </c>
      <c r="G697" s="396">
        <v>1</v>
      </c>
      <c r="H697" s="397">
        <f t="shared" si="58"/>
        <v>35.186</v>
      </c>
      <c r="I697" s="397">
        <f t="shared" si="59"/>
        <v>0</v>
      </c>
      <c r="J697" s="396">
        <f t="shared" si="60"/>
        <v>0</v>
      </c>
      <c r="K697" s="396">
        <f t="shared" si="61"/>
        <v>0</v>
      </c>
      <c r="L697" s="396">
        <f t="shared" si="62"/>
        <v>0</v>
      </c>
    </row>
    <row r="698" spans="2:12" ht="18">
      <c r="B698" s="398">
        <v>207</v>
      </c>
      <c r="C698" s="392" t="s">
        <v>183</v>
      </c>
      <c r="D698" s="393" t="s">
        <v>130</v>
      </c>
      <c r="E698" s="394">
        <v>11.089</v>
      </c>
      <c r="F698" s="395">
        <v>41974</v>
      </c>
      <c r="G698" s="396">
        <v>1</v>
      </c>
      <c r="H698" s="397">
        <f t="shared" si="58"/>
        <v>11.089</v>
      </c>
      <c r="I698" s="397">
        <f t="shared" si="59"/>
        <v>0</v>
      </c>
      <c r="J698" s="396">
        <f t="shared" si="60"/>
        <v>0</v>
      </c>
      <c r="K698" s="396">
        <f t="shared" si="61"/>
        <v>0</v>
      </c>
      <c r="L698" s="396">
        <f t="shared" si="62"/>
        <v>0</v>
      </c>
    </row>
    <row r="699" spans="2:12" ht="18">
      <c r="B699" s="391">
        <v>206</v>
      </c>
      <c r="C699" s="392" t="s">
        <v>184</v>
      </c>
      <c r="D699" s="393" t="s">
        <v>130</v>
      </c>
      <c r="E699" s="394">
        <v>9.6</v>
      </c>
      <c r="F699" s="395">
        <v>41971</v>
      </c>
      <c r="G699" s="396">
        <v>1</v>
      </c>
      <c r="H699" s="397">
        <f t="shared" si="58"/>
        <v>9.6</v>
      </c>
      <c r="I699" s="397">
        <f t="shared" si="59"/>
        <v>0</v>
      </c>
      <c r="J699" s="396">
        <f t="shared" si="60"/>
        <v>0</v>
      </c>
      <c r="K699" s="396">
        <f t="shared" si="61"/>
        <v>0</v>
      </c>
      <c r="L699" s="396">
        <f t="shared" si="62"/>
        <v>0</v>
      </c>
    </row>
    <row r="700" spans="2:12" ht="36">
      <c r="B700" s="391">
        <v>205</v>
      </c>
      <c r="C700" s="392" t="s">
        <v>135</v>
      </c>
      <c r="D700" s="393" t="s">
        <v>131</v>
      </c>
      <c r="E700" s="394">
        <v>13.05</v>
      </c>
      <c r="F700" s="395">
        <v>41971</v>
      </c>
      <c r="G700" s="396">
        <v>1</v>
      </c>
      <c r="H700" s="397">
        <f t="shared" si="58"/>
        <v>13.05</v>
      </c>
      <c r="I700" s="397">
        <f t="shared" si="59"/>
        <v>0</v>
      </c>
      <c r="J700" s="396">
        <f t="shared" si="60"/>
        <v>13.05</v>
      </c>
      <c r="K700" s="396">
        <f t="shared" si="61"/>
        <v>0</v>
      </c>
      <c r="L700" s="396">
        <f t="shared" si="62"/>
        <v>0</v>
      </c>
    </row>
    <row r="701" spans="2:12" ht="18">
      <c r="B701" s="399">
        <v>204</v>
      </c>
      <c r="C701" s="400" t="s">
        <v>113</v>
      </c>
      <c r="D701" s="401" t="s">
        <v>132</v>
      </c>
      <c r="E701" s="402">
        <v>32</v>
      </c>
      <c r="F701" s="403">
        <v>41969</v>
      </c>
      <c r="G701" s="404">
        <v>0</v>
      </c>
      <c r="H701" s="405">
        <f t="shared" si="58"/>
        <v>0</v>
      </c>
      <c r="I701" s="405">
        <f t="shared" si="59"/>
        <v>32</v>
      </c>
      <c r="J701" s="404">
        <f t="shared" si="60"/>
        <v>0</v>
      </c>
      <c r="K701" s="404">
        <f t="shared" si="61"/>
        <v>0</v>
      </c>
      <c r="L701" s="404">
        <f t="shared" si="62"/>
        <v>0</v>
      </c>
    </row>
    <row r="702" spans="2:12" ht="18">
      <c r="B702" s="399">
        <v>203</v>
      </c>
      <c r="C702" s="400" t="s">
        <v>115</v>
      </c>
      <c r="D702" s="401" t="s">
        <v>132</v>
      </c>
      <c r="E702" s="402">
        <v>0</v>
      </c>
      <c r="F702" s="403">
        <v>41964</v>
      </c>
      <c r="G702" s="404">
        <v>0</v>
      </c>
      <c r="H702" s="405">
        <f t="shared" si="58"/>
        <v>0</v>
      </c>
      <c r="I702" s="405">
        <f t="shared" si="59"/>
        <v>0</v>
      </c>
      <c r="J702" s="404">
        <f t="shared" si="60"/>
        <v>0</v>
      </c>
      <c r="K702" s="404">
        <f t="shared" si="61"/>
        <v>0</v>
      </c>
      <c r="L702" s="404">
        <f t="shared" si="62"/>
        <v>0</v>
      </c>
    </row>
    <row r="703" spans="2:12" ht="18">
      <c r="B703" s="391">
        <v>202</v>
      </c>
      <c r="C703" s="392" t="s">
        <v>185</v>
      </c>
      <c r="D703" s="393" t="s">
        <v>130</v>
      </c>
      <c r="E703" s="394">
        <v>7.52</v>
      </c>
      <c r="F703" s="395">
        <v>41963</v>
      </c>
      <c r="G703" s="396">
        <v>1</v>
      </c>
      <c r="H703" s="397">
        <f t="shared" si="58"/>
        <v>7.52</v>
      </c>
      <c r="I703" s="397">
        <f t="shared" si="59"/>
        <v>0</v>
      </c>
      <c r="J703" s="396">
        <f t="shared" si="60"/>
        <v>0</v>
      </c>
      <c r="K703" s="396">
        <f t="shared" si="61"/>
        <v>0</v>
      </c>
      <c r="L703" s="396">
        <f t="shared" si="62"/>
        <v>0</v>
      </c>
    </row>
    <row r="704" spans="2:12" ht="18">
      <c r="B704" s="399">
        <v>201</v>
      </c>
      <c r="C704" s="400" t="s">
        <v>180</v>
      </c>
      <c r="D704" s="401" t="s">
        <v>132</v>
      </c>
      <c r="E704" s="402">
        <v>13.75</v>
      </c>
      <c r="F704" s="403">
        <v>41957</v>
      </c>
      <c r="G704" s="404">
        <v>0</v>
      </c>
      <c r="H704" s="405">
        <f t="shared" si="58"/>
        <v>0</v>
      </c>
      <c r="I704" s="405">
        <f t="shared" si="59"/>
        <v>13.75</v>
      </c>
      <c r="J704" s="404">
        <f t="shared" si="60"/>
        <v>0</v>
      </c>
      <c r="K704" s="404">
        <f t="shared" si="61"/>
        <v>0</v>
      </c>
      <c r="L704" s="404">
        <f t="shared" si="62"/>
        <v>0</v>
      </c>
    </row>
    <row r="705" spans="2:12" ht="36">
      <c r="B705" s="398">
        <v>200</v>
      </c>
      <c r="C705" s="392" t="s">
        <v>186</v>
      </c>
      <c r="D705" s="393" t="s">
        <v>142</v>
      </c>
      <c r="E705" s="394">
        <v>1.4870000000000001</v>
      </c>
      <c r="F705" s="395">
        <v>41957</v>
      </c>
      <c r="G705" s="396">
        <v>1</v>
      </c>
      <c r="H705" s="397">
        <f t="shared" si="58"/>
        <v>1.4870000000000001</v>
      </c>
      <c r="I705" s="397">
        <f t="shared" si="59"/>
        <v>0</v>
      </c>
      <c r="J705" s="396">
        <f t="shared" si="60"/>
        <v>0</v>
      </c>
      <c r="K705" s="396">
        <f t="shared" si="61"/>
        <v>0</v>
      </c>
      <c r="L705" s="396">
        <f t="shared" si="62"/>
        <v>0</v>
      </c>
    </row>
    <row r="706" spans="2:12" ht="18">
      <c r="B706" s="398">
        <v>199</v>
      </c>
      <c r="C706" s="392" t="s">
        <v>187</v>
      </c>
      <c r="D706" s="393" t="s">
        <v>130</v>
      </c>
      <c r="E706" s="394">
        <v>21.315000000000001</v>
      </c>
      <c r="F706" s="395">
        <v>41957</v>
      </c>
      <c r="G706" s="396">
        <v>1</v>
      </c>
      <c r="H706" s="397">
        <f t="shared" si="58"/>
        <v>21.315000000000001</v>
      </c>
      <c r="I706" s="397">
        <f t="shared" si="59"/>
        <v>0</v>
      </c>
      <c r="J706" s="396">
        <f t="shared" si="60"/>
        <v>0</v>
      </c>
      <c r="K706" s="396">
        <f t="shared" si="61"/>
        <v>0</v>
      </c>
      <c r="L706" s="396">
        <f t="shared" si="62"/>
        <v>0</v>
      </c>
    </row>
    <row r="707" spans="2:12" ht="18">
      <c r="B707" s="391">
        <v>198</v>
      </c>
      <c r="C707" s="392" t="s">
        <v>188</v>
      </c>
      <c r="D707" s="393" t="s">
        <v>130</v>
      </c>
      <c r="E707" s="394">
        <v>5.2830000000000004</v>
      </c>
      <c r="F707" s="395">
        <v>41957</v>
      </c>
      <c r="G707" s="396">
        <v>1</v>
      </c>
      <c r="H707" s="397">
        <f t="shared" si="58"/>
        <v>5.2830000000000004</v>
      </c>
      <c r="I707" s="397">
        <f t="shared" si="59"/>
        <v>0</v>
      </c>
      <c r="J707" s="396">
        <f t="shared" si="60"/>
        <v>0</v>
      </c>
      <c r="K707" s="396">
        <f t="shared" si="61"/>
        <v>0</v>
      </c>
      <c r="L707" s="396">
        <f t="shared" si="62"/>
        <v>0</v>
      </c>
    </row>
    <row r="708" spans="2:12" ht="36">
      <c r="B708" s="391">
        <v>197</v>
      </c>
      <c r="C708" s="392" t="s">
        <v>189</v>
      </c>
      <c r="D708" s="393" t="s">
        <v>130</v>
      </c>
      <c r="E708" s="394">
        <v>11.7</v>
      </c>
      <c r="F708" s="395">
        <v>41957</v>
      </c>
      <c r="G708" s="396">
        <v>1</v>
      </c>
      <c r="H708" s="397">
        <f t="shared" si="58"/>
        <v>11.7</v>
      </c>
      <c r="I708" s="397">
        <f t="shared" si="59"/>
        <v>0</v>
      </c>
      <c r="J708" s="396">
        <f t="shared" si="60"/>
        <v>0</v>
      </c>
      <c r="K708" s="396">
        <f t="shared" si="61"/>
        <v>0</v>
      </c>
      <c r="L708" s="396">
        <f t="shared" si="62"/>
        <v>0</v>
      </c>
    </row>
    <row r="709" spans="2:12" ht="18">
      <c r="B709" s="398">
        <v>196</v>
      </c>
      <c r="C709" s="392" t="s">
        <v>190</v>
      </c>
      <c r="D709" s="393" t="s">
        <v>130</v>
      </c>
      <c r="E709" s="394">
        <v>3.3879999999999999</v>
      </c>
      <c r="F709" s="395">
        <v>41950</v>
      </c>
      <c r="G709" s="396">
        <v>1</v>
      </c>
      <c r="H709" s="397">
        <f t="shared" ref="H709:H740" si="63">E709*G709</f>
        <v>3.3879999999999999</v>
      </c>
      <c r="I709" s="397">
        <f t="shared" ref="I709:I740" si="64">E709-H709</f>
        <v>0</v>
      </c>
      <c r="J709" s="396">
        <f t="shared" ref="J709:J740" si="65">OR(IF((D709="DG"),1,0),IF(D709="DG/FO",1,0),IF(D709="DG/FO/Linyit",1,0))*E709</f>
        <v>0</v>
      </c>
      <c r="K709" s="396">
        <f t="shared" ref="K709:K740" si="66">IF(D709="İTHAL KÖMÜR",1,0)*E709</f>
        <v>0</v>
      </c>
      <c r="L709" s="396">
        <f t="shared" ref="L709:L740" si="67">IF(D709="LİNYİT",1,0)*E709</f>
        <v>0</v>
      </c>
    </row>
    <row r="710" spans="2:12" ht="54">
      <c r="B710" s="398">
        <v>195</v>
      </c>
      <c r="C710" s="392" t="s">
        <v>191</v>
      </c>
      <c r="D710" s="393" t="s">
        <v>131</v>
      </c>
      <c r="E710" s="394">
        <v>9.73</v>
      </c>
      <c r="F710" s="395">
        <v>41944</v>
      </c>
      <c r="G710" s="396">
        <v>1</v>
      </c>
      <c r="H710" s="397">
        <f t="shared" si="63"/>
        <v>9.73</v>
      </c>
      <c r="I710" s="397">
        <f t="shared" si="64"/>
        <v>0</v>
      </c>
      <c r="J710" s="396">
        <f t="shared" si="65"/>
        <v>9.73</v>
      </c>
      <c r="K710" s="396">
        <f t="shared" si="66"/>
        <v>0</v>
      </c>
      <c r="L710" s="396">
        <f t="shared" si="67"/>
        <v>0</v>
      </c>
    </row>
    <row r="711" spans="2:12" ht="72">
      <c r="B711" s="391">
        <v>194</v>
      </c>
      <c r="C711" s="392" t="s">
        <v>192</v>
      </c>
      <c r="D711" s="393" t="s">
        <v>131</v>
      </c>
      <c r="E711" s="394">
        <v>2</v>
      </c>
      <c r="F711" s="395">
        <v>41943</v>
      </c>
      <c r="G711" s="396">
        <v>1</v>
      </c>
      <c r="H711" s="397">
        <f t="shared" si="63"/>
        <v>2</v>
      </c>
      <c r="I711" s="397">
        <f t="shared" si="64"/>
        <v>0</v>
      </c>
      <c r="J711" s="396">
        <f t="shared" si="65"/>
        <v>2</v>
      </c>
      <c r="K711" s="396">
        <f t="shared" si="66"/>
        <v>0</v>
      </c>
      <c r="L711" s="396">
        <f t="shared" si="67"/>
        <v>0</v>
      </c>
    </row>
    <row r="712" spans="2:12" ht="54">
      <c r="B712" s="391">
        <v>193</v>
      </c>
      <c r="C712" s="392" t="s">
        <v>193</v>
      </c>
      <c r="D712" s="393" t="s">
        <v>142</v>
      </c>
      <c r="E712" s="407">
        <v>0.79359999999999997</v>
      </c>
      <c r="F712" s="395">
        <v>41943</v>
      </c>
      <c r="G712" s="396">
        <v>1</v>
      </c>
      <c r="H712" s="397">
        <f t="shared" si="63"/>
        <v>0.79359999999999997</v>
      </c>
      <c r="I712" s="397">
        <f t="shared" si="64"/>
        <v>0</v>
      </c>
      <c r="J712" s="396">
        <f t="shared" si="65"/>
        <v>0</v>
      </c>
      <c r="K712" s="396">
        <f t="shared" si="66"/>
        <v>0</v>
      </c>
      <c r="L712" s="396">
        <f t="shared" si="67"/>
        <v>0</v>
      </c>
    </row>
    <row r="713" spans="2:12" ht="54">
      <c r="B713" s="398">
        <v>192</v>
      </c>
      <c r="C713" s="392" t="s">
        <v>194</v>
      </c>
      <c r="D713" s="393" t="s">
        <v>134</v>
      </c>
      <c r="E713" s="394">
        <v>1.2</v>
      </c>
      <c r="F713" s="395">
        <v>41941</v>
      </c>
      <c r="G713" s="396">
        <v>1</v>
      </c>
      <c r="H713" s="397">
        <f t="shared" si="63"/>
        <v>1.2</v>
      </c>
      <c r="I713" s="397">
        <f t="shared" si="64"/>
        <v>0</v>
      </c>
      <c r="J713" s="396">
        <f t="shared" si="65"/>
        <v>0</v>
      </c>
      <c r="K713" s="396">
        <f t="shared" si="66"/>
        <v>0</v>
      </c>
      <c r="L713" s="396">
        <f t="shared" si="67"/>
        <v>0</v>
      </c>
    </row>
    <row r="714" spans="2:12" ht="36">
      <c r="B714" s="398">
        <v>191</v>
      </c>
      <c r="C714" s="392" t="s">
        <v>195</v>
      </c>
      <c r="D714" s="393" t="s">
        <v>130</v>
      </c>
      <c r="E714" s="394">
        <v>5</v>
      </c>
      <c r="F714" s="395">
        <v>41941</v>
      </c>
      <c r="G714" s="396">
        <v>1</v>
      </c>
      <c r="H714" s="397">
        <f t="shared" si="63"/>
        <v>5</v>
      </c>
      <c r="I714" s="397">
        <f t="shared" si="64"/>
        <v>0</v>
      </c>
      <c r="J714" s="396">
        <f t="shared" si="65"/>
        <v>0</v>
      </c>
      <c r="K714" s="396">
        <f t="shared" si="66"/>
        <v>0</v>
      </c>
      <c r="L714" s="396">
        <f t="shared" si="67"/>
        <v>0</v>
      </c>
    </row>
    <row r="715" spans="2:12" ht="36">
      <c r="B715" s="391">
        <v>190</v>
      </c>
      <c r="C715" s="392" t="s">
        <v>196</v>
      </c>
      <c r="D715" s="393" t="s">
        <v>130</v>
      </c>
      <c r="E715" s="394">
        <v>11.48</v>
      </c>
      <c r="F715" s="395">
        <v>41940</v>
      </c>
      <c r="G715" s="396">
        <v>1</v>
      </c>
      <c r="H715" s="397">
        <f t="shared" si="63"/>
        <v>11.48</v>
      </c>
      <c r="I715" s="397">
        <f t="shared" si="64"/>
        <v>0</v>
      </c>
      <c r="J715" s="396">
        <f t="shared" si="65"/>
        <v>0</v>
      </c>
      <c r="K715" s="396">
        <f t="shared" si="66"/>
        <v>0</v>
      </c>
      <c r="L715" s="396">
        <f t="shared" si="67"/>
        <v>0</v>
      </c>
    </row>
    <row r="716" spans="2:12" ht="18">
      <c r="B716" s="399">
        <v>189</v>
      </c>
      <c r="C716" s="400" t="s">
        <v>180</v>
      </c>
      <c r="D716" s="401" t="s">
        <v>132</v>
      </c>
      <c r="E716" s="402">
        <v>8.25</v>
      </c>
      <c r="F716" s="403">
        <v>41938</v>
      </c>
      <c r="G716" s="404">
        <v>0</v>
      </c>
      <c r="H716" s="405">
        <f t="shared" si="63"/>
        <v>0</v>
      </c>
      <c r="I716" s="405">
        <f t="shared" si="64"/>
        <v>8.25</v>
      </c>
      <c r="J716" s="404">
        <f t="shared" si="65"/>
        <v>0</v>
      </c>
      <c r="K716" s="404">
        <f t="shared" si="66"/>
        <v>0</v>
      </c>
      <c r="L716" s="404">
        <f t="shared" si="67"/>
        <v>0</v>
      </c>
    </row>
    <row r="717" spans="2:12" ht="36">
      <c r="B717" s="398">
        <v>188</v>
      </c>
      <c r="C717" s="392" t="s">
        <v>197</v>
      </c>
      <c r="D717" s="393" t="s">
        <v>142</v>
      </c>
      <c r="E717" s="394">
        <v>2.1339999999999999</v>
      </c>
      <c r="F717" s="395">
        <v>41937</v>
      </c>
      <c r="G717" s="396">
        <v>1</v>
      </c>
      <c r="H717" s="397">
        <f t="shared" si="63"/>
        <v>2.1339999999999999</v>
      </c>
      <c r="I717" s="397">
        <f t="shared" si="64"/>
        <v>0</v>
      </c>
      <c r="J717" s="396">
        <f t="shared" si="65"/>
        <v>0</v>
      </c>
      <c r="K717" s="396">
        <f t="shared" si="66"/>
        <v>0</v>
      </c>
      <c r="L717" s="396">
        <f t="shared" si="67"/>
        <v>0</v>
      </c>
    </row>
    <row r="718" spans="2:12" ht="54">
      <c r="B718" s="398">
        <v>187</v>
      </c>
      <c r="C718" s="392" t="s">
        <v>198</v>
      </c>
      <c r="D718" s="393" t="s">
        <v>131</v>
      </c>
      <c r="E718" s="394">
        <v>15</v>
      </c>
      <c r="F718" s="395">
        <v>41937</v>
      </c>
      <c r="G718" s="396">
        <v>1</v>
      </c>
      <c r="H718" s="397">
        <f t="shared" si="63"/>
        <v>15</v>
      </c>
      <c r="I718" s="397">
        <f t="shared" si="64"/>
        <v>0</v>
      </c>
      <c r="J718" s="396">
        <f t="shared" si="65"/>
        <v>15</v>
      </c>
      <c r="K718" s="396">
        <f t="shared" si="66"/>
        <v>0</v>
      </c>
      <c r="L718" s="396">
        <f t="shared" si="67"/>
        <v>0</v>
      </c>
    </row>
    <row r="719" spans="2:12" ht="18">
      <c r="B719" s="391">
        <v>186</v>
      </c>
      <c r="C719" s="392" t="s">
        <v>199</v>
      </c>
      <c r="D719" s="393" t="s">
        <v>142</v>
      </c>
      <c r="E719" s="394">
        <v>0.83399999999999996</v>
      </c>
      <c r="F719" s="395">
        <v>41936</v>
      </c>
      <c r="G719" s="396">
        <v>1</v>
      </c>
      <c r="H719" s="397">
        <f t="shared" si="63"/>
        <v>0.83399999999999996</v>
      </c>
      <c r="I719" s="397">
        <f t="shared" si="64"/>
        <v>0</v>
      </c>
      <c r="J719" s="396">
        <f t="shared" si="65"/>
        <v>0</v>
      </c>
      <c r="K719" s="396">
        <f t="shared" si="66"/>
        <v>0</v>
      </c>
      <c r="L719" s="396">
        <f t="shared" si="67"/>
        <v>0</v>
      </c>
    </row>
    <row r="720" spans="2:12" ht="36">
      <c r="B720" s="391">
        <v>185</v>
      </c>
      <c r="C720" s="392" t="s">
        <v>200</v>
      </c>
      <c r="D720" s="393" t="s">
        <v>142</v>
      </c>
      <c r="E720" s="394">
        <v>1.8129999999999999</v>
      </c>
      <c r="F720" s="395">
        <v>41936</v>
      </c>
      <c r="G720" s="396">
        <v>1</v>
      </c>
      <c r="H720" s="397">
        <f t="shared" si="63"/>
        <v>1.8129999999999999</v>
      </c>
      <c r="I720" s="397">
        <f t="shared" si="64"/>
        <v>0</v>
      </c>
      <c r="J720" s="396">
        <f t="shared" si="65"/>
        <v>0</v>
      </c>
      <c r="K720" s="396">
        <f t="shared" si="66"/>
        <v>0</v>
      </c>
      <c r="L720" s="396">
        <f t="shared" si="67"/>
        <v>0</v>
      </c>
    </row>
    <row r="721" spans="2:12" ht="18">
      <c r="B721" s="398">
        <v>184</v>
      </c>
      <c r="C721" s="392" t="s">
        <v>201</v>
      </c>
      <c r="D721" s="393" t="s">
        <v>130</v>
      </c>
      <c r="E721" s="394">
        <v>3.6949999999999998</v>
      </c>
      <c r="F721" s="395">
        <v>41936</v>
      </c>
      <c r="G721" s="396">
        <v>1</v>
      </c>
      <c r="H721" s="397">
        <f t="shared" si="63"/>
        <v>3.6949999999999998</v>
      </c>
      <c r="I721" s="397">
        <f t="shared" si="64"/>
        <v>0</v>
      </c>
      <c r="J721" s="396">
        <f t="shared" si="65"/>
        <v>0</v>
      </c>
      <c r="K721" s="396">
        <f t="shared" si="66"/>
        <v>0</v>
      </c>
      <c r="L721" s="396">
        <f t="shared" si="67"/>
        <v>0</v>
      </c>
    </row>
    <row r="722" spans="2:12" ht="36">
      <c r="B722" s="398">
        <v>183</v>
      </c>
      <c r="C722" s="392" t="s">
        <v>202</v>
      </c>
      <c r="D722" s="393" t="s">
        <v>142</v>
      </c>
      <c r="E722" s="394">
        <v>0.8</v>
      </c>
      <c r="F722" s="395">
        <v>41936</v>
      </c>
      <c r="G722" s="396">
        <v>1</v>
      </c>
      <c r="H722" s="397">
        <f t="shared" si="63"/>
        <v>0.8</v>
      </c>
      <c r="I722" s="397">
        <f t="shared" si="64"/>
        <v>0</v>
      </c>
      <c r="J722" s="396">
        <f t="shared" si="65"/>
        <v>0</v>
      </c>
      <c r="K722" s="396">
        <f t="shared" si="66"/>
        <v>0</v>
      </c>
      <c r="L722" s="396">
        <f t="shared" si="67"/>
        <v>0</v>
      </c>
    </row>
    <row r="723" spans="2:12" ht="54">
      <c r="B723" s="391">
        <v>182</v>
      </c>
      <c r="C723" s="392" t="s">
        <v>203</v>
      </c>
      <c r="D723" s="393" t="s">
        <v>131</v>
      </c>
      <c r="E723" s="394">
        <v>1</v>
      </c>
      <c r="F723" s="395">
        <v>41936</v>
      </c>
      <c r="G723" s="396">
        <v>1</v>
      </c>
      <c r="H723" s="397">
        <f t="shared" si="63"/>
        <v>1</v>
      </c>
      <c r="I723" s="397">
        <f t="shared" si="64"/>
        <v>0</v>
      </c>
      <c r="J723" s="396">
        <f t="shared" si="65"/>
        <v>1</v>
      </c>
      <c r="K723" s="396">
        <f t="shared" si="66"/>
        <v>0</v>
      </c>
      <c r="L723" s="396">
        <f t="shared" si="67"/>
        <v>0</v>
      </c>
    </row>
    <row r="724" spans="2:12" ht="54">
      <c r="B724" s="391">
        <v>181</v>
      </c>
      <c r="C724" s="392" t="s">
        <v>204</v>
      </c>
      <c r="D724" s="393" t="s">
        <v>142</v>
      </c>
      <c r="E724" s="394">
        <v>4.0170000000000003</v>
      </c>
      <c r="F724" s="395">
        <v>41936</v>
      </c>
      <c r="G724" s="396">
        <v>1</v>
      </c>
      <c r="H724" s="397">
        <f t="shared" si="63"/>
        <v>4.0170000000000003</v>
      </c>
      <c r="I724" s="397">
        <f t="shared" si="64"/>
        <v>0</v>
      </c>
      <c r="J724" s="396">
        <f t="shared" si="65"/>
        <v>0</v>
      </c>
      <c r="K724" s="396">
        <f t="shared" si="66"/>
        <v>0</v>
      </c>
      <c r="L724" s="396">
        <f t="shared" si="67"/>
        <v>0</v>
      </c>
    </row>
    <row r="725" spans="2:12" ht="18">
      <c r="B725" s="398">
        <v>180</v>
      </c>
      <c r="C725" s="392" t="s">
        <v>205</v>
      </c>
      <c r="D725" s="393" t="s">
        <v>132</v>
      </c>
      <c r="E725" s="394">
        <v>10</v>
      </c>
      <c r="F725" s="395">
        <v>41934</v>
      </c>
      <c r="G725" s="396">
        <v>1</v>
      </c>
      <c r="H725" s="397">
        <f t="shared" si="63"/>
        <v>10</v>
      </c>
      <c r="I725" s="397">
        <f t="shared" si="64"/>
        <v>0</v>
      </c>
      <c r="J725" s="396">
        <f t="shared" si="65"/>
        <v>0</v>
      </c>
      <c r="K725" s="396">
        <f t="shared" si="66"/>
        <v>0</v>
      </c>
      <c r="L725" s="396">
        <f t="shared" si="67"/>
        <v>0</v>
      </c>
    </row>
    <row r="726" spans="2:12" ht="36">
      <c r="B726" s="398">
        <v>179</v>
      </c>
      <c r="C726" s="392" t="s">
        <v>181</v>
      </c>
      <c r="D726" s="393" t="s">
        <v>131</v>
      </c>
      <c r="E726" s="394">
        <v>401.33</v>
      </c>
      <c r="F726" s="395">
        <v>41934</v>
      </c>
      <c r="G726" s="396">
        <v>1</v>
      </c>
      <c r="H726" s="397">
        <f t="shared" si="63"/>
        <v>401.33</v>
      </c>
      <c r="I726" s="397">
        <f t="shared" si="64"/>
        <v>0</v>
      </c>
      <c r="J726" s="396">
        <f t="shared" si="65"/>
        <v>401.33</v>
      </c>
      <c r="K726" s="396">
        <f t="shared" si="66"/>
        <v>0</v>
      </c>
      <c r="L726" s="396">
        <f t="shared" si="67"/>
        <v>0</v>
      </c>
    </row>
    <row r="727" spans="2:12" ht="36">
      <c r="B727" s="391">
        <v>178</v>
      </c>
      <c r="C727" s="392" t="s">
        <v>206</v>
      </c>
      <c r="D727" s="393" t="s">
        <v>142</v>
      </c>
      <c r="E727" s="394">
        <v>1</v>
      </c>
      <c r="F727" s="395">
        <v>41932</v>
      </c>
      <c r="G727" s="396">
        <v>1</v>
      </c>
      <c r="H727" s="397">
        <f t="shared" si="63"/>
        <v>1</v>
      </c>
      <c r="I727" s="397">
        <f t="shared" si="64"/>
        <v>0</v>
      </c>
      <c r="J727" s="396">
        <f t="shared" si="65"/>
        <v>0</v>
      </c>
      <c r="K727" s="396">
        <f t="shared" si="66"/>
        <v>0</v>
      </c>
      <c r="L727" s="396">
        <f t="shared" si="67"/>
        <v>0</v>
      </c>
    </row>
    <row r="728" spans="2:12" ht="72">
      <c r="B728" s="391">
        <v>177</v>
      </c>
      <c r="C728" s="392" t="s">
        <v>208</v>
      </c>
      <c r="D728" s="393" t="s">
        <v>207</v>
      </c>
      <c r="E728" s="394">
        <v>4.75</v>
      </c>
      <c r="F728" s="395">
        <v>41929</v>
      </c>
      <c r="G728" s="396">
        <v>1</v>
      </c>
      <c r="H728" s="397">
        <f t="shared" si="63"/>
        <v>4.75</v>
      </c>
      <c r="I728" s="397">
        <f t="shared" si="64"/>
        <v>0</v>
      </c>
      <c r="J728" s="396">
        <f>OR(IF((D728="DG"),1,0),IF(D728="DG/FO",1,0),IF(D728="DG/FO/Linyit",1,0),IF(D728="DG/FO/LİNYİT",1,0))*E728</f>
        <v>4.75</v>
      </c>
      <c r="K728" s="396">
        <f t="shared" si="66"/>
        <v>0</v>
      </c>
      <c r="L728" s="396">
        <f t="shared" si="67"/>
        <v>0</v>
      </c>
    </row>
    <row r="729" spans="2:12" ht="18">
      <c r="B729" s="398">
        <v>176</v>
      </c>
      <c r="C729" s="392" t="s">
        <v>209</v>
      </c>
      <c r="D729" s="393" t="s">
        <v>130</v>
      </c>
      <c r="E729" s="394">
        <v>3.9780000000000002</v>
      </c>
      <c r="F729" s="395">
        <v>41929</v>
      </c>
      <c r="G729" s="396">
        <v>1</v>
      </c>
      <c r="H729" s="397">
        <f t="shared" si="63"/>
        <v>3.9780000000000002</v>
      </c>
      <c r="I729" s="397">
        <f t="shared" si="64"/>
        <v>0</v>
      </c>
      <c r="J729" s="396">
        <f t="shared" si="65"/>
        <v>0</v>
      </c>
      <c r="K729" s="396">
        <f t="shared" si="66"/>
        <v>0</v>
      </c>
      <c r="L729" s="396">
        <f t="shared" si="67"/>
        <v>0</v>
      </c>
    </row>
    <row r="730" spans="2:12" ht="36">
      <c r="B730" s="398">
        <v>175</v>
      </c>
      <c r="C730" s="392" t="s">
        <v>210</v>
      </c>
      <c r="D730" s="393" t="s">
        <v>137</v>
      </c>
      <c r="E730" s="394">
        <v>24</v>
      </c>
      <c r="F730" s="395">
        <v>41928</v>
      </c>
      <c r="G730" s="396">
        <v>1</v>
      </c>
      <c r="H730" s="397">
        <f t="shared" si="63"/>
        <v>24</v>
      </c>
      <c r="I730" s="397">
        <f t="shared" si="64"/>
        <v>0</v>
      </c>
      <c r="J730" s="396">
        <f t="shared" si="65"/>
        <v>0</v>
      </c>
      <c r="K730" s="396">
        <f t="shared" si="66"/>
        <v>0</v>
      </c>
      <c r="L730" s="396">
        <f t="shared" si="67"/>
        <v>0</v>
      </c>
    </row>
    <row r="731" spans="2:12" ht="36">
      <c r="B731" s="391">
        <v>174</v>
      </c>
      <c r="C731" s="392" t="s">
        <v>211</v>
      </c>
      <c r="D731" s="393" t="s">
        <v>130</v>
      </c>
      <c r="E731" s="394">
        <v>2.36</v>
      </c>
      <c r="F731" s="395">
        <v>41927</v>
      </c>
      <c r="G731" s="396">
        <v>1</v>
      </c>
      <c r="H731" s="397">
        <f t="shared" si="63"/>
        <v>2.36</v>
      </c>
      <c r="I731" s="397">
        <f t="shared" si="64"/>
        <v>0</v>
      </c>
      <c r="J731" s="396">
        <f t="shared" si="65"/>
        <v>0</v>
      </c>
      <c r="K731" s="396">
        <f t="shared" si="66"/>
        <v>0</v>
      </c>
      <c r="L731" s="396">
        <f t="shared" si="67"/>
        <v>0</v>
      </c>
    </row>
    <row r="732" spans="2:12" ht="18">
      <c r="B732" s="399">
        <v>173</v>
      </c>
      <c r="C732" s="400" t="s">
        <v>114</v>
      </c>
      <c r="D732" s="401" t="s">
        <v>132</v>
      </c>
      <c r="E732" s="402">
        <v>2.4</v>
      </c>
      <c r="F732" s="403">
        <v>41922</v>
      </c>
      <c r="G732" s="404">
        <v>0</v>
      </c>
      <c r="H732" s="405">
        <f t="shared" si="63"/>
        <v>0</v>
      </c>
      <c r="I732" s="405">
        <f t="shared" si="64"/>
        <v>2.4</v>
      </c>
      <c r="J732" s="404">
        <f t="shared" si="65"/>
        <v>0</v>
      </c>
      <c r="K732" s="404">
        <f t="shared" si="66"/>
        <v>0</v>
      </c>
      <c r="L732" s="404">
        <f t="shared" si="67"/>
        <v>0</v>
      </c>
    </row>
    <row r="733" spans="2:12" ht="36">
      <c r="B733" s="398">
        <v>172</v>
      </c>
      <c r="C733" s="392" t="s">
        <v>212</v>
      </c>
      <c r="D733" s="393" t="s">
        <v>130</v>
      </c>
      <c r="E733" s="394">
        <v>4.0599999999999996</v>
      </c>
      <c r="F733" s="395">
        <v>41913</v>
      </c>
      <c r="G733" s="396">
        <v>1</v>
      </c>
      <c r="H733" s="397">
        <f t="shared" si="63"/>
        <v>4.0599999999999996</v>
      </c>
      <c r="I733" s="397">
        <f t="shared" si="64"/>
        <v>0</v>
      </c>
      <c r="J733" s="396">
        <f t="shared" si="65"/>
        <v>0</v>
      </c>
      <c r="K733" s="396">
        <f t="shared" si="66"/>
        <v>0</v>
      </c>
      <c r="L733" s="396">
        <f t="shared" si="67"/>
        <v>0</v>
      </c>
    </row>
    <row r="734" spans="2:12" ht="36">
      <c r="B734" s="398">
        <v>171</v>
      </c>
      <c r="C734" s="392" t="s">
        <v>213</v>
      </c>
      <c r="D734" s="393" t="s">
        <v>137</v>
      </c>
      <c r="E734" s="394">
        <v>22.5</v>
      </c>
      <c r="F734" s="395">
        <v>41913</v>
      </c>
      <c r="G734" s="396">
        <v>1</v>
      </c>
      <c r="H734" s="397">
        <f t="shared" si="63"/>
        <v>22.5</v>
      </c>
      <c r="I734" s="397">
        <f t="shared" si="64"/>
        <v>0</v>
      </c>
      <c r="J734" s="396">
        <f t="shared" si="65"/>
        <v>0</v>
      </c>
      <c r="K734" s="396">
        <f t="shared" si="66"/>
        <v>0</v>
      </c>
      <c r="L734" s="396">
        <f t="shared" si="67"/>
        <v>0</v>
      </c>
    </row>
    <row r="735" spans="2:12" ht="18">
      <c r="B735" s="391">
        <v>170</v>
      </c>
      <c r="C735" s="392" t="s">
        <v>214</v>
      </c>
      <c r="D735" s="393" t="s">
        <v>132</v>
      </c>
      <c r="E735" s="394">
        <v>10</v>
      </c>
      <c r="F735" s="395">
        <v>41912</v>
      </c>
      <c r="G735" s="396">
        <v>1</v>
      </c>
      <c r="H735" s="397">
        <f t="shared" si="63"/>
        <v>10</v>
      </c>
      <c r="I735" s="397">
        <f t="shared" si="64"/>
        <v>0</v>
      </c>
      <c r="J735" s="396">
        <f t="shared" si="65"/>
        <v>0</v>
      </c>
      <c r="K735" s="396">
        <f t="shared" si="66"/>
        <v>0</v>
      </c>
      <c r="L735" s="396">
        <f t="shared" si="67"/>
        <v>0</v>
      </c>
    </row>
    <row r="736" spans="2:12" ht="36">
      <c r="B736" s="391">
        <v>169</v>
      </c>
      <c r="C736" s="392" t="s">
        <v>215</v>
      </c>
      <c r="D736" s="393" t="s">
        <v>142</v>
      </c>
      <c r="E736" s="394">
        <v>6</v>
      </c>
      <c r="F736" s="395">
        <v>41912</v>
      </c>
      <c r="G736" s="396">
        <v>1</v>
      </c>
      <c r="H736" s="397">
        <f t="shared" si="63"/>
        <v>6</v>
      </c>
      <c r="I736" s="397">
        <f t="shared" si="64"/>
        <v>0</v>
      </c>
      <c r="J736" s="396">
        <f t="shared" si="65"/>
        <v>0</v>
      </c>
      <c r="K736" s="396">
        <f t="shared" si="66"/>
        <v>0</v>
      </c>
      <c r="L736" s="396">
        <f t="shared" si="67"/>
        <v>0</v>
      </c>
    </row>
    <row r="737" spans="2:12" ht="54">
      <c r="B737" s="399">
        <v>168</v>
      </c>
      <c r="C737" s="400" t="s">
        <v>216</v>
      </c>
      <c r="D737" s="401" t="s">
        <v>134</v>
      </c>
      <c r="E737" s="402">
        <v>2.4</v>
      </c>
      <c r="F737" s="403">
        <v>41909</v>
      </c>
      <c r="G737" s="404">
        <v>0</v>
      </c>
      <c r="H737" s="405">
        <f t="shared" si="63"/>
        <v>0</v>
      </c>
      <c r="I737" s="405">
        <f t="shared" si="64"/>
        <v>2.4</v>
      </c>
      <c r="J737" s="404">
        <f t="shared" si="65"/>
        <v>0</v>
      </c>
      <c r="K737" s="404">
        <f t="shared" si="66"/>
        <v>0</v>
      </c>
      <c r="L737" s="404">
        <f t="shared" si="67"/>
        <v>0</v>
      </c>
    </row>
    <row r="738" spans="2:12" ht="18">
      <c r="B738" s="398">
        <v>167</v>
      </c>
      <c r="C738" s="392" t="s">
        <v>217</v>
      </c>
      <c r="D738" s="408" t="s">
        <v>131</v>
      </c>
      <c r="E738" s="394">
        <v>1.1890000000000001</v>
      </c>
      <c r="F738" s="395">
        <v>41908</v>
      </c>
      <c r="G738" s="396">
        <v>1</v>
      </c>
      <c r="H738" s="397">
        <f t="shared" si="63"/>
        <v>1.1890000000000001</v>
      </c>
      <c r="I738" s="397">
        <f t="shared" si="64"/>
        <v>0</v>
      </c>
      <c r="J738" s="396">
        <f t="shared" si="65"/>
        <v>1.1890000000000001</v>
      </c>
      <c r="K738" s="396">
        <f t="shared" si="66"/>
        <v>0</v>
      </c>
      <c r="L738" s="396">
        <f t="shared" si="67"/>
        <v>0</v>
      </c>
    </row>
    <row r="739" spans="2:12" ht="18">
      <c r="B739" s="399">
        <v>166</v>
      </c>
      <c r="C739" s="400" t="s">
        <v>218</v>
      </c>
      <c r="D739" s="409" t="s">
        <v>132</v>
      </c>
      <c r="E739" s="402">
        <v>13.7</v>
      </c>
      <c r="F739" s="403">
        <v>41907</v>
      </c>
      <c r="G739" s="404">
        <v>0</v>
      </c>
      <c r="H739" s="405">
        <f t="shared" si="63"/>
        <v>0</v>
      </c>
      <c r="I739" s="405">
        <f t="shared" si="64"/>
        <v>13.7</v>
      </c>
      <c r="J739" s="404">
        <f t="shared" si="65"/>
        <v>0</v>
      </c>
      <c r="K739" s="404">
        <f t="shared" si="66"/>
        <v>0</v>
      </c>
      <c r="L739" s="404">
        <f t="shared" si="67"/>
        <v>0</v>
      </c>
    </row>
    <row r="740" spans="2:12" ht="18">
      <c r="B740" s="391">
        <v>165</v>
      </c>
      <c r="C740" s="392" t="s">
        <v>219</v>
      </c>
      <c r="D740" s="408" t="s">
        <v>137</v>
      </c>
      <c r="E740" s="394">
        <v>24</v>
      </c>
      <c r="F740" s="395">
        <v>41907</v>
      </c>
      <c r="G740" s="396">
        <v>1</v>
      </c>
      <c r="H740" s="397">
        <f t="shared" si="63"/>
        <v>24</v>
      </c>
      <c r="I740" s="397">
        <f t="shared" si="64"/>
        <v>0</v>
      </c>
      <c r="J740" s="396">
        <f t="shared" si="65"/>
        <v>0</v>
      </c>
      <c r="K740" s="396">
        <f t="shared" si="66"/>
        <v>0</v>
      </c>
      <c r="L740" s="396">
        <f t="shared" si="67"/>
        <v>0</v>
      </c>
    </row>
    <row r="741" spans="2:12" ht="18">
      <c r="B741" s="398">
        <v>164</v>
      </c>
      <c r="C741" s="392" t="s">
        <v>220</v>
      </c>
      <c r="D741" s="408" t="s">
        <v>130</v>
      </c>
      <c r="E741" s="394">
        <v>28.96</v>
      </c>
      <c r="F741" s="395">
        <v>41901</v>
      </c>
      <c r="G741" s="396">
        <v>1</v>
      </c>
      <c r="H741" s="397">
        <f t="shared" ref="H741:H772" si="68">E741*G741</f>
        <v>28.96</v>
      </c>
      <c r="I741" s="397">
        <f t="shared" ref="I741:I772" si="69">E741-H741</f>
        <v>0</v>
      </c>
      <c r="J741" s="396">
        <f t="shared" ref="J741:J772" si="70">OR(IF((D741="DG"),1,0),IF(D741="DG/FO",1,0),IF(D741="DG/FO/Linyit",1,0))*E741</f>
        <v>0</v>
      </c>
      <c r="K741" s="396">
        <f t="shared" ref="K741:K772" si="71">IF(D741="İTHAL KÖMÜR",1,0)*E741</f>
        <v>0</v>
      </c>
      <c r="L741" s="396">
        <f t="shared" ref="L741:L772" si="72">IF(D741="LİNYİT",1,0)*E741</f>
        <v>0</v>
      </c>
    </row>
    <row r="742" spans="2:12" ht="18">
      <c r="B742" s="398">
        <v>163</v>
      </c>
      <c r="C742" s="392" t="s">
        <v>221</v>
      </c>
      <c r="D742" s="408" t="s">
        <v>132</v>
      </c>
      <c r="E742" s="394">
        <v>2</v>
      </c>
      <c r="F742" s="395">
        <v>41901</v>
      </c>
      <c r="G742" s="396">
        <v>1</v>
      </c>
      <c r="H742" s="397">
        <f t="shared" si="68"/>
        <v>2</v>
      </c>
      <c r="I742" s="397">
        <f t="shared" si="69"/>
        <v>0</v>
      </c>
      <c r="J742" s="396">
        <f t="shared" si="70"/>
        <v>0</v>
      </c>
      <c r="K742" s="396">
        <f t="shared" si="71"/>
        <v>0</v>
      </c>
      <c r="L742" s="396">
        <f t="shared" si="72"/>
        <v>0</v>
      </c>
    </row>
    <row r="743" spans="2:12" ht="36">
      <c r="B743" s="391">
        <v>162</v>
      </c>
      <c r="C743" s="392" t="s">
        <v>222</v>
      </c>
      <c r="D743" s="408" t="s">
        <v>130</v>
      </c>
      <c r="E743" s="394">
        <v>2.976</v>
      </c>
      <c r="F743" s="395">
        <v>41901</v>
      </c>
      <c r="G743" s="396">
        <v>1</v>
      </c>
      <c r="H743" s="397">
        <f t="shared" si="68"/>
        <v>2.976</v>
      </c>
      <c r="I743" s="397">
        <f t="shared" si="69"/>
        <v>0</v>
      </c>
      <c r="J743" s="396">
        <f t="shared" si="70"/>
        <v>0</v>
      </c>
      <c r="K743" s="396">
        <f t="shared" si="71"/>
        <v>0</v>
      </c>
      <c r="L743" s="396">
        <f t="shared" si="72"/>
        <v>0</v>
      </c>
    </row>
    <row r="744" spans="2:12" ht="18">
      <c r="B744" s="391">
        <v>161</v>
      </c>
      <c r="C744" s="392" t="s">
        <v>223</v>
      </c>
      <c r="D744" s="408" t="s">
        <v>130</v>
      </c>
      <c r="E744" s="394">
        <v>28.277999999999999</v>
      </c>
      <c r="F744" s="395">
        <v>41901</v>
      </c>
      <c r="G744" s="396">
        <v>1</v>
      </c>
      <c r="H744" s="397">
        <f t="shared" si="68"/>
        <v>28.277999999999999</v>
      </c>
      <c r="I744" s="397">
        <f t="shared" si="69"/>
        <v>0</v>
      </c>
      <c r="J744" s="396">
        <f t="shared" si="70"/>
        <v>0</v>
      </c>
      <c r="K744" s="396">
        <f t="shared" si="71"/>
        <v>0</v>
      </c>
      <c r="L744" s="396">
        <f t="shared" si="72"/>
        <v>0</v>
      </c>
    </row>
    <row r="745" spans="2:12" ht="18">
      <c r="B745" s="398">
        <v>160</v>
      </c>
      <c r="C745" s="392" t="s">
        <v>224</v>
      </c>
      <c r="D745" s="408" t="s">
        <v>132</v>
      </c>
      <c r="E745" s="394">
        <v>7.5</v>
      </c>
      <c r="F745" s="395">
        <v>41901</v>
      </c>
      <c r="G745" s="396">
        <v>1</v>
      </c>
      <c r="H745" s="397">
        <f t="shared" si="68"/>
        <v>7.5</v>
      </c>
      <c r="I745" s="397">
        <f t="shared" si="69"/>
        <v>0</v>
      </c>
      <c r="J745" s="396">
        <f t="shared" si="70"/>
        <v>0</v>
      </c>
      <c r="K745" s="396">
        <f t="shared" si="71"/>
        <v>0</v>
      </c>
      <c r="L745" s="396">
        <f t="shared" si="72"/>
        <v>0</v>
      </c>
    </row>
    <row r="746" spans="2:12" ht="18">
      <c r="B746" s="398">
        <v>159</v>
      </c>
      <c r="C746" s="392" t="s">
        <v>225</v>
      </c>
      <c r="D746" s="408" t="s">
        <v>130</v>
      </c>
      <c r="E746" s="394">
        <v>5.42</v>
      </c>
      <c r="F746" s="395">
        <v>41901</v>
      </c>
      <c r="G746" s="396">
        <v>1</v>
      </c>
      <c r="H746" s="397">
        <f t="shared" si="68"/>
        <v>5.42</v>
      </c>
      <c r="I746" s="397">
        <f t="shared" si="69"/>
        <v>0</v>
      </c>
      <c r="J746" s="396">
        <f t="shared" si="70"/>
        <v>0</v>
      </c>
      <c r="K746" s="396">
        <f t="shared" si="71"/>
        <v>0</v>
      </c>
      <c r="L746" s="396">
        <f t="shared" si="72"/>
        <v>0</v>
      </c>
    </row>
    <row r="747" spans="2:12" ht="18">
      <c r="B747" s="391">
        <v>158</v>
      </c>
      <c r="C747" s="392" t="s">
        <v>226</v>
      </c>
      <c r="D747" s="408" t="s">
        <v>130</v>
      </c>
      <c r="E747" s="394">
        <v>46.5</v>
      </c>
      <c r="F747" s="395">
        <v>41901</v>
      </c>
      <c r="G747" s="396">
        <v>1</v>
      </c>
      <c r="H747" s="397">
        <f t="shared" si="68"/>
        <v>46.5</v>
      </c>
      <c r="I747" s="397">
        <f t="shared" si="69"/>
        <v>0</v>
      </c>
      <c r="J747" s="396">
        <f t="shared" si="70"/>
        <v>0</v>
      </c>
      <c r="K747" s="396">
        <f t="shared" si="71"/>
        <v>0</v>
      </c>
      <c r="L747" s="396">
        <f t="shared" si="72"/>
        <v>0</v>
      </c>
    </row>
    <row r="748" spans="2:12" ht="54">
      <c r="B748" s="391">
        <v>157</v>
      </c>
      <c r="C748" s="392" t="s">
        <v>227</v>
      </c>
      <c r="D748" s="408" t="s">
        <v>131</v>
      </c>
      <c r="E748" s="394">
        <v>15.04</v>
      </c>
      <c r="F748" s="395">
        <v>41894</v>
      </c>
      <c r="G748" s="396">
        <v>1</v>
      </c>
      <c r="H748" s="397">
        <f t="shared" si="68"/>
        <v>15.04</v>
      </c>
      <c r="I748" s="397">
        <f t="shared" si="69"/>
        <v>0</v>
      </c>
      <c r="J748" s="396">
        <f t="shared" si="70"/>
        <v>15.04</v>
      </c>
      <c r="K748" s="396">
        <f t="shared" si="71"/>
        <v>0</v>
      </c>
      <c r="L748" s="396">
        <f t="shared" si="72"/>
        <v>0</v>
      </c>
    </row>
    <row r="749" spans="2:12" ht="18">
      <c r="B749" s="399">
        <v>156</v>
      </c>
      <c r="C749" s="400" t="s">
        <v>228</v>
      </c>
      <c r="D749" s="409" t="s">
        <v>130</v>
      </c>
      <c r="E749" s="402">
        <v>20.16</v>
      </c>
      <c r="F749" s="403">
        <v>41894</v>
      </c>
      <c r="G749" s="404">
        <v>0</v>
      </c>
      <c r="H749" s="405">
        <f t="shared" si="68"/>
        <v>0</v>
      </c>
      <c r="I749" s="405">
        <f t="shared" si="69"/>
        <v>20.16</v>
      </c>
      <c r="J749" s="404">
        <f t="shared" si="70"/>
        <v>0</v>
      </c>
      <c r="K749" s="404">
        <f t="shared" si="71"/>
        <v>0</v>
      </c>
      <c r="L749" s="404">
        <f t="shared" si="72"/>
        <v>0</v>
      </c>
    </row>
    <row r="750" spans="2:12" ht="18">
      <c r="B750" s="399">
        <v>155</v>
      </c>
      <c r="C750" s="400" t="s">
        <v>114</v>
      </c>
      <c r="D750" s="409" t="s">
        <v>132</v>
      </c>
      <c r="E750" s="402">
        <v>7.2</v>
      </c>
      <c r="F750" s="403">
        <v>41894</v>
      </c>
      <c r="G750" s="404">
        <v>0</v>
      </c>
      <c r="H750" s="405">
        <f t="shared" si="68"/>
        <v>0</v>
      </c>
      <c r="I750" s="405">
        <f t="shared" si="69"/>
        <v>7.2</v>
      </c>
      <c r="J750" s="404">
        <f t="shared" si="70"/>
        <v>0</v>
      </c>
      <c r="K750" s="404">
        <f t="shared" si="71"/>
        <v>0</v>
      </c>
      <c r="L750" s="404">
        <f t="shared" si="72"/>
        <v>0</v>
      </c>
    </row>
    <row r="751" spans="2:12" ht="72">
      <c r="B751" s="399">
        <v>154</v>
      </c>
      <c r="C751" s="400" t="s">
        <v>229</v>
      </c>
      <c r="D751" s="401" t="s">
        <v>134</v>
      </c>
      <c r="E751" s="402">
        <v>1.56</v>
      </c>
      <c r="F751" s="403">
        <v>41893</v>
      </c>
      <c r="G751" s="404">
        <v>0</v>
      </c>
      <c r="H751" s="405">
        <f t="shared" si="68"/>
        <v>0</v>
      </c>
      <c r="I751" s="405">
        <f t="shared" si="69"/>
        <v>1.56</v>
      </c>
      <c r="J751" s="404">
        <f t="shared" si="70"/>
        <v>0</v>
      </c>
      <c r="K751" s="404">
        <f t="shared" si="71"/>
        <v>0</v>
      </c>
      <c r="L751" s="404">
        <f t="shared" si="72"/>
        <v>0</v>
      </c>
    </row>
    <row r="752" spans="2:12" ht="18">
      <c r="B752" s="391">
        <v>153</v>
      </c>
      <c r="C752" s="410" t="s">
        <v>158</v>
      </c>
      <c r="D752" s="411" t="s">
        <v>132</v>
      </c>
      <c r="E752" s="412">
        <v>2</v>
      </c>
      <c r="F752" s="413">
        <v>41891</v>
      </c>
      <c r="G752" s="396">
        <v>1</v>
      </c>
      <c r="H752" s="397">
        <f t="shared" si="68"/>
        <v>2</v>
      </c>
      <c r="I752" s="397">
        <f t="shared" si="69"/>
        <v>0</v>
      </c>
      <c r="J752" s="396">
        <f t="shared" si="70"/>
        <v>0</v>
      </c>
      <c r="K752" s="396">
        <f t="shared" si="71"/>
        <v>0</v>
      </c>
      <c r="L752" s="396">
        <f t="shared" si="72"/>
        <v>0</v>
      </c>
    </row>
    <row r="753" spans="2:12" ht="18">
      <c r="B753" s="398">
        <v>152</v>
      </c>
      <c r="C753" s="410" t="s">
        <v>221</v>
      </c>
      <c r="D753" s="411" t="s">
        <v>132</v>
      </c>
      <c r="E753" s="412">
        <v>42</v>
      </c>
      <c r="F753" s="413">
        <v>41887</v>
      </c>
      <c r="G753" s="396">
        <v>1</v>
      </c>
      <c r="H753" s="397">
        <f t="shared" si="68"/>
        <v>42</v>
      </c>
      <c r="I753" s="397">
        <f t="shared" si="69"/>
        <v>0</v>
      </c>
      <c r="J753" s="396">
        <f t="shared" si="70"/>
        <v>0</v>
      </c>
      <c r="K753" s="396">
        <f t="shared" si="71"/>
        <v>0</v>
      </c>
      <c r="L753" s="396">
        <f t="shared" si="72"/>
        <v>0</v>
      </c>
    </row>
    <row r="754" spans="2:12" ht="18">
      <c r="B754" s="398">
        <v>151</v>
      </c>
      <c r="C754" s="410" t="s">
        <v>230</v>
      </c>
      <c r="D754" s="411" t="s">
        <v>132</v>
      </c>
      <c r="E754" s="412">
        <v>14</v>
      </c>
      <c r="F754" s="413">
        <v>41886</v>
      </c>
      <c r="G754" s="396">
        <v>1</v>
      </c>
      <c r="H754" s="397">
        <f t="shared" si="68"/>
        <v>14</v>
      </c>
      <c r="I754" s="397">
        <f t="shared" si="69"/>
        <v>0</v>
      </c>
      <c r="J754" s="396">
        <f t="shared" si="70"/>
        <v>0</v>
      </c>
      <c r="K754" s="396">
        <f t="shared" si="71"/>
        <v>0</v>
      </c>
      <c r="L754" s="396">
        <f t="shared" si="72"/>
        <v>0</v>
      </c>
    </row>
    <row r="755" spans="2:12" ht="18">
      <c r="B755" s="391">
        <v>150</v>
      </c>
      <c r="C755" s="410" t="s">
        <v>224</v>
      </c>
      <c r="D755" s="411" t="s">
        <v>132</v>
      </c>
      <c r="E755" s="412">
        <v>12.5</v>
      </c>
      <c r="F755" s="413">
        <v>41885</v>
      </c>
      <c r="G755" s="396">
        <v>1</v>
      </c>
      <c r="H755" s="397">
        <f t="shared" si="68"/>
        <v>12.5</v>
      </c>
      <c r="I755" s="397">
        <f t="shared" si="69"/>
        <v>0</v>
      </c>
      <c r="J755" s="396">
        <f t="shared" si="70"/>
        <v>0</v>
      </c>
      <c r="K755" s="396">
        <f t="shared" si="71"/>
        <v>0</v>
      </c>
      <c r="L755" s="396">
        <f t="shared" si="72"/>
        <v>0</v>
      </c>
    </row>
    <row r="756" spans="2:12" ht="72">
      <c r="B756" s="391">
        <v>149</v>
      </c>
      <c r="C756" s="410" t="s">
        <v>231</v>
      </c>
      <c r="D756" s="414" t="s">
        <v>134</v>
      </c>
      <c r="E756" s="412">
        <v>2.83</v>
      </c>
      <c r="F756" s="413">
        <v>41880</v>
      </c>
      <c r="G756" s="396">
        <v>1</v>
      </c>
      <c r="H756" s="397">
        <f t="shared" si="68"/>
        <v>2.83</v>
      </c>
      <c r="I756" s="397">
        <f t="shared" si="69"/>
        <v>0</v>
      </c>
      <c r="J756" s="396">
        <f t="shared" si="70"/>
        <v>0</v>
      </c>
      <c r="K756" s="396">
        <f t="shared" si="71"/>
        <v>0</v>
      </c>
      <c r="L756" s="396">
        <f t="shared" si="72"/>
        <v>0</v>
      </c>
    </row>
    <row r="757" spans="2:12" ht="18">
      <c r="B757" s="399">
        <v>148</v>
      </c>
      <c r="C757" s="400" t="s">
        <v>228</v>
      </c>
      <c r="D757" s="409" t="s">
        <v>130</v>
      </c>
      <c r="E757" s="402">
        <v>10.08</v>
      </c>
      <c r="F757" s="403">
        <v>41880</v>
      </c>
      <c r="G757" s="404">
        <v>0</v>
      </c>
      <c r="H757" s="405">
        <f t="shared" si="68"/>
        <v>0</v>
      </c>
      <c r="I757" s="405">
        <f t="shared" si="69"/>
        <v>10.08</v>
      </c>
      <c r="J757" s="404">
        <f t="shared" si="70"/>
        <v>0</v>
      </c>
      <c r="K757" s="404">
        <f t="shared" si="71"/>
        <v>0</v>
      </c>
      <c r="L757" s="404">
        <f t="shared" si="72"/>
        <v>0</v>
      </c>
    </row>
    <row r="758" spans="2:12" ht="18">
      <c r="B758" s="398">
        <v>147</v>
      </c>
      <c r="C758" s="410" t="s">
        <v>133</v>
      </c>
      <c r="D758" s="411" t="s">
        <v>132</v>
      </c>
      <c r="E758" s="412">
        <v>36.799999999999997</v>
      </c>
      <c r="F758" s="413">
        <v>41873</v>
      </c>
      <c r="G758" s="396">
        <v>1</v>
      </c>
      <c r="H758" s="397">
        <f t="shared" si="68"/>
        <v>36.799999999999997</v>
      </c>
      <c r="I758" s="397">
        <f t="shared" si="69"/>
        <v>0</v>
      </c>
      <c r="J758" s="396">
        <f t="shared" si="70"/>
        <v>0</v>
      </c>
      <c r="K758" s="396">
        <f t="shared" si="71"/>
        <v>0</v>
      </c>
      <c r="L758" s="396">
        <f t="shared" si="72"/>
        <v>0</v>
      </c>
    </row>
    <row r="759" spans="2:12" ht="72">
      <c r="B759" s="391">
        <v>146</v>
      </c>
      <c r="C759" s="410" t="s">
        <v>232</v>
      </c>
      <c r="D759" s="411" t="s">
        <v>131</v>
      </c>
      <c r="E759" s="412">
        <v>2</v>
      </c>
      <c r="F759" s="413">
        <v>41873</v>
      </c>
      <c r="G759" s="396">
        <v>1</v>
      </c>
      <c r="H759" s="397">
        <f t="shared" si="68"/>
        <v>2</v>
      </c>
      <c r="I759" s="397">
        <f t="shared" si="69"/>
        <v>0</v>
      </c>
      <c r="J759" s="396">
        <f t="shared" si="70"/>
        <v>2</v>
      </c>
      <c r="K759" s="396">
        <f t="shared" si="71"/>
        <v>0</v>
      </c>
      <c r="L759" s="396">
        <f t="shared" si="72"/>
        <v>0</v>
      </c>
    </row>
    <row r="760" spans="2:12" ht="18">
      <c r="B760" s="399">
        <v>145</v>
      </c>
      <c r="C760" s="400" t="s">
        <v>218</v>
      </c>
      <c r="D760" s="409" t="s">
        <v>132</v>
      </c>
      <c r="E760" s="402">
        <v>36.299999999999997</v>
      </c>
      <c r="F760" s="403">
        <v>41872</v>
      </c>
      <c r="G760" s="404">
        <v>0</v>
      </c>
      <c r="H760" s="405">
        <f t="shared" si="68"/>
        <v>0</v>
      </c>
      <c r="I760" s="405">
        <f t="shared" si="69"/>
        <v>36.299999999999997</v>
      </c>
      <c r="J760" s="404">
        <f t="shared" si="70"/>
        <v>0</v>
      </c>
      <c r="K760" s="404">
        <f t="shared" si="71"/>
        <v>0</v>
      </c>
      <c r="L760" s="404">
        <f t="shared" si="72"/>
        <v>0</v>
      </c>
    </row>
    <row r="761" spans="2:12" ht="18">
      <c r="B761" s="398">
        <v>144</v>
      </c>
      <c r="C761" s="410" t="s">
        <v>224</v>
      </c>
      <c r="D761" s="411" t="s">
        <v>132</v>
      </c>
      <c r="E761" s="412">
        <v>25</v>
      </c>
      <c r="F761" s="413">
        <v>41871</v>
      </c>
      <c r="G761" s="396">
        <v>1</v>
      </c>
      <c r="H761" s="397">
        <f t="shared" si="68"/>
        <v>25</v>
      </c>
      <c r="I761" s="397">
        <f t="shared" si="69"/>
        <v>0</v>
      </c>
      <c r="J761" s="396">
        <f t="shared" si="70"/>
        <v>0</v>
      </c>
      <c r="K761" s="396">
        <f t="shared" si="71"/>
        <v>0</v>
      </c>
      <c r="L761" s="396">
        <f t="shared" si="72"/>
        <v>0</v>
      </c>
    </row>
    <row r="762" spans="2:12" ht="18">
      <c r="B762" s="398">
        <v>143</v>
      </c>
      <c r="C762" s="410" t="s">
        <v>233</v>
      </c>
      <c r="D762" s="411" t="s">
        <v>130</v>
      </c>
      <c r="E762" s="412">
        <v>7.35</v>
      </c>
      <c r="F762" s="413">
        <v>41870</v>
      </c>
      <c r="G762" s="396">
        <v>1</v>
      </c>
      <c r="H762" s="397">
        <f t="shared" si="68"/>
        <v>7.35</v>
      </c>
      <c r="I762" s="397">
        <f t="shared" si="69"/>
        <v>0</v>
      </c>
      <c r="J762" s="396">
        <f t="shared" si="70"/>
        <v>0</v>
      </c>
      <c r="K762" s="396">
        <f t="shared" si="71"/>
        <v>0</v>
      </c>
      <c r="L762" s="396">
        <f t="shared" si="72"/>
        <v>0</v>
      </c>
    </row>
    <row r="763" spans="2:12" ht="18">
      <c r="B763" s="399">
        <v>142</v>
      </c>
      <c r="C763" s="400" t="s">
        <v>162</v>
      </c>
      <c r="D763" s="409" t="s">
        <v>132</v>
      </c>
      <c r="E763" s="402">
        <v>4.5</v>
      </c>
      <c r="F763" s="403">
        <v>41867</v>
      </c>
      <c r="G763" s="404">
        <v>0</v>
      </c>
      <c r="H763" s="405">
        <f t="shared" si="68"/>
        <v>0</v>
      </c>
      <c r="I763" s="405">
        <f t="shared" si="69"/>
        <v>4.5</v>
      </c>
      <c r="J763" s="404">
        <f t="shared" si="70"/>
        <v>0</v>
      </c>
      <c r="K763" s="404">
        <f t="shared" si="71"/>
        <v>0</v>
      </c>
      <c r="L763" s="404">
        <f t="shared" si="72"/>
        <v>0</v>
      </c>
    </row>
    <row r="764" spans="2:12" ht="18">
      <c r="B764" s="391">
        <v>141</v>
      </c>
      <c r="C764" s="410" t="s">
        <v>234</v>
      </c>
      <c r="D764" s="411" t="s">
        <v>132</v>
      </c>
      <c r="E764" s="412">
        <v>9</v>
      </c>
      <c r="F764" s="413">
        <v>41866</v>
      </c>
      <c r="G764" s="396">
        <v>1</v>
      </c>
      <c r="H764" s="397">
        <f t="shared" si="68"/>
        <v>9</v>
      </c>
      <c r="I764" s="397">
        <f t="shared" si="69"/>
        <v>0</v>
      </c>
      <c r="J764" s="396">
        <f t="shared" si="70"/>
        <v>0</v>
      </c>
      <c r="K764" s="396">
        <f t="shared" si="71"/>
        <v>0</v>
      </c>
      <c r="L764" s="396">
        <f t="shared" si="72"/>
        <v>0</v>
      </c>
    </row>
    <row r="765" spans="2:12" ht="18">
      <c r="B765" s="398">
        <v>140</v>
      </c>
      <c r="C765" s="410" t="s">
        <v>235</v>
      </c>
      <c r="D765" s="411" t="s">
        <v>132</v>
      </c>
      <c r="E765" s="412">
        <v>24</v>
      </c>
      <c r="F765" s="413">
        <v>41866</v>
      </c>
      <c r="G765" s="396">
        <v>1</v>
      </c>
      <c r="H765" s="397">
        <f t="shared" si="68"/>
        <v>24</v>
      </c>
      <c r="I765" s="397">
        <f t="shared" si="69"/>
        <v>0</v>
      </c>
      <c r="J765" s="396">
        <f t="shared" si="70"/>
        <v>0</v>
      </c>
      <c r="K765" s="396">
        <f t="shared" si="71"/>
        <v>0</v>
      </c>
      <c r="L765" s="396">
        <f t="shared" si="72"/>
        <v>0</v>
      </c>
    </row>
    <row r="766" spans="2:12" ht="72">
      <c r="B766" s="398">
        <v>139</v>
      </c>
      <c r="C766" s="410" t="s">
        <v>236</v>
      </c>
      <c r="D766" s="411" t="s">
        <v>138</v>
      </c>
      <c r="E766" s="412">
        <v>5.5</v>
      </c>
      <c r="F766" s="413">
        <v>41866</v>
      </c>
      <c r="G766" s="396">
        <v>1</v>
      </c>
      <c r="H766" s="397">
        <f t="shared" si="68"/>
        <v>5.5</v>
      </c>
      <c r="I766" s="397">
        <f t="shared" si="69"/>
        <v>0</v>
      </c>
      <c r="J766" s="396">
        <f t="shared" si="70"/>
        <v>0</v>
      </c>
      <c r="K766" s="396">
        <f t="shared" si="71"/>
        <v>0</v>
      </c>
      <c r="L766" s="396">
        <f t="shared" si="72"/>
        <v>5.5</v>
      </c>
    </row>
    <row r="767" spans="2:12" ht="18">
      <c r="B767" s="391">
        <v>138</v>
      </c>
      <c r="C767" s="410" t="s">
        <v>237</v>
      </c>
      <c r="D767" s="411" t="s">
        <v>132</v>
      </c>
      <c r="E767" s="412">
        <v>24</v>
      </c>
      <c r="F767" s="413">
        <v>41866</v>
      </c>
      <c r="G767" s="396">
        <v>1</v>
      </c>
      <c r="H767" s="397">
        <f t="shared" si="68"/>
        <v>24</v>
      </c>
      <c r="I767" s="397">
        <f t="shared" si="69"/>
        <v>0</v>
      </c>
      <c r="J767" s="396">
        <f t="shared" si="70"/>
        <v>0</v>
      </c>
      <c r="K767" s="396">
        <f t="shared" si="71"/>
        <v>0</v>
      </c>
      <c r="L767" s="396">
        <f t="shared" si="72"/>
        <v>0</v>
      </c>
    </row>
    <row r="768" spans="2:12" ht="18">
      <c r="B768" s="391">
        <v>137</v>
      </c>
      <c r="C768" s="410" t="s">
        <v>230</v>
      </c>
      <c r="D768" s="411" t="s">
        <v>132</v>
      </c>
      <c r="E768" s="412">
        <v>10</v>
      </c>
      <c r="F768" s="413">
        <v>41866</v>
      </c>
      <c r="G768" s="396">
        <v>1</v>
      </c>
      <c r="H768" s="397">
        <f t="shared" si="68"/>
        <v>10</v>
      </c>
      <c r="I768" s="397">
        <f t="shared" si="69"/>
        <v>0</v>
      </c>
      <c r="J768" s="396">
        <f t="shared" si="70"/>
        <v>0</v>
      </c>
      <c r="K768" s="396">
        <f t="shared" si="71"/>
        <v>0</v>
      </c>
      <c r="L768" s="396">
        <f t="shared" si="72"/>
        <v>0</v>
      </c>
    </row>
    <row r="769" spans="2:12" ht="36">
      <c r="B769" s="398">
        <v>136</v>
      </c>
      <c r="C769" s="410" t="s">
        <v>176</v>
      </c>
      <c r="D769" s="411" t="s">
        <v>175</v>
      </c>
      <c r="E769" s="412">
        <v>600</v>
      </c>
      <c r="F769" s="413">
        <v>41859</v>
      </c>
      <c r="G769" s="396">
        <v>1</v>
      </c>
      <c r="H769" s="397">
        <f t="shared" si="68"/>
        <v>600</v>
      </c>
      <c r="I769" s="397">
        <f t="shared" si="69"/>
        <v>0</v>
      </c>
      <c r="J769" s="396">
        <f t="shared" si="70"/>
        <v>0</v>
      </c>
      <c r="K769" s="396">
        <f t="shared" si="71"/>
        <v>600</v>
      </c>
      <c r="L769" s="396">
        <f t="shared" si="72"/>
        <v>0</v>
      </c>
    </row>
    <row r="770" spans="2:12" ht="36">
      <c r="B770" s="398">
        <v>135</v>
      </c>
      <c r="C770" s="410" t="s">
        <v>238</v>
      </c>
      <c r="D770" s="411" t="s">
        <v>130</v>
      </c>
      <c r="E770" s="412">
        <v>5.95</v>
      </c>
      <c r="F770" s="413">
        <v>41859</v>
      </c>
      <c r="G770" s="396">
        <v>1</v>
      </c>
      <c r="H770" s="397">
        <f t="shared" si="68"/>
        <v>5.95</v>
      </c>
      <c r="I770" s="397">
        <f t="shared" si="69"/>
        <v>0</v>
      </c>
      <c r="J770" s="396">
        <f t="shared" si="70"/>
        <v>0</v>
      </c>
      <c r="K770" s="396">
        <f t="shared" si="71"/>
        <v>0</v>
      </c>
      <c r="L770" s="396">
        <f t="shared" si="72"/>
        <v>0</v>
      </c>
    </row>
    <row r="771" spans="2:12" ht="18">
      <c r="B771" s="391">
        <v>134</v>
      </c>
      <c r="C771" s="392" t="s">
        <v>239</v>
      </c>
      <c r="D771" s="408" t="s">
        <v>132</v>
      </c>
      <c r="E771" s="394">
        <v>12.5</v>
      </c>
      <c r="F771" s="395">
        <v>41844</v>
      </c>
      <c r="G771" s="396">
        <v>1</v>
      </c>
      <c r="H771" s="397">
        <f t="shared" si="68"/>
        <v>12.5</v>
      </c>
      <c r="I771" s="397">
        <f t="shared" si="69"/>
        <v>0</v>
      </c>
      <c r="J771" s="396">
        <f t="shared" si="70"/>
        <v>0</v>
      </c>
      <c r="K771" s="396">
        <f t="shared" si="71"/>
        <v>0</v>
      </c>
      <c r="L771" s="396">
        <f t="shared" si="72"/>
        <v>0</v>
      </c>
    </row>
    <row r="772" spans="2:12" ht="36">
      <c r="B772" s="391">
        <v>133</v>
      </c>
      <c r="C772" s="410" t="s">
        <v>240</v>
      </c>
      <c r="D772" s="411" t="s">
        <v>130</v>
      </c>
      <c r="E772" s="412">
        <v>10.319000000000001</v>
      </c>
      <c r="F772" s="413">
        <v>41837</v>
      </c>
      <c r="G772" s="396">
        <v>1</v>
      </c>
      <c r="H772" s="397">
        <f t="shared" si="68"/>
        <v>10.319000000000001</v>
      </c>
      <c r="I772" s="397">
        <f t="shared" si="69"/>
        <v>0</v>
      </c>
      <c r="J772" s="396">
        <f t="shared" si="70"/>
        <v>0</v>
      </c>
      <c r="K772" s="396">
        <f t="shared" si="71"/>
        <v>0</v>
      </c>
      <c r="L772" s="396">
        <f t="shared" si="72"/>
        <v>0</v>
      </c>
    </row>
    <row r="773" spans="2:12" ht="54">
      <c r="B773" s="398">
        <v>132</v>
      </c>
      <c r="C773" s="410" t="s">
        <v>241</v>
      </c>
      <c r="D773" s="411" t="s">
        <v>131</v>
      </c>
      <c r="E773" s="412">
        <v>2.8</v>
      </c>
      <c r="F773" s="413">
        <v>41836</v>
      </c>
      <c r="G773" s="396">
        <v>1</v>
      </c>
      <c r="H773" s="397">
        <f t="shared" ref="H773:H804" si="73">E773*G773</f>
        <v>2.8</v>
      </c>
      <c r="I773" s="397">
        <f t="shared" ref="I773:I804" si="74">E773-H773</f>
        <v>0</v>
      </c>
      <c r="J773" s="396">
        <f t="shared" ref="J773:J804" si="75">OR(IF((D773="DG"),1,0),IF(D773="DG/FO",1,0),IF(D773="DG/FO/Linyit",1,0))*E773</f>
        <v>2.8</v>
      </c>
      <c r="K773" s="396">
        <f t="shared" ref="K773:K804" si="76">IF(D773="İTHAL KÖMÜR",1,0)*E773</f>
        <v>0</v>
      </c>
      <c r="L773" s="396">
        <f t="shared" ref="L773:L804" si="77">IF(D773="LİNYİT",1,0)*E773</f>
        <v>0</v>
      </c>
    </row>
    <row r="774" spans="2:12" ht="36">
      <c r="B774" s="398">
        <v>131</v>
      </c>
      <c r="C774" s="410" t="s">
        <v>242</v>
      </c>
      <c r="D774" s="411" t="s">
        <v>130</v>
      </c>
      <c r="E774" s="412">
        <v>13.5</v>
      </c>
      <c r="F774" s="413">
        <v>41836</v>
      </c>
      <c r="G774" s="396">
        <v>1</v>
      </c>
      <c r="H774" s="397">
        <f t="shared" si="73"/>
        <v>13.5</v>
      </c>
      <c r="I774" s="397">
        <f t="shared" si="74"/>
        <v>0</v>
      </c>
      <c r="J774" s="396">
        <f t="shared" si="75"/>
        <v>0</v>
      </c>
      <c r="K774" s="396">
        <f t="shared" si="76"/>
        <v>0</v>
      </c>
      <c r="L774" s="396">
        <f t="shared" si="77"/>
        <v>0</v>
      </c>
    </row>
    <row r="775" spans="2:12" ht="18">
      <c r="B775" s="391">
        <v>130</v>
      </c>
      <c r="C775" s="410" t="s">
        <v>243</v>
      </c>
      <c r="D775" s="411" t="s">
        <v>130</v>
      </c>
      <c r="E775" s="412">
        <v>7.48</v>
      </c>
      <c r="F775" s="413">
        <v>41832</v>
      </c>
      <c r="G775" s="396">
        <v>1</v>
      </c>
      <c r="H775" s="397">
        <f t="shared" si="73"/>
        <v>7.48</v>
      </c>
      <c r="I775" s="397">
        <f t="shared" si="74"/>
        <v>0</v>
      </c>
      <c r="J775" s="396">
        <f t="shared" si="75"/>
        <v>0</v>
      </c>
      <c r="K775" s="396">
        <f t="shared" si="76"/>
        <v>0</v>
      </c>
      <c r="L775" s="396">
        <f t="shared" si="77"/>
        <v>0</v>
      </c>
    </row>
    <row r="776" spans="2:12" ht="18">
      <c r="B776" s="399">
        <v>129</v>
      </c>
      <c r="C776" s="400" t="s">
        <v>244</v>
      </c>
      <c r="D776" s="409" t="s">
        <v>132</v>
      </c>
      <c r="E776" s="402">
        <v>16.100000000000001</v>
      </c>
      <c r="F776" s="403">
        <v>41831</v>
      </c>
      <c r="G776" s="404">
        <v>0</v>
      </c>
      <c r="H776" s="405">
        <f t="shared" si="73"/>
        <v>0</v>
      </c>
      <c r="I776" s="405">
        <f t="shared" si="74"/>
        <v>16.100000000000001</v>
      </c>
      <c r="J776" s="404">
        <f t="shared" si="75"/>
        <v>0</v>
      </c>
      <c r="K776" s="404">
        <f t="shared" si="76"/>
        <v>0</v>
      </c>
      <c r="L776" s="404">
        <f t="shared" si="77"/>
        <v>0</v>
      </c>
    </row>
    <row r="777" spans="2:12" ht="18">
      <c r="B777" s="399">
        <v>128</v>
      </c>
      <c r="C777" s="400" t="s">
        <v>245</v>
      </c>
      <c r="D777" s="409" t="s">
        <v>132</v>
      </c>
      <c r="E777" s="402">
        <v>7.5</v>
      </c>
      <c r="F777" s="403">
        <v>41831</v>
      </c>
      <c r="G777" s="404">
        <v>0</v>
      </c>
      <c r="H777" s="405">
        <f t="shared" si="73"/>
        <v>0</v>
      </c>
      <c r="I777" s="405">
        <f t="shared" si="74"/>
        <v>7.5</v>
      </c>
      <c r="J777" s="404">
        <f t="shared" si="75"/>
        <v>0</v>
      </c>
      <c r="K777" s="404">
        <f t="shared" si="76"/>
        <v>0</v>
      </c>
      <c r="L777" s="404">
        <f t="shared" si="77"/>
        <v>0</v>
      </c>
    </row>
    <row r="778" spans="2:12" ht="36">
      <c r="B778" s="398">
        <v>127</v>
      </c>
      <c r="C778" s="410" t="s">
        <v>246</v>
      </c>
      <c r="D778" s="411" t="s">
        <v>175</v>
      </c>
      <c r="E778" s="412">
        <v>600</v>
      </c>
      <c r="F778" s="413">
        <v>41830</v>
      </c>
      <c r="G778" s="396">
        <v>1</v>
      </c>
      <c r="H778" s="397">
        <f t="shared" si="73"/>
        <v>600</v>
      </c>
      <c r="I778" s="397">
        <f t="shared" si="74"/>
        <v>0</v>
      </c>
      <c r="J778" s="396">
        <f t="shared" si="75"/>
        <v>0</v>
      </c>
      <c r="K778" s="396">
        <f t="shared" si="76"/>
        <v>600</v>
      </c>
      <c r="L778" s="396">
        <f t="shared" si="77"/>
        <v>0</v>
      </c>
    </row>
    <row r="779" spans="2:12" ht="18">
      <c r="B779" s="391">
        <v>126</v>
      </c>
      <c r="C779" s="410" t="s">
        <v>247</v>
      </c>
      <c r="D779" s="411" t="s">
        <v>130</v>
      </c>
      <c r="E779" s="412">
        <v>36.26</v>
      </c>
      <c r="F779" s="413">
        <v>41830</v>
      </c>
      <c r="G779" s="396">
        <v>1</v>
      </c>
      <c r="H779" s="397">
        <f t="shared" si="73"/>
        <v>36.26</v>
      </c>
      <c r="I779" s="397">
        <f t="shared" si="74"/>
        <v>0</v>
      </c>
      <c r="J779" s="396">
        <f t="shared" si="75"/>
        <v>0</v>
      </c>
      <c r="K779" s="396">
        <f t="shared" si="76"/>
        <v>0</v>
      </c>
      <c r="L779" s="396">
        <f t="shared" si="77"/>
        <v>0</v>
      </c>
    </row>
    <row r="780" spans="2:12" ht="72">
      <c r="B780" s="391">
        <v>125</v>
      </c>
      <c r="C780" s="410" t="s">
        <v>248</v>
      </c>
      <c r="D780" s="411" t="s">
        <v>139</v>
      </c>
      <c r="E780" s="412">
        <v>5.5</v>
      </c>
      <c r="F780" s="413">
        <v>41830</v>
      </c>
      <c r="G780" s="396">
        <v>1</v>
      </c>
      <c r="H780" s="397">
        <f t="shared" si="73"/>
        <v>5.5</v>
      </c>
      <c r="I780" s="397">
        <f t="shared" si="74"/>
        <v>0</v>
      </c>
      <c r="J780" s="396">
        <f t="shared" si="75"/>
        <v>0</v>
      </c>
      <c r="K780" s="396">
        <f t="shared" si="76"/>
        <v>0</v>
      </c>
      <c r="L780" s="396">
        <f t="shared" si="77"/>
        <v>0</v>
      </c>
    </row>
    <row r="781" spans="2:12" ht="18">
      <c r="B781" s="398">
        <v>124</v>
      </c>
      <c r="C781" s="410" t="s">
        <v>249</v>
      </c>
      <c r="D781" s="411" t="s">
        <v>132</v>
      </c>
      <c r="E781" s="412">
        <v>28.5</v>
      </c>
      <c r="F781" s="413">
        <v>41824</v>
      </c>
      <c r="G781" s="396">
        <v>1</v>
      </c>
      <c r="H781" s="397">
        <f t="shared" si="73"/>
        <v>28.5</v>
      </c>
      <c r="I781" s="397">
        <f t="shared" si="74"/>
        <v>0</v>
      </c>
      <c r="J781" s="396">
        <f t="shared" si="75"/>
        <v>0</v>
      </c>
      <c r="K781" s="396">
        <f t="shared" si="76"/>
        <v>0</v>
      </c>
      <c r="L781" s="396">
        <f t="shared" si="77"/>
        <v>0</v>
      </c>
    </row>
    <row r="782" spans="2:12" ht="18">
      <c r="B782" s="399">
        <v>123</v>
      </c>
      <c r="C782" s="400" t="s">
        <v>250</v>
      </c>
      <c r="D782" s="409" t="s">
        <v>132</v>
      </c>
      <c r="E782" s="402">
        <v>4.8</v>
      </c>
      <c r="F782" s="403">
        <v>41824</v>
      </c>
      <c r="G782" s="404">
        <v>0</v>
      </c>
      <c r="H782" s="405">
        <f t="shared" si="73"/>
        <v>0</v>
      </c>
      <c r="I782" s="405">
        <f t="shared" si="74"/>
        <v>4.8</v>
      </c>
      <c r="J782" s="404">
        <f t="shared" si="75"/>
        <v>0</v>
      </c>
      <c r="K782" s="404">
        <f t="shared" si="76"/>
        <v>0</v>
      </c>
      <c r="L782" s="404">
        <f t="shared" si="77"/>
        <v>0</v>
      </c>
    </row>
    <row r="783" spans="2:12" ht="18">
      <c r="B783" s="399">
        <v>122</v>
      </c>
      <c r="C783" s="400" t="s">
        <v>161</v>
      </c>
      <c r="D783" s="409" t="s">
        <v>132</v>
      </c>
      <c r="E783" s="402">
        <v>15</v>
      </c>
      <c r="F783" s="403">
        <v>41818</v>
      </c>
      <c r="G783" s="404">
        <v>0</v>
      </c>
      <c r="H783" s="405">
        <f t="shared" si="73"/>
        <v>0</v>
      </c>
      <c r="I783" s="405">
        <f t="shared" si="74"/>
        <v>15</v>
      </c>
      <c r="J783" s="404">
        <f t="shared" si="75"/>
        <v>0</v>
      </c>
      <c r="K783" s="404">
        <f t="shared" si="76"/>
        <v>0</v>
      </c>
      <c r="L783" s="404">
        <f t="shared" si="77"/>
        <v>0</v>
      </c>
    </row>
    <row r="784" spans="2:12" ht="18">
      <c r="B784" s="391">
        <v>121</v>
      </c>
      <c r="C784" s="410" t="s">
        <v>239</v>
      </c>
      <c r="D784" s="411" t="s">
        <v>132</v>
      </c>
      <c r="E784" s="412">
        <v>20</v>
      </c>
      <c r="F784" s="413">
        <v>41818</v>
      </c>
      <c r="G784" s="396">
        <v>1</v>
      </c>
      <c r="H784" s="397">
        <f t="shared" si="73"/>
        <v>20</v>
      </c>
      <c r="I784" s="397">
        <f t="shared" si="74"/>
        <v>0</v>
      </c>
      <c r="J784" s="396">
        <f t="shared" si="75"/>
        <v>0</v>
      </c>
      <c r="K784" s="396">
        <f t="shared" si="76"/>
        <v>0</v>
      </c>
      <c r="L784" s="396">
        <f t="shared" si="77"/>
        <v>0</v>
      </c>
    </row>
    <row r="785" spans="2:12" ht="18">
      <c r="B785" s="399">
        <v>120</v>
      </c>
      <c r="C785" s="400" t="s">
        <v>173</v>
      </c>
      <c r="D785" s="409" t="s">
        <v>132</v>
      </c>
      <c r="E785" s="402">
        <v>2.5</v>
      </c>
      <c r="F785" s="403">
        <v>41817</v>
      </c>
      <c r="G785" s="404">
        <v>0</v>
      </c>
      <c r="H785" s="405">
        <f t="shared" si="73"/>
        <v>0</v>
      </c>
      <c r="I785" s="405">
        <f t="shared" si="74"/>
        <v>2.5</v>
      </c>
      <c r="J785" s="404">
        <f t="shared" si="75"/>
        <v>0</v>
      </c>
      <c r="K785" s="404">
        <f t="shared" si="76"/>
        <v>0</v>
      </c>
      <c r="L785" s="404">
        <f t="shared" si="77"/>
        <v>0</v>
      </c>
    </row>
    <row r="786" spans="2:12" ht="54">
      <c r="B786" s="398">
        <v>119</v>
      </c>
      <c r="C786" s="410" t="s">
        <v>251</v>
      </c>
      <c r="D786" s="411" t="s">
        <v>131</v>
      </c>
      <c r="E786" s="412">
        <v>1.1890000000000001</v>
      </c>
      <c r="F786" s="413">
        <v>41817</v>
      </c>
      <c r="G786" s="396">
        <v>1</v>
      </c>
      <c r="H786" s="397">
        <f t="shared" si="73"/>
        <v>1.1890000000000001</v>
      </c>
      <c r="I786" s="397">
        <f t="shared" si="74"/>
        <v>0</v>
      </c>
      <c r="J786" s="396">
        <f t="shared" si="75"/>
        <v>1.1890000000000001</v>
      </c>
      <c r="K786" s="396">
        <f t="shared" si="76"/>
        <v>0</v>
      </c>
      <c r="L786" s="396">
        <f t="shared" si="77"/>
        <v>0</v>
      </c>
    </row>
    <row r="787" spans="2:12" ht="18">
      <c r="B787" s="399">
        <v>118</v>
      </c>
      <c r="C787" s="400" t="s">
        <v>245</v>
      </c>
      <c r="D787" s="409" t="s">
        <v>132</v>
      </c>
      <c r="E787" s="402">
        <v>7.5</v>
      </c>
      <c r="F787" s="403">
        <v>41816</v>
      </c>
      <c r="G787" s="404">
        <v>0</v>
      </c>
      <c r="H787" s="405">
        <f t="shared" si="73"/>
        <v>0</v>
      </c>
      <c r="I787" s="405">
        <f t="shared" si="74"/>
        <v>7.5</v>
      </c>
      <c r="J787" s="404">
        <f t="shared" si="75"/>
        <v>0</v>
      </c>
      <c r="K787" s="404">
        <f t="shared" si="76"/>
        <v>0</v>
      </c>
      <c r="L787" s="404">
        <f t="shared" si="77"/>
        <v>0</v>
      </c>
    </row>
    <row r="788" spans="2:12" ht="18">
      <c r="B788" s="399">
        <v>117</v>
      </c>
      <c r="C788" s="400" t="s">
        <v>250</v>
      </c>
      <c r="D788" s="409" t="s">
        <v>132</v>
      </c>
      <c r="E788" s="402">
        <v>11.2</v>
      </c>
      <c r="F788" s="403">
        <v>41811</v>
      </c>
      <c r="G788" s="404">
        <v>0</v>
      </c>
      <c r="H788" s="405">
        <f t="shared" si="73"/>
        <v>0</v>
      </c>
      <c r="I788" s="405">
        <f t="shared" si="74"/>
        <v>11.2</v>
      </c>
      <c r="J788" s="404">
        <f t="shared" si="75"/>
        <v>0</v>
      </c>
      <c r="K788" s="404">
        <f t="shared" si="76"/>
        <v>0</v>
      </c>
      <c r="L788" s="404">
        <f t="shared" si="77"/>
        <v>0</v>
      </c>
    </row>
    <row r="789" spans="2:12" ht="36">
      <c r="B789" s="398">
        <v>116</v>
      </c>
      <c r="C789" s="410" t="s">
        <v>252</v>
      </c>
      <c r="D789" s="411" t="s">
        <v>130</v>
      </c>
      <c r="E789" s="412">
        <v>3.1269999999999998</v>
      </c>
      <c r="F789" s="413">
        <v>41810</v>
      </c>
      <c r="G789" s="396">
        <v>1</v>
      </c>
      <c r="H789" s="397">
        <f t="shared" si="73"/>
        <v>3.1269999999999998</v>
      </c>
      <c r="I789" s="397">
        <f t="shared" si="74"/>
        <v>0</v>
      </c>
      <c r="J789" s="396">
        <f t="shared" si="75"/>
        <v>0</v>
      </c>
      <c r="K789" s="396">
        <f t="shared" si="76"/>
        <v>0</v>
      </c>
      <c r="L789" s="396">
        <f t="shared" si="77"/>
        <v>0</v>
      </c>
    </row>
    <row r="790" spans="2:12" ht="18">
      <c r="B790" s="398">
        <v>115</v>
      </c>
      <c r="C790" s="410" t="s">
        <v>253</v>
      </c>
      <c r="D790" s="411" t="s">
        <v>130</v>
      </c>
      <c r="E790" s="412">
        <v>9.06</v>
      </c>
      <c r="F790" s="413">
        <v>41810</v>
      </c>
      <c r="G790" s="396">
        <v>1</v>
      </c>
      <c r="H790" s="397">
        <f t="shared" si="73"/>
        <v>9.06</v>
      </c>
      <c r="I790" s="397">
        <f t="shared" si="74"/>
        <v>0</v>
      </c>
      <c r="J790" s="396">
        <f t="shared" si="75"/>
        <v>0</v>
      </c>
      <c r="K790" s="396">
        <f t="shared" si="76"/>
        <v>0</v>
      </c>
      <c r="L790" s="396">
        <f t="shared" si="77"/>
        <v>0</v>
      </c>
    </row>
    <row r="791" spans="2:12" ht="18">
      <c r="B791" s="391">
        <v>114</v>
      </c>
      <c r="C791" s="410" t="s">
        <v>254</v>
      </c>
      <c r="D791" s="411" t="s">
        <v>132</v>
      </c>
      <c r="E791" s="412">
        <v>11</v>
      </c>
      <c r="F791" s="413">
        <v>41810</v>
      </c>
      <c r="G791" s="396">
        <v>1</v>
      </c>
      <c r="H791" s="397">
        <f t="shared" si="73"/>
        <v>11</v>
      </c>
      <c r="I791" s="397">
        <f t="shared" si="74"/>
        <v>0</v>
      </c>
      <c r="J791" s="396">
        <f t="shared" si="75"/>
        <v>0</v>
      </c>
      <c r="K791" s="396">
        <f t="shared" si="76"/>
        <v>0</v>
      </c>
      <c r="L791" s="396">
        <f t="shared" si="77"/>
        <v>0</v>
      </c>
    </row>
    <row r="792" spans="2:12" ht="18">
      <c r="B792" s="391">
        <v>113</v>
      </c>
      <c r="C792" s="410" t="s">
        <v>154</v>
      </c>
      <c r="D792" s="411" t="s">
        <v>130</v>
      </c>
      <c r="E792" s="412">
        <v>5.43</v>
      </c>
      <c r="F792" s="413">
        <v>41807</v>
      </c>
      <c r="G792" s="396">
        <v>1</v>
      </c>
      <c r="H792" s="397">
        <f t="shared" si="73"/>
        <v>5.43</v>
      </c>
      <c r="I792" s="397">
        <f t="shared" si="74"/>
        <v>0</v>
      </c>
      <c r="J792" s="396">
        <f t="shared" si="75"/>
        <v>0</v>
      </c>
      <c r="K792" s="396">
        <f t="shared" si="76"/>
        <v>0</v>
      </c>
      <c r="L792" s="396">
        <f t="shared" si="77"/>
        <v>0</v>
      </c>
    </row>
    <row r="793" spans="2:12" ht="36">
      <c r="B793" s="398">
        <v>112</v>
      </c>
      <c r="C793" s="410" t="s">
        <v>255</v>
      </c>
      <c r="D793" s="414" t="s">
        <v>134</v>
      </c>
      <c r="E793" s="412">
        <v>1.415</v>
      </c>
      <c r="F793" s="413">
        <v>41807</v>
      </c>
      <c r="G793" s="396">
        <v>1</v>
      </c>
      <c r="H793" s="397">
        <f t="shared" si="73"/>
        <v>1.415</v>
      </c>
      <c r="I793" s="397">
        <f t="shared" si="74"/>
        <v>0</v>
      </c>
      <c r="J793" s="396">
        <f t="shared" si="75"/>
        <v>0</v>
      </c>
      <c r="K793" s="396">
        <f t="shared" si="76"/>
        <v>0</v>
      </c>
      <c r="L793" s="396">
        <f t="shared" si="77"/>
        <v>0</v>
      </c>
    </row>
    <row r="794" spans="2:12" ht="18">
      <c r="B794" s="398">
        <v>111</v>
      </c>
      <c r="C794" s="410" t="s">
        <v>256</v>
      </c>
      <c r="D794" s="411" t="s">
        <v>130</v>
      </c>
      <c r="E794" s="412">
        <v>4.282</v>
      </c>
      <c r="F794" s="413">
        <v>41803</v>
      </c>
      <c r="G794" s="396">
        <v>1</v>
      </c>
      <c r="H794" s="397">
        <f t="shared" si="73"/>
        <v>4.282</v>
      </c>
      <c r="I794" s="397">
        <f t="shared" si="74"/>
        <v>0</v>
      </c>
      <c r="J794" s="396">
        <f t="shared" si="75"/>
        <v>0</v>
      </c>
      <c r="K794" s="396">
        <f t="shared" si="76"/>
        <v>0</v>
      </c>
      <c r="L794" s="396">
        <f t="shared" si="77"/>
        <v>0</v>
      </c>
    </row>
    <row r="795" spans="2:12" ht="54">
      <c r="B795" s="391">
        <v>110</v>
      </c>
      <c r="C795" s="410" t="s">
        <v>257</v>
      </c>
      <c r="D795" s="411" t="s">
        <v>131</v>
      </c>
      <c r="E795" s="412">
        <v>3.3490000000000002</v>
      </c>
      <c r="F795" s="413">
        <v>41803</v>
      </c>
      <c r="G795" s="396">
        <v>1</v>
      </c>
      <c r="H795" s="397">
        <f t="shared" si="73"/>
        <v>3.3490000000000002</v>
      </c>
      <c r="I795" s="397">
        <f t="shared" si="74"/>
        <v>0</v>
      </c>
      <c r="J795" s="396">
        <f t="shared" si="75"/>
        <v>3.3490000000000002</v>
      </c>
      <c r="K795" s="396">
        <f t="shared" si="76"/>
        <v>0</v>
      </c>
      <c r="L795" s="396">
        <f t="shared" si="77"/>
        <v>0</v>
      </c>
    </row>
    <row r="796" spans="2:12" ht="18">
      <c r="B796" s="391">
        <v>109</v>
      </c>
      <c r="C796" s="410" t="s">
        <v>258</v>
      </c>
      <c r="D796" s="411" t="s">
        <v>130</v>
      </c>
      <c r="E796" s="412">
        <v>12.597</v>
      </c>
      <c r="F796" s="413">
        <v>41803</v>
      </c>
      <c r="G796" s="396">
        <v>1</v>
      </c>
      <c r="H796" s="397">
        <f t="shared" si="73"/>
        <v>12.597</v>
      </c>
      <c r="I796" s="397">
        <f t="shared" si="74"/>
        <v>0</v>
      </c>
      <c r="J796" s="396">
        <f t="shared" si="75"/>
        <v>0</v>
      </c>
      <c r="K796" s="396">
        <f t="shared" si="76"/>
        <v>0</v>
      </c>
      <c r="L796" s="396">
        <f t="shared" si="77"/>
        <v>0</v>
      </c>
    </row>
    <row r="797" spans="2:12" ht="18">
      <c r="B797" s="398">
        <v>108</v>
      </c>
      <c r="C797" s="410" t="s">
        <v>259</v>
      </c>
      <c r="D797" s="411" t="s">
        <v>130</v>
      </c>
      <c r="E797" s="412">
        <v>3.43</v>
      </c>
      <c r="F797" s="413">
        <v>41802</v>
      </c>
      <c r="G797" s="396">
        <v>1</v>
      </c>
      <c r="H797" s="397">
        <f t="shared" si="73"/>
        <v>3.43</v>
      </c>
      <c r="I797" s="397">
        <f t="shared" si="74"/>
        <v>0</v>
      </c>
      <c r="J797" s="396">
        <f t="shared" si="75"/>
        <v>0</v>
      </c>
      <c r="K797" s="396">
        <f t="shared" si="76"/>
        <v>0</v>
      </c>
      <c r="L797" s="396">
        <f t="shared" si="77"/>
        <v>0</v>
      </c>
    </row>
    <row r="798" spans="2:12" ht="36">
      <c r="B798" s="398">
        <v>107</v>
      </c>
      <c r="C798" s="410" t="s">
        <v>260</v>
      </c>
      <c r="D798" s="411" t="s">
        <v>130</v>
      </c>
      <c r="E798" s="412">
        <v>88.819000000000003</v>
      </c>
      <c r="F798" s="413">
        <v>41802</v>
      </c>
      <c r="G798" s="396">
        <v>1</v>
      </c>
      <c r="H798" s="397">
        <f t="shared" si="73"/>
        <v>88.819000000000003</v>
      </c>
      <c r="I798" s="397">
        <f t="shared" si="74"/>
        <v>0</v>
      </c>
      <c r="J798" s="396">
        <f t="shared" si="75"/>
        <v>0</v>
      </c>
      <c r="K798" s="396">
        <f t="shared" si="76"/>
        <v>0</v>
      </c>
      <c r="L798" s="396">
        <f t="shared" si="77"/>
        <v>0</v>
      </c>
    </row>
    <row r="799" spans="2:12" ht="18">
      <c r="B799" s="391">
        <v>106</v>
      </c>
      <c r="C799" s="410" t="s">
        <v>261</v>
      </c>
      <c r="D799" s="411" t="s">
        <v>136</v>
      </c>
      <c r="E799" s="412">
        <v>2.1259999999999999</v>
      </c>
      <c r="F799" s="413">
        <v>41802</v>
      </c>
      <c r="G799" s="396">
        <v>1</v>
      </c>
      <c r="H799" s="397">
        <f t="shared" si="73"/>
        <v>2.1259999999999999</v>
      </c>
      <c r="I799" s="397">
        <f t="shared" si="74"/>
        <v>0</v>
      </c>
      <c r="J799" s="396">
        <f t="shared" si="75"/>
        <v>0</v>
      </c>
      <c r="K799" s="396">
        <f t="shared" si="76"/>
        <v>0</v>
      </c>
      <c r="L799" s="396">
        <f t="shared" si="77"/>
        <v>0</v>
      </c>
    </row>
    <row r="800" spans="2:12" ht="18">
      <c r="B800" s="391">
        <v>105</v>
      </c>
      <c r="C800" s="410" t="s">
        <v>262</v>
      </c>
      <c r="D800" s="411" t="s">
        <v>130</v>
      </c>
      <c r="E800" s="412">
        <v>46.6</v>
      </c>
      <c r="F800" s="413">
        <v>41796</v>
      </c>
      <c r="G800" s="396">
        <v>1</v>
      </c>
      <c r="H800" s="397">
        <f t="shared" si="73"/>
        <v>46.6</v>
      </c>
      <c r="I800" s="397">
        <f t="shared" si="74"/>
        <v>0</v>
      </c>
      <c r="J800" s="396">
        <f t="shared" si="75"/>
        <v>0</v>
      </c>
      <c r="K800" s="396">
        <f t="shared" si="76"/>
        <v>0</v>
      </c>
      <c r="L800" s="396">
        <f t="shared" si="77"/>
        <v>0</v>
      </c>
    </row>
    <row r="801" spans="2:12" ht="18">
      <c r="B801" s="398">
        <v>104</v>
      </c>
      <c r="C801" s="410" t="s">
        <v>263</v>
      </c>
      <c r="D801" s="411" t="s">
        <v>132</v>
      </c>
      <c r="E801" s="412">
        <v>2</v>
      </c>
      <c r="F801" s="413">
        <v>41796</v>
      </c>
      <c r="G801" s="396">
        <v>1</v>
      </c>
      <c r="H801" s="397">
        <f t="shared" si="73"/>
        <v>2</v>
      </c>
      <c r="I801" s="397">
        <f t="shared" si="74"/>
        <v>0</v>
      </c>
      <c r="J801" s="396">
        <f t="shared" si="75"/>
        <v>0</v>
      </c>
      <c r="K801" s="396">
        <f t="shared" si="76"/>
        <v>0</v>
      </c>
      <c r="L801" s="396">
        <f t="shared" si="77"/>
        <v>0</v>
      </c>
    </row>
    <row r="802" spans="2:12" ht="18">
      <c r="B802" s="398">
        <v>103</v>
      </c>
      <c r="C802" s="410" t="s">
        <v>264</v>
      </c>
      <c r="D802" s="411" t="s">
        <v>131</v>
      </c>
      <c r="E802" s="412">
        <v>319.82</v>
      </c>
      <c r="F802" s="413">
        <v>41795</v>
      </c>
      <c r="G802" s="396">
        <v>1</v>
      </c>
      <c r="H802" s="397">
        <f t="shared" si="73"/>
        <v>319.82</v>
      </c>
      <c r="I802" s="397">
        <f t="shared" si="74"/>
        <v>0</v>
      </c>
      <c r="J802" s="396">
        <f t="shared" si="75"/>
        <v>319.82</v>
      </c>
      <c r="K802" s="396">
        <f t="shared" si="76"/>
        <v>0</v>
      </c>
      <c r="L802" s="396">
        <f t="shared" si="77"/>
        <v>0</v>
      </c>
    </row>
    <row r="803" spans="2:12" ht="18">
      <c r="B803" s="391">
        <v>102</v>
      </c>
      <c r="C803" s="410" t="s">
        <v>265</v>
      </c>
      <c r="D803" s="411" t="s">
        <v>137</v>
      </c>
      <c r="E803" s="412">
        <v>17</v>
      </c>
      <c r="F803" s="413">
        <v>41793</v>
      </c>
      <c r="G803" s="396">
        <v>1</v>
      </c>
      <c r="H803" s="397">
        <f t="shared" si="73"/>
        <v>17</v>
      </c>
      <c r="I803" s="397">
        <f t="shared" si="74"/>
        <v>0</v>
      </c>
      <c r="J803" s="396">
        <f t="shared" si="75"/>
        <v>0</v>
      </c>
      <c r="K803" s="396">
        <f t="shared" si="76"/>
        <v>0</v>
      </c>
      <c r="L803" s="396">
        <f t="shared" si="77"/>
        <v>0</v>
      </c>
    </row>
    <row r="804" spans="2:12" ht="18">
      <c r="B804" s="391">
        <v>101</v>
      </c>
      <c r="C804" s="392" t="s">
        <v>239</v>
      </c>
      <c r="D804" s="408" t="s">
        <v>132</v>
      </c>
      <c r="E804" s="394">
        <v>15</v>
      </c>
      <c r="F804" s="395">
        <v>41790</v>
      </c>
      <c r="G804" s="396">
        <v>1</v>
      </c>
      <c r="H804" s="397">
        <f t="shared" si="73"/>
        <v>15</v>
      </c>
      <c r="I804" s="397">
        <f t="shared" si="74"/>
        <v>0</v>
      </c>
      <c r="J804" s="396">
        <f t="shared" si="75"/>
        <v>0</v>
      </c>
      <c r="K804" s="396">
        <f t="shared" si="76"/>
        <v>0</v>
      </c>
      <c r="L804" s="396">
        <f t="shared" si="77"/>
        <v>0</v>
      </c>
    </row>
    <row r="805" spans="2:12" ht="72">
      <c r="B805" s="398">
        <v>100</v>
      </c>
      <c r="C805" s="410" t="s">
        <v>266</v>
      </c>
      <c r="D805" s="411" t="s">
        <v>131</v>
      </c>
      <c r="E805" s="412">
        <v>1.1890000000000001</v>
      </c>
      <c r="F805" s="413">
        <v>41790</v>
      </c>
      <c r="G805" s="396">
        <v>1</v>
      </c>
      <c r="H805" s="397">
        <f t="shared" ref="H805:H821" si="78">E805*G805</f>
        <v>1.1890000000000001</v>
      </c>
      <c r="I805" s="397">
        <f t="shared" ref="I805:I821" si="79">E805-H805</f>
        <v>0</v>
      </c>
      <c r="J805" s="396">
        <f t="shared" ref="J805:J821" si="80">OR(IF((D805="DG"),1,0),IF(D805="DG/FO",1,0),IF(D805="DG/FO/Linyit",1,0))*E805</f>
        <v>1.1890000000000001</v>
      </c>
      <c r="K805" s="396">
        <f t="shared" ref="K805:K821" si="81">IF(D805="İTHAL KÖMÜR",1,0)*E805</f>
        <v>0</v>
      </c>
      <c r="L805" s="396">
        <f t="shared" ref="L805:L821" si="82">IF(D805="LİNYİT",1,0)*E805</f>
        <v>0</v>
      </c>
    </row>
    <row r="806" spans="2:12" ht="18">
      <c r="B806" s="399">
        <v>99</v>
      </c>
      <c r="C806" s="400" t="s">
        <v>116</v>
      </c>
      <c r="D806" s="409" t="s">
        <v>132</v>
      </c>
      <c r="E806" s="402">
        <v>10</v>
      </c>
      <c r="F806" s="403">
        <v>41790</v>
      </c>
      <c r="G806" s="404">
        <v>0</v>
      </c>
      <c r="H806" s="405">
        <f t="shared" si="78"/>
        <v>0</v>
      </c>
      <c r="I806" s="405">
        <f t="shared" si="79"/>
        <v>10</v>
      </c>
      <c r="J806" s="404">
        <f t="shared" si="80"/>
        <v>0</v>
      </c>
      <c r="K806" s="404">
        <f t="shared" si="81"/>
        <v>0</v>
      </c>
      <c r="L806" s="404">
        <f t="shared" si="82"/>
        <v>0</v>
      </c>
    </row>
    <row r="807" spans="2:12" ht="18">
      <c r="B807" s="391">
        <v>98</v>
      </c>
      <c r="C807" s="410" t="s">
        <v>263</v>
      </c>
      <c r="D807" s="411" t="s">
        <v>132</v>
      </c>
      <c r="E807" s="412">
        <v>6</v>
      </c>
      <c r="F807" s="413">
        <v>41789</v>
      </c>
      <c r="G807" s="396">
        <v>1</v>
      </c>
      <c r="H807" s="397">
        <f t="shared" si="78"/>
        <v>6</v>
      </c>
      <c r="I807" s="397">
        <f t="shared" si="79"/>
        <v>0</v>
      </c>
      <c r="J807" s="396">
        <f t="shared" si="80"/>
        <v>0</v>
      </c>
      <c r="K807" s="396">
        <f t="shared" si="81"/>
        <v>0</v>
      </c>
      <c r="L807" s="396">
        <f t="shared" si="82"/>
        <v>0</v>
      </c>
    </row>
    <row r="808" spans="2:12" ht="36">
      <c r="B808" s="391">
        <v>97</v>
      </c>
      <c r="C808" s="410" t="s">
        <v>260</v>
      </c>
      <c r="D808" s="411" t="s">
        <v>130</v>
      </c>
      <c r="E808" s="412">
        <v>156.01</v>
      </c>
      <c r="F808" s="413">
        <v>41789</v>
      </c>
      <c r="G808" s="396">
        <v>1</v>
      </c>
      <c r="H808" s="397">
        <f t="shared" si="78"/>
        <v>156.01</v>
      </c>
      <c r="I808" s="397">
        <f t="shared" si="79"/>
        <v>0</v>
      </c>
      <c r="J808" s="396">
        <f t="shared" si="80"/>
        <v>0</v>
      </c>
      <c r="K808" s="396">
        <f t="shared" si="81"/>
        <v>0</v>
      </c>
      <c r="L808" s="396">
        <f t="shared" si="82"/>
        <v>0</v>
      </c>
    </row>
    <row r="809" spans="2:12" ht="18">
      <c r="B809" s="399">
        <v>96</v>
      </c>
      <c r="C809" s="400" t="s">
        <v>245</v>
      </c>
      <c r="D809" s="409" t="s">
        <v>132</v>
      </c>
      <c r="E809" s="402">
        <v>7.5</v>
      </c>
      <c r="F809" s="403">
        <v>41788</v>
      </c>
      <c r="G809" s="404">
        <v>0</v>
      </c>
      <c r="H809" s="405">
        <f t="shared" si="78"/>
        <v>0</v>
      </c>
      <c r="I809" s="405">
        <f t="shared" si="79"/>
        <v>7.5</v>
      </c>
      <c r="J809" s="404">
        <f t="shared" si="80"/>
        <v>0</v>
      </c>
      <c r="K809" s="404">
        <f t="shared" si="81"/>
        <v>0</v>
      </c>
      <c r="L809" s="404">
        <f t="shared" si="82"/>
        <v>0</v>
      </c>
    </row>
    <row r="810" spans="2:12" ht="72">
      <c r="B810" s="398">
        <v>95</v>
      </c>
      <c r="C810" s="410" t="s">
        <v>267</v>
      </c>
      <c r="D810" s="411" t="s">
        <v>131</v>
      </c>
      <c r="E810" s="412">
        <v>4.3</v>
      </c>
      <c r="F810" s="413">
        <v>41786</v>
      </c>
      <c r="G810" s="396">
        <v>1</v>
      </c>
      <c r="H810" s="397">
        <f t="shared" si="78"/>
        <v>4.3</v>
      </c>
      <c r="I810" s="397">
        <f t="shared" si="79"/>
        <v>0</v>
      </c>
      <c r="J810" s="396">
        <f t="shared" si="80"/>
        <v>4.3</v>
      </c>
      <c r="K810" s="396">
        <f t="shared" si="81"/>
        <v>0</v>
      </c>
      <c r="L810" s="396">
        <f t="shared" si="82"/>
        <v>0</v>
      </c>
    </row>
    <row r="811" spans="2:12" ht="18">
      <c r="B811" s="399">
        <v>94</v>
      </c>
      <c r="C811" s="400" t="s">
        <v>117</v>
      </c>
      <c r="D811" s="409" t="s">
        <v>132</v>
      </c>
      <c r="E811" s="402">
        <v>13.94</v>
      </c>
      <c r="F811" s="403">
        <v>41784</v>
      </c>
      <c r="G811" s="404">
        <v>0</v>
      </c>
      <c r="H811" s="405">
        <f t="shared" si="78"/>
        <v>0</v>
      </c>
      <c r="I811" s="405">
        <f t="shared" si="79"/>
        <v>13.94</v>
      </c>
      <c r="J811" s="404">
        <f t="shared" si="80"/>
        <v>0</v>
      </c>
      <c r="K811" s="404">
        <f t="shared" si="81"/>
        <v>0</v>
      </c>
      <c r="L811" s="404">
        <f t="shared" si="82"/>
        <v>0</v>
      </c>
    </row>
    <row r="812" spans="2:12" ht="18">
      <c r="B812" s="391">
        <v>93</v>
      </c>
      <c r="C812" s="410" t="s">
        <v>249</v>
      </c>
      <c r="D812" s="411" t="s">
        <v>132</v>
      </c>
      <c r="E812" s="412">
        <v>25.5</v>
      </c>
      <c r="F812" s="413">
        <v>41776</v>
      </c>
      <c r="G812" s="396">
        <v>1</v>
      </c>
      <c r="H812" s="397">
        <f t="shared" si="78"/>
        <v>25.5</v>
      </c>
      <c r="I812" s="397">
        <f t="shared" si="79"/>
        <v>0</v>
      </c>
      <c r="J812" s="396">
        <f t="shared" si="80"/>
        <v>0</v>
      </c>
      <c r="K812" s="396">
        <f t="shared" si="81"/>
        <v>0</v>
      </c>
      <c r="L812" s="396">
        <f t="shared" si="82"/>
        <v>0</v>
      </c>
    </row>
    <row r="813" spans="2:12" ht="18">
      <c r="B813" s="399">
        <v>92</v>
      </c>
      <c r="C813" s="400" t="s">
        <v>244</v>
      </c>
      <c r="D813" s="409" t="s">
        <v>132</v>
      </c>
      <c r="E813" s="402">
        <v>23</v>
      </c>
      <c r="F813" s="403">
        <v>41776</v>
      </c>
      <c r="G813" s="404">
        <v>0</v>
      </c>
      <c r="H813" s="405">
        <f t="shared" si="78"/>
        <v>0</v>
      </c>
      <c r="I813" s="405">
        <f t="shared" si="79"/>
        <v>23</v>
      </c>
      <c r="J813" s="404">
        <f t="shared" si="80"/>
        <v>0</v>
      </c>
      <c r="K813" s="404">
        <f t="shared" si="81"/>
        <v>0</v>
      </c>
      <c r="L813" s="404">
        <f t="shared" si="82"/>
        <v>0</v>
      </c>
    </row>
    <row r="814" spans="2:12" ht="36">
      <c r="B814" s="398">
        <v>91</v>
      </c>
      <c r="C814" s="410" t="s">
        <v>155</v>
      </c>
      <c r="D814" s="411" t="s">
        <v>130</v>
      </c>
      <c r="E814" s="412">
        <v>2.5</v>
      </c>
      <c r="F814" s="413">
        <v>41775</v>
      </c>
      <c r="G814" s="396">
        <v>1</v>
      </c>
      <c r="H814" s="397">
        <f t="shared" si="78"/>
        <v>2.5</v>
      </c>
      <c r="I814" s="397">
        <f t="shared" si="79"/>
        <v>0</v>
      </c>
      <c r="J814" s="396">
        <f t="shared" si="80"/>
        <v>0</v>
      </c>
      <c r="K814" s="396">
        <f t="shared" si="81"/>
        <v>0</v>
      </c>
      <c r="L814" s="396">
        <f t="shared" si="82"/>
        <v>0</v>
      </c>
    </row>
    <row r="815" spans="2:12" ht="36">
      <c r="B815" s="391">
        <v>90</v>
      </c>
      <c r="C815" s="410" t="s">
        <v>268</v>
      </c>
      <c r="D815" s="411" t="s">
        <v>130</v>
      </c>
      <c r="E815" s="412">
        <v>5.4219999999999997</v>
      </c>
      <c r="F815" s="413">
        <v>41775</v>
      </c>
      <c r="G815" s="396">
        <v>1</v>
      </c>
      <c r="H815" s="397">
        <f t="shared" si="78"/>
        <v>5.4219999999999997</v>
      </c>
      <c r="I815" s="397">
        <f t="shared" si="79"/>
        <v>0</v>
      </c>
      <c r="J815" s="396">
        <f t="shared" si="80"/>
        <v>0</v>
      </c>
      <c r="K815" s="396">
        <f t="shared" si="81"/>
        <v>0</v>
      </c>
      <c r="L815" s="396">
        <f t="shared" si="82"/>
        <v>0</v>
      </c>
    </row>
    <row r="816" spans="2:12" ht="18">
      <c r="B816" s="391">
        <v>89</v>
      </c>
      <c r="C816" s="410" t="s">
        <v>263</v>
      </c>
      <c r="D816" s="411" t="s">
        <v>132</v>
      </c>
      <c r="E816" s="412">
        <v>12</v>
      </c>
      <c r="F816" s="413">
        <v>41773</v>
      </c>
      <c r="G816" s="396">
        <v>1</v>
      </c>
      <c r="H816" s="397">
        <f t="shared" si="78"/>
        <v>12</v>
      </c>
      <c r="I816" s="397">
        <f t="shared" si="79"/>
        <v>0</v>
      </c>
      <c r="J816" s="396">
        <f t="shared" si="80"/>
        <v>0</v>
      </c>
      <c r="K816" s="396">
        <f t="shared" si="81"/>
        <v>0</v>
      </c>
      <c r="L816" s="396">
        <f t="shared" si="82"/>
        <v>0</v>
      </c>
    </row>
    <row r="817" spans="2:12" ht="18">
      <c r="B817" s="398">
        <v>88</v>
      </c>
      <c r="C817" s="410" t="s">
        <v>201</v>
      </c>
      <c r="D817" s="411" t="s">
        <v>130</v>
      </c>
      <c r="E817" s="412">
        <v>3.6949999999999998</v>
      </c>
      <c r="F817" s="413">
        <v>41772</v>
      </c>
      <c r="G817" s="396">
        <v>1</v>
      </c>
      <c r="H817" s="397">
        <f t="shared" si="78"/>
        <v>3.6949999999999998</v>
      </c>
      <c r="I817" s="397">
        <f t="shared" si="79"/>
        <v>0</v>
      </c>
      <c r="J817" s="396">
        <f t="shared" si="80"/>
        <v>0</v>
      </c>
      <c r="K817" s="396">
        <f t="shared" si="81"/>
        <v>0</v>
      </c>
      <c r="L817" s="396">
        <f t="shared" si="82"/>
        <v>0</v>
      </c>
    </row>
    <row r="818" spans="2:12" ht="72">
      <c r="B818" s="398">
        <v>87</v>
      </c>
      <c r="C818" s="410" t="s">
        <v>270</v>
      </c>
      <c r="D818" s="411" t="s">
        <v>269</v>
      </c>
      <c r="E818" s="412">
        <v>7.04</v>
      </c>
      <c r="F818" s="413">
        <v>41770</v>
      </c>
      <c r="G818" s="396">
        <v>1</v>
      </c>
      <c r="H818" s="397">
        <f t="shared" si="78"/>
        <v>7.04</v>
      </c>
      <c r="I818" s="397">
        <f t="shared" si="79"/>
        <v>0</v>
      </c>
      <c r="J818" s="396">
        <f t="shared" si="80"/>
        <v>0</v>
      </c>
      <c r="K818" s="396">
        <f t="shared" si="81"/>
        <v>0</v>
      </c>
      <c r="L818" s="396">
        <f t="shared" si="82"/>
        <v>0</v>
      </c>
    </row>
    <row r="819" spans="2:12" ht="54">
      <c r="B819" s="391">
        <v>86</v>
      </c>
      <c r="C819" s="410" t="s">
        <v>271</v>
      </c>
      <c r="D819" s="411" t="s">
        <v>131</v>
      </c>
      <c r="E819" s="412">
        <v>2.0059999999999998</v>
      </c>
      <c r="F819" s="413">
        <v>41769</v>
      </c>
      <c r="G819" s="396">
        <v>1</v>
      </c>
      <c r="H819" s="397">
        <f t="shared" si="78"/>
        <v>2.0059999999999998</v>
      </c>
      <c r="I819" s="397">
        <f t="shared" si="79"/>
        <v>0</v>
      </c>
      <c r="J819" s="396">
        <f t="shared" si="80"/>
        <v>2.0059999999999998</v>
      </c>
      <c r="K819" s="396">
        <f t="shared" si="81"/>
        <v>0</v>
      </c>
      <c r="L819" s="396">
        <f t="shared" si="82"/>
        <v>0</v>
      </c>
    </row>
    <row r="820" spans="2:12" ht="18">
      <c r="B820" s="399">
        <v>85</v>
      </c>
      <c r="C820" s="400" t="s">
        <v>245</v>
      </c>
      <c r="D820" s="409" t="s">
        <v>132</v>
      </c>
      <c r="E820" s="402">
        <v>10</v>
      </c>
      <c r="F820" s="403">
        <v>41768</v>
      </c>
      <c r="G820" s="404">
        <v>0</v>
      </c>
      <c r="H820" s="405">
        <f t="shared" si="78"/>
        <v>0</v>
      </c>
      <c r="I820" s="405">
        <f t="shared" si="79"/>
        <v>10</v>
      </c>
      <c r="J820" s="404">
        <f t="shared" si="80"/>
        <v>0</v>
      </c>
      <c r="K820" s="404">
        <f t="shared" si="81"/>
        <v>0</v>
      </c>
      <c r="L820" s="404">
        <f t="shared" si="82"/>
        <v>0</v>
      </c>
    </row>
    <row r="821" spans="2:12" ht="18">
      <c r="B821" s="398">
        <v>84</v>
      </c>
      <c r="C821" s="410" t="s">
        <v>226</v>
      </c>
      <c r="D821" s="411" t="s">
        <v>130</v>
      </c>
      <c r="E821" s="412">
        <v>12.8</v>
      </c>
      <c r="F821" s="413">
        <v>41768</v>
      </c>
      <c r="G821" s="396">
        <v>1</v>
      </c>
      <c r="H821" s="397">
        <f t="shared" si="78"/>
        <v>12.8</v>
      </c>
      <c r="I821" s="397">
        <f t="shared" si="79"/>
        <v>0</v>
      </c>
      <c r="J821" s="396">
        <f t="shared" si="80"/>
        <v>0</v>
      </c>
      <c r="K821" s="396">
        <f t="shared" si="81"/>
        <v>0</v>
      </c>
      <c r="L821" s="396">
        <f t="shared" si="82"/>
        <v>0</v>
      </c>
    </row>
    <row r="822" spans="2:12">
      <c r="E822" s="203">
        <f>SUM(E679:E821)</f>
        <v>4403.4036000000006</v>
      </c>
      <c r="F822" s="203"/>
      <c r="G822" s="203">
        <f t="shared" ref="G822:L822" si="83">SUM(G679:G821)</f>
        <v>113</v>
      </c>
      <c r="H822" s="203">
        <f t="shared" si="83"/>
        <v>4053.1636000000012</v>
      </c>
      <c r="I822" s="203">
        <f t="shared" si="83"/>
        <v>350.24</v>
      </c>
      <c r="J822" s="203">
        <f t="shared" si="83"/>
        <v>1032.7640000000001</v>
      </c>
      <c r="K822" s="203">
        <f t="shared" si="83"/>
        <v>1800</v>
      </c>
      <c r="L822" s="203">
        <f t="shared" si="83"/>
        <v>7.14</v>
      </c>
    </row>
  </sheetData>
  <mergeCells count="8">
    <mergeCell ref="R35:S35"/>
    <mergeCell ref="B458:L458"/>
    <mergeCell ref="B13:L13"/>
    <mergeCell ref="O14:P14"/>
    <mergeCell ref="O15:P15"/>
    <mergeCell ref="O16:P16"/>
    <mergeCell ref="O17:P17"/>
    <mergeCell ref="B212:H212"/>
  </mergeCells>
  <hyperlinks>
    <hyperlink ref="N3" r:id="rId1" xr:uid="{00000000-0004-0000-0900-000000000000}"/>
    <hyperlink ref="B5" r:id="rId2" xr:uid="{00000000-0004-0000-0900-000001000000}"/>
    <hyperlink ref="B1" r:id="rId3" xr:uid="{00000000-0004-0000-0900-000002000000}"/>
  </hyperlinks>
  <pageMargins left="0.75" right="0.75" top="1" bottom="1" header="0.5" footer="0.5"/>
  <pageSetup orientation="portrait"/>
  <headerFooter alignWithMargins="0"/>
  <legacyDrawing r:id="rId4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2:J29"/>
  <sheetViews>
    <sheetView topLeftCell="A11" workbookViewId="0">
      <selection activeCell="E31" sqref="E31"/>
    </sheetView>
  </sheetViews>
  <sheetFormatPr baseColWidth="10" defaultColWidth="8.83203125" defaultRowHeight="17"/>
  <cols>
    <col min="1" max="1" width="8.83203125" style="415"/>
    <col min="2" max="2" width="16" style="415" customWidth="1"/>
    <col min="3" max="3" width="16.6640625" style="415" customWidth="1"/>
    <col min="4" max="4" width="24.5" style="415" customWidth="1"/>
    <col min="5" max="8" width="16" style="415" customWidth="1"/>
    <col min="9" max="9" width="11.33203125" style="415" customWidth="1"/>
    <col min="10" max="10" width="13.6640625" style="415" customWidth="1"/>
    <col min="11" max="11" width="8.83203125" style="415"/>
    <col min="12" max="13" width="23.33203125" style="415" customWidth="1"/>
    <col min="14" max="14" width="16.1640625" style="415" customWidth="1"/>
    <col min="15" max="15" width="12.33203125" style="415" customWidth="1"/>
    <col min="16" max="16384" width="8.83203125" style="415"/>
  </cols>
  <sheetData>
    <row r="2" spans="2:10" ht="30" customHeight="1">
      <c r="B2" s="42"/>
      <c r="C2" s="42"/>
      <c r="D2" s="526" t="s">
        <v>704</v>
      </c>
      <c r="E2" s="526"/>
      <c r="F2" s="526"/>
      <c r="G2" s="526"/>
      <c r="H2" s="526"/>
    </row>
    <row r="3" spans="2:10" ht="54">
      <c r="B3" s="416"/>
      <c r="C3" s="416"/>
      <c r="D3" s="417" t="s">
        <v>705</v>
      </c>
      <c r="E3" s="418" t="s">
        <v>706</v>
      </c>
      <c r="F3" s="418" t="s">
        <v>707</v>
      </c>
      <c r="G3" s="418" t="s">
        <v>708</v>
      </c>
      <c r="H3" s="418" t="s">
        <v>709</v>
      </c>
    </row>
    <row r="4" spans="2:10">
      <c r="B4" s="416"/>
      <c r="C4" s="416"/>
      <c r="D4" s="274" t="s">
        <v>818</v>
      </c>
      <c r="E4" s="421">
        <v>8.4</v>
      </c>
      <c r="F4" s="422">
        <v>6500</v>
      </c>
      <c r="G4" s="422">
        <f>E4*F4*326/365</f>
        <v>48766.027397260274</v>
      </c>
      <c r="H4" s="276">
        <f>'Combined Margin EF'!D11</f>
        <v>19278</v>
      </c>
    </row>
    <row r="5" spans="2:10" ht="23.5" customHeight="1">
      <c r="B5" s="419" t="s">
        <v>710</v>
      </c>
      <c r="C5" s="420">
        <f>'Combined Margin EF'!D5</f>
        <v>0.39534240391185799</v>
      </c>
      <c r="D5" s="423" t="s">
        <v>816</v>
      </c>
      <c r="E5" s="421">
        <v>8.4</v>
      </c>
      <c r="F5" s="422">
        <v>6500</v>
      </c>
      <c r="G5" s="422">
        <f>E5*F5</f>
        <v>54600</v>
      </c>
      <c r="H5" s="276">
        <f>'Combined Margin EF'!D12</f>
        <v>21585</v>
      </c>
      <c r="J5" s="472"/>
    </row>
    <row r="6" spans="2:10" ht="16.75" customHeight="1">
      <c r="B6" s="42"/>
      <c r="C6" s="42"/>
      <c r="D6" s="423">
        <v>2020</v>
      </c>
      <c r="E6" s="421">
        <v>8.4</v>
      </c>
      <c r="F6" s="422">
        <v>6500</v>
      </c>
      <c r="G6" s="422">
        <f t="shared" ref="G6:G10" si="0">E6*F6</f>
        <v>54600</v>
      </c>
      <c r="H6" s="276">
        <f>'Combined Margin EF'!D13</f>
        <v>21585</v>
      </c>
      <c r="J6" s="472"/>
    </row>
    <row r="7" spans="2:10">
      <c r="B7" s="42"/>
      <c r="C7" s="42"/>
      <c r="D7" s="423">
        <v>2021</v>
      </c>
      <c r="E7" s="421">
        <v>8.4</v>
      </c>
      <c r="F7" s="422">
        <v>6500</v>
      </c>
      <c r="G7" s="422">
        <f t="shared" si="0"/>
        <v>54600</v>
      </c>
      <c r="H7" s="276">
        <f>'Combined Margin EF'!D14</f>
        <v>21585</v>
      </c>
      <c r="J7" s="472"/>
    </row>
    <row r="8" spans="2:10">
      <c r="B8" s="42"/>
      <c r="C8" s="42"/>
      <c r="D8" s="423">
        <v>2022</v>
      </c>
      <c r="E8" s="421">
        <v>8.4</v>
      </c>
      <c r="F8" s="422">
        <v>6500</v>
      </c>
      <c r="G8" s="422">
        <f t="shared" si="0"/>
        <v>54600</v>
      </c>
      <c r="H8" s="276">
        <f>'Combined Margin EF'!D15</f>
        <v>21585</v>
      </c>
      <c r="J8" s="472"/>
    </row>
    <row r="9" spans="2:10">
      <c r="B9" s="42"/>
      <c r="C9" s="42"/>
      <c r="D9" s="423">
        <v>2023</v>
      </c>
      <c r="E9" s="421">
        <v>8.4</v>
      </c>
      <c r="F9" s="422">
        <v>6500</v>
      </c>
      <c r="G9" s="422">
        <f t="shared" si="0"/>
        <v>54600</v>
      </c>
      <c r="H9" s="276">
        <f>'Combined Margin EF'!D16</f>
        <v>21585</v>
      </c>
      <c r="J9" s="472"/>
    </row>
    <row r="10" spans="2:10" ht="25.25" customHeight="1">
      <c r="B10" s="42"/>
      <c r="C10" s="42"/>
      <c r="D10" s="424">
        <v>2024</v>
      </c>
      <c r="E10" s="421">
        <v>8.4</v>
      </c>
      <c r="F10" s="422">
        <v>6500</v>
      </c>
      <c r="G10" s="422">
        <f t="shared" si="0"/>
        <v>54600</v>
      </c>
      <c r="H10" s="276">
        <f>'Combined Margin EF'!D17</f>
        <v>21585</v>
      </c>
      <c r="J10" s="472"/>
    </row>
    <row r="11" spans="2:10" ht="25.25" customHeight="1">
      <c r="B11" s="42"/>
      <c r="C11" s="42"/>
      <c r="D11" s="274" t="s">
        <v>793</v>
      </c>
      <c r="E11" s="421">
        <v>8.4</v>
      </c>
      <c r="F11" s="422">
        <v>6500</v>
      </c>
      <c r="G11" s="422">
        <f>E11*F11*39/365</f>
        <v>5833.9726027397264</v>
      </c>
      <c r="H11" s="276">
        <f>'Combined Margin EF'!D18</f>
        <v>2306</v>
      </c>
      <c r="J11" s="472"/>
    </row>
    <row r="12" spans="2:10">
      <c r="B12" s="42"/>
      <c r="C12" s="42"/>
      <c r="D12" s="425" t="s">
        <v>822</v>
      </c>
      <c r="E12" s="426"/>
      <c r="F12" s="427">
        <f>SUM(F5:F11)</f>
        <v>45500</v>
      </c>
      <c r="G12" s="427">
        <f>SUM(G4:G11)</f>
        <v>382200</v>
      </c>
      <c r="H12" s="427">
        <f>SUM(H4:H11)</f>
        <v>151094</v>
      </c>
    </row>
    <row r="14" spans="2:10">
      <c r="D14" s="415" t="s">
        <v>828</v>
      </c>
      <c r="G14" s="422">
        <f>G10*119/365</f>
        <v>17801.095890410958</v>
      </c>
    </row>
    <row r="17" spans="4:10" ht="90">
      <c r="D17" s="428" t="s">
        <v>711</v>
      </c>
      <c r="E17" s="428" t="s">
        <v>774</v>
      </c>
      <c r="F17" s="429" t="s">
        <v>775</v>
      </c>
      <c r="H17" s="428" t="s">
        <v>758</v>
      </c>
      <c r="I17" s="429" t="s">
        <v>794</v>
      </c>
      <c r="J17" s="429" t="s">
        <v>775</v>
      </c>
    </row>
    <row r="18" spans="4:10" ht="36">
      <c r="D18" s="428">
        <v>2018</v>
      </c>
      <c r="E18" s="430">
        <v>172395</v>
      </c>
      <c r="F18" s="430">
        <v>22483190.995670997</v>
      </c>
      <c r="H18" s="428" t="s">
        <v>818</v>
      </c>
      <c r="I18" s="431">
        <f>C19/F18*100</f>
        <v>0</v>
      </c>
      <c r="J18" s="430">
        <f>F18*326/365</f>
        <v>20080877.43722944</v>
      </c>
    </row>
    <row r="19" spans="4:10">
      <c r="D19" s="428">
        <v>2019</v>
      </c>
      <c r="E19" s="430">
        <f>E18*1.05</f>
        <v>181014.75</v>
      </c>
      <c r="F19" s="430">
        <f>F18*1.05</f>
        <v>23607350.545454547</v>
      </c>
      <c r="H19" s="428">
        <v>2019</v>
      </c>
      <c r="I19" s="431">
        <f>C20/F19*100</f>
        <v>0</v>
      </c>
      <c r="J19" s="430">
        <f>F19</f>
        <v>23607350.545454547</v>
      </c>
    </row>
    <row r="20" spans="4:10">
      <c r="D20" s="428">
        <v>2020</v>
      </c>
      <c r="E20" s="430">
        <f t="shared" ref="E20:E24" si="1">E19*1.05</f>
        <v>190065.48750000002</v>
      </c>
      <c r="F20" s="430">
        <f>F19*1.05</f>
        <v>24787718.072727274</v>
      </c>
      <c r="H20" s="428">
        <v>2020</v>
      </c>
      <c r="I20" s="431">
        <f t="shared" ref="I20:I25" si="2">E20/F20*100</f>
        <v>0.76677283057015189</v>
      </c>
      <c r="J20" s="430">
        <f>F20</f>
        <v>24787718.072727274</v>
      </c>
    </row>
    <row r="21" spans="4:10">
      <c r="D21" s="428">
        <v>2021</v>
      </c>
      <c r="E21" s="430">
        <f t="shared" si="1"/>
        <v>199568.76187500003</v>
      </c>
      <c r="F21" s="430">
        <f t="shared" ref="F21:F25" si="3">F20*1.05</f>
        <v>26027103.97636364</v>
      </c>
      <c r="G21" s="430"/>
      <c r="H21" s="428">
        <v>2021</v>
      </c>
      <c r="I21" s="431">
        <f t="shared" si="2"/>
        <v>0.76677283057015178</v>
      </c>
      <c r="J21" s="430">
        <f t="shared" ref="J21:J24" si="4">F21</f>
        <v>26027103.97636364</v>
      </c>
    </row>
    <row r="22" spans="4:10">
      <c r="D22" s="428">
        <v>2022</v>
      </c>
      <c r="E22" s="430">
        <f t="shared" si="1"/>
        <v>209547.19996875004</v>
      </c>
      <c r="F22" s="430">
        <f t="shared" si="3"/>
        <v>27328459.175181825</v>
      </c>
      <c r="H22" s="428">
        <v>2022</v>
      </c>
      <c r="I22" s="431">
        <f t="shared" si="2"/>
        <v>0.76677283057015178</v>
      </c>
      <c r="J22" s="430">
        <f t="shared" si="4"/>
        <v>27328459.175181825</v>
      </c>
    </row>
    <row r="23" spans="4:10">
      <c r="D23" s="428">
        <v>2023</v>
      </c>
      <c r="E23" s="430">
        <f t="shared" si="1"/>
        <v>220024.55996718755</v>
      </c>
      <c r="F23" s="430">
        <f t="shared" si="3"/>
        <v>28694882.133940917</v>
      </c>
      <c r="H23" s="428">
        <v>2023</v>
      </c>
      <c r="I23" s="431">
        <f t="shared" si="2"/>
        <v>0.76677283057015178</v>
      </c>
      <c r="J23" s="430">
        <f t="shared" si="4"/>
        <v>28694882.133940917</v>
      </c>
    </row>
    <row r="24" spans="4:10">
      <c r="D24" s="428">
        <v>2024</v>
      </c>
      <c r="E24" s="430">
        <f t="shared" si="1"/>
        <v>231025.78796554694</v>
      </c>
      <c r="F24" s="430">
        <f t="shared" si="3"/>
        <v>30129626.240637962</v>
      </c>
      <c r="H24" s="428">
        <v>2024</v>
      </c>
      <c r="I24" s="431">
        <f t="shared" si="2"/>
        <v>0.76677283057015189</v>
      </c>
      <c r="J24" s="430">
        <f t="shared" si="4"/>
        <v>30129626.240637962</v>
      </c>
    </row>
    <row r="25" spans="4:10" ht="36">
      <c r="D25" s="428">
        <v>2025</v>
      </c>
      <c r="E25" s="430">
        <f>E24*1.05</f>
        <v>242577.0773638243</v>
      </c>
      <c r="F25" s="430">
        <f t="shared" si="3"/>
        <v>31636107.55266986</v>
      </c>
      <c r="H25" s="428" t="s">
        <v>793</v>
      </c>
      <c r="I25" s="431">
        <f t="shared" si="2"/>
        <v>0.76677283057015189</v>
      </c>
      <c r="J25" s="430">
        <f>F25/365*39</f>
        <v>3380296.4234359576</v>
      </c>
    </row>
    <row r="27" spans="4:10" ht="36">
      <c r="H27" s="428" t="s">
        <v>829</v>
      </c>
      <c r="J27" s="430">
        <f>F19/365*119</f>
        <v>7696643.0545454547</v>
      </c>
    </row>
    <row r="29" spans="4:10">
      <c r="D29" s="415" t="s">
        <v>776</v>
      </c>
    </row>
  </sheetData>
  <mergeCells count="1">
    <mergeCell ref="D2:H2"/>
  </mergeCells>
  <pageMargins left="0.7" right="0.7" top="0.75" bottom="0.75" header="0.3" footer="0.3"/>
  <pageSetup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R40"/>
  <sheetViews>
    <sheetView tabSelected="1" topLeftCell="A9" workbookViewId="0">
      <selection activeCell="R32" sqref="R32"/>
    </sheetView>
  </sheetViews>
  <sheetFormatPr baseColWidth="10" defaultColWidth="8.83203125" defaultRowHeight="17"/>
  <cols>
    <col min="1" max="1" width="8.83203125" style="415"/>
    <col min="2" max="2" width="24.6640625" style="415" customWidth="1"/>
    <col min="3" max="3" width="11.6640625" style="415" customWidth="1"/>
    <col min="4" max="4" width="12.83203125" style="415" customWidth="1"/>
    <col min="5" max="5" width="8.83203125" style="415"/>
    <col min="6" max="6" width="19.83203125" style="415" customWidth="1"/>
    <col min="7" max="7" width="9.6640625" style="415" customWidth="1"/>
    <col min="8" max="8" width="20.6640625" style="415" customWidth="1"/>
    <col min="9" max="9" width="8.83203125" style="415" customWidth="1"/>
    <col min="10" max="10" width="16.5" style="415" customWidth="1"/>
    <col min="11" max="15" width="8.83203125" style="415"/>
    <col min="16" max="16" width="11.5" style="415" customWidth="1"/>
    <col min="17" max="16384" width="8.83203125" style="415"/>
  </cols>
  <sheetData>
    <row r="2" spans="2:18" s="34" customFormat="1" ht="18">
      <c r="B2" s="432" t="s">
        <v>759</v>
      </c>
      <c r="C2" s="542" t="s">
        <v>712</v>
      </c>
      <c r="D2" s="543"/>
      <c r="E2" s="543"/>
      <c r="F2" s="543"/>
      <c r="G2" s="543"/>
      <c r="H2" s="543"/>
      <c r="I2" s="543"/>
      <c r="J2" s="543"/>
      <c r="K2" s="543"/>
      <c r="L2" s="543"/>
      <c r="M2" s="543"/>
      <c r="N2" s="543"/>
      <c r="O2" s="543"/>
      <c r="P2" s="543"/>
    </row>
    <row r="3" spans="2:18" s="34" customFormat="1" ht="15.75" customHeight="1">
      <c r="B3" s="433" t="s">
        <v>760</v>
      </c>
      <c r="C3" s="544" t="s">
        <v>713</v>
      </c>
      <c r="D3" s="545"/>
      <c r="E3" s="545"/>
      <c r="F3" s="545"/>
      <c r="G3" s="545"/>
      <c r="H3" s="545"/>
      <c r="I3" s="545"/>
      <c r="J3" s="545"/>
      <c r="K3" s="545"/>
      <c r="L3" s="545"/>
      <c r="M3" s="545"/>
      <c r="N3" s="545"/>
      <c r="O3" s="545"/>
      <c r="P3" s="545"/>
    </row>
    <row r="4" spans="2:18" ht="18" customHeight="1" thickBot="1">
      <c r="B4" s="546" t="s">
        <v>714</v>
      </c>
      <c r="C4" s="547"/>
      <c r="D4" s="547"/>
      <c r="E4" s="547"/>
      <c r="F4" s="547"/>
      <c r="G4" s="548"/>
      <c r="H4" s="548"/>
      <c r="I4" s="548"/>
      <c r="J4" s="548"/>
      <c r="K4" s="548"/>
      <c r="L4" s="548"/>
      <c r="M4" s="548"/>
      <c r="N4" s="548"/>
      <c r="O4" s="548"/>
      <c r="P4" s="549"/>
    </row>
    <row r="5" spans="2:18">
      <c r="B5" s="434" t="s">
        <v>761</v>
      </c>
      <c r="C5" s="435" t="s">
        <v>762</v>
      </c>
      <c r="D5" s="435" t="s">
        <v>763</v>
      </c>
      <c r="E5" s="436" t="s">
        <v>764</v>
      </c>
      <c r="F5" s="437"/>
      <c r="H5" s="434" t="s">
        <v>761</v>
      </c>
      <c r="I5" s="435" t="s">
        <v>762</v>
      </c>
      <c r="J5" s="435" t="s">
        <v>763</v>
      </c>
      <c r="K5" s="550" t="s">
        <v>764</v>
      </c>
      <c r="L5" s="550"/>
      <c r="M5" s="550"/>
      <c r="N5" s="550"/>
      <c r="O5" s="550"/>
      <c r="P5" s="551"/>
    </row>
    <row r="6" spans="2:18" ht="25.75" customHeight="1">
      <c r="B6" s="438" t="s">
        <v>765</v>
      </c>
      <c r="C6" s="49">
        <v>0.75</v>
      </c>
      <c r="D6" s="49" t="s">
        <v>766</v>
      </c>
      <c r="E6" s="527" t="s">
        <v>715</v>
      </c>
      <c r="F6" s="537"/>
      <c r="H6" s="439" t="s">
        <v>716</v>
      </c>
      <c r="I6" s="184">
        <v>14.5</v>
      </c>
      <c r="J6" s="184" t="s">
        <v>717</v>
      </c>
      <c r="K6" s="552" t="s">
        <v>718</v>
      </c>
      <c r="L6" s="553"/>
      <c r="M6" s="553"/>
      <c r="N6" s="553"/>
      <c r="O6" s="553"/>
      <c r="P6" s="554"/>
    </row>
    <row r="7" spans="2:18">
      <c r="B7" s="438" t="s">
        <v>767</v>
      </c>
      <c r="C7" s="480">
        <v>0</v>
      </c>
      <c r="D7" s="49" t="s">
        <v>766</v>
      </c>
      <c r="E7" s="527" t="s">
        <v>823</v>
      </c>
      <c r="F7" s="537"/>
      <c r="H7" s="440" t="s">
        <v>719</v>
      </c>
      <c r="I7" s="49" t="s">
        <v>777</v>
      </c>
      <c r="J7" s="34"/>
      <c r="K7" s="34"/>
      <c r="L7" s="441"/>
      <c r="M7" s="34"/>
      <c r="N7" s="34"/>
      <c r="O7" s="34"/>
      <c r="P7" s="167"/>
    </row>
    <row r="8" spans="2:18" ht="19">
      <c r="B8" s="438" t="s">
        <v>812</v>
      </c>
      <c r="C8" s="49">
        <v>25</v>
      </c>
      <c r="D8" s="442" t="s">
        <v>813</v>
      </c>
      <c r="E8" s="555" t="s">
        <v>744</v>
      </c>
      <c r="F8" s="537"/>
      <c r="H8" s="443"/>
      <c r="I8" s="444" t="s">
        <v>720</v>
      </c>
      <c r="J8" s="445" t="s">
        <v>721</v>
      </c>
      <c r="K8" s="445" t="s">
        <v>722</v>
      </c>
      <c r="L8" s="445" t="s">
        <v>723</v>
      </c>
      <c r="M8" s="445" t="s">
        <v>724</v>
      </c>
      <c r="N8" s="446" t="s">
        <v>725</v>
      </c>
      <c r="O8" s="447"/>
      <c r="P8" s="448"/>
    </row>
    <row r="9" spans="2:18">
      <c r="B9" s="438" t="s">
        <v>768</v>
      </c>
      <c r="C9" s="49">
        <v>0.1</v>
      </c>
      <c r="D9" s="49" t="s">
        <v>766</v>
      </c>
      <c r="E9" s="527" t="s">
        <v>715</v>
      </c>
      <c r="F9" s="537"/>
      <c r="H9" s="438" t="s">
        <v>726</v>
      </c>
      <c r="I9" s="449" t="s">
        <v>727</v>
      </c>
      <c r="J9" s="442" t="s">
        <v>728</v>
      </c>
      <c r="K9" s="442" t="s">
        <v>729</v>
      </c>
      <c r="L9" s="49" t="s">
        <v>730</v>
      </c>
      <c r="M9" s="442" t="s">
        <v>779</v>
      </c>
      <c r="N9" s="450" t="s">
        <v>780</v>
      </c>
      <c r="O9" s="34"/>
      <c r="P9" s="167"/>
    </row>
    <row r="10" spans="2:18">
      <c r="B10" s="438" t="s">
        <v>769</v>
      </c>
      <c r="C10" s="49">
        <v>0.5</v>
      </c>
      <c r="D10" s="49" t="s">
        <v>766</v>
      </c>
      <c r="E10" s="527" t="s">
        <v>715</v>
      </c>
      <c r="F10" s="537"/>
      <c r="H10" s="438" t="s">
        <v>796</v>
      </c>
      <c r="I10" s="473">
        <v>0.43</v>
      </c>
      <c r="J10" s="473">
        <v>0.4</v>
      </c>
      <c r="K10" s="473">
        <v>0.15</v>
      </c>
      <c r="L10" s="473">
        <v>0.24</v>
      </c>
      <c r="M10" s="473">
        <v>0.2</v>
      </c>
      <c r="N10" s="473">
        <v>0</v>
      </c>
      <c r="O10" s="527" t="s">
        <v>715</v>
      </c>
      <c r="P10" s="537"/>
    </row>
    <row r="11" spans="2:18" ht="19">
      <c r="B11" s="438" t="s">
        <v>814</v>
      </c>
      <c r="C11" s="49">
        <v>0.5</v>
      </c>
      <c r="D11" s="49" t="s">
        <v>766</v>
      </c>
      <c r="E11" s="527" t="s">
        <v>715</v>
      </c>
      <c r="F11" s="537"/>
      <c r="H11" s="452" t="s">
        <v>815</v>
      </c>
      <c r="I11" s="49">
        <v>0.03</v>
      </c>
      <c r="J11" s="49">
        <v>0.06</v>
      </c>
      <c r="K11" s="49">
        <v>0.185</v>
      </c>
      <c r="L11" s="49">
        <v>0.06</v>
      </c>
      <c r="M11" s="49">
        <v>0.1</v>
      </c>
      <c r="N11" s="49">
        <v>0</v>
      </c>
      <c r="O11" s="527" t="s">
        <v>715</v>
      </c>
      <c r="P11" s="537"/>
    </row>
    <row r="12" spans="2:18">
      <c r="B12" s="438" t="s">
        <v>770</v>
      </c>
      <c r="C12" s="49">
        <v>1</v>
      </c>
      <c r="D12" s="49" t="s">
        <v>766</v>
      </c>
      <c r="E12" s="527" t="s">
        <v>715</v>
      </c>
      <c r="F12" s="537"/>
      <c r="H12" s="452" t="s">
        <v>790</v>
      </c>
      <c r="I12" s="453">
        <v>0.12</v>
      </c>
      <c r="J12" s="454">
        <v>0.13700000000000001</v>
      </c>
      <c r="K12" s="454">
        <v>0.39500000000000002</v>
      </c>
      <c r="L12" s="454">
        <v>7.0000000000000007E-2</v>
      </c>
      <c r="M12" s="454">
        <v>9.1999999999999998E-2</v>
      </c>
      <c r="N12" s="455">
        <v>0.186</v>
      </c>
      <c r="O12" s="456" t="s">
        <v>778</v>
      </c>
      <c r="P12" s="457"/>
    </row>
    <row r="13" spans="2:18" ht="16.25" customHeight="1" thickBot="1">
      <c r="B13" s="438" t="s">
        <v>731</v>
      </c>
      <c r="C13" s="451">
        <v>0.7</v>
      </c>
      <c r="D13" s="49" t="s">
        <v>771</v>
      </c>
      <c r="E13" s="527" t="s">
        <v>732</v>
      </c>
      <c r="F13" s="537"/>
      <c r="H13" s="452"/>
      <c r="I13" s="458"/>
      <c r="J13" s="459"/>
      <c r="K13" s="459"/>
      <c r="L13" s="459"/>
      <c r="M13" s="459"/>
      <c r="N13" s="460"/>
      <c r="O13" s="458"/>
      <c r="P13" s="461"/>
    </row>
    <row r="14" spans="2:18" ht="12.75" customHeight="1">
      <c r="B14" s="513" t="s">
        <v>749</v>
      </c>
      <c r="C14" s="535" t="s">
        <v>772</v>
      </c>
      <c r="D14" s="535"/>
      <c r="E14" s="536" t="s">
        <v>764</v>
      </c>
      <c r="F14" s="536"/>
      <c r="G14" s="536"/>
      <c r="H14" s="536"/>
      <c r="I14" s="462">
        <f>11.4+0.6</f>
        <v>12</v>
      </c>
      <c r="J14" s="462">
        <v>13.7</v>
      </c>
      <c r="K14" s="462">
        <f>32+0.1+7.4</f>
        <v>39.5</v>
      </c>
      <c r="L14" s="462">
        <v>7</v>
      </c>
      <c r="M14" s="462">
        <f>3.7+3.2+2.3</f>
        <v>9.1999999999999993</v>
      </c>
      <c r="N14" s="462">
        <f>4+13.5+1.1</f>
        <v>18.600000000000001</v>
      </c>
      <c r="O14" s="463" t="s">
        <v>782</v>
      </c>
    </row>
    <row r="15" spans="2:18" ht="12.75" customHeight="1">
      <c r="B15" s="513"/>
      <c r="C15" s="535" t="s">
        <v>773</v>
      </c>
      <c r="D15" s="535"/>
      <c r="E15" s="536"/>
      <c r="F15" s="536"/>
      <c r="G15" s="536"/>
      <c r="H15" s="536"/>
    </row>
    <row r="16" spans="2:18" ht="14.5" customHeight="1">
      <c r="B16" s="184">
        <v>2016</v>
      </c>
      <c r="C16" s="530">
        <v>258933</v>
      </c>
      <c r="D16" s="530"/>
      <c r="E16" s="531" t="s">
        <v>733</v>
      </c>
      <c r="F16" s="531"/>
      <c r="G16" s="531"/>
      <c r="H16" s="531"/>
      <c r="J16" s="541" t="s">
        <v>824</v>
      </c>
      <c r="K16" s="541"/>
      <c r="L16" s="541"/>
      <c r="M16" s="541"/>
      <c r="N16" s="541"/>
      <c r="O16" s="541"/>
      <c r="P16" s="541"/>
      <c r="Q16" s="541"/>
      <c r="R16" s="541"/>
    </row>
    <row r="17" spans="1:12">
      <c r="B17" s="184">
        <v>2017</v>
      </c>
      <c r="C17" s="530">
        <v>264168</v>
      </c>
      <c r="D17" s="530"/>
      <c r="E17" s="531"/>
      <c r="F17" s="531"/>
      <c r="G17" s="531"/>
      <c r="H17" s="531"/>
    </row>
    <row r="18" spans="1:12">
      <c r="A18" s="538" t="s">
        <v>703</v>
      </c>
      <c r="B18" s="465">
        <v>2018</v>
      </c>
      <c r="C18" s="532">
        <v>289968</v>
      </c>
      <c r="D18" s="532"/>
      <c r="E18" s="531"/>
      <c r="F18" s="531"/>
      <c r="G18" s="531"/>
      <c r="H18" s="531"/>
      <c r="J18" s="464"/>
    </row>
    <row r="19" spans="1:12" ht="14.5" customHeight="1">
      <c r="A19" s="539"/>
      <c r="B19" s="465">
        <v>2019</v>
      </c>
      <c r="C19" s="532">
        <f>C18*1.05</f>
        <v>304466.40000000002</v>
      </c>
      <c r="D19" s="532"/>
      <c r="E19" s="531"/>
      <c r="F19" s="531"/>
      <c r="G19" s="531"/>
      <c r="H19" s="531"/>
      <c r="J19" s="466"/>
      <c r="K19" s="464"/>
    </row>
    <row r="20" spans="1:12">
      <c r="A20" s="539"/>
      <c r="B20" s="465">
        <v>2020</v>
      </c>
      <c r="C20" s="532">
        <f>C19*1.05</f>
        <v>319689.72000000003</v>
      </c>
      <c r="D20" s="532"/>
      <c r="E20" s="531"/>
      <c r="F20" s="531"/>
      <c r="G20" s="531"/>
      <c r="H20" s="531"/>
      <c r="J20" s="467" t="s">
        <v>781</v>
      </c>
      <c r="K20" s="463" t="s">
        <v>783</v>
      </c>
      <c r="L20" s="462"/>
    </row>
    <row r="21" spans="1:12">
      <c r="A21" s="539"/>
      <c r="B21" s="465">
        <v>2021</v>
      </c>
      <c r="C21" s="533">
        <f>C20*1.05</f>
        <v>335674.20600000006</v>
      </c>
      <c r="D21" s="534"/>
      <c r="E21" s="531"/>
      <c r="F21" s="531"/>
      <c r="G21" s="531"/>
      <c r="H21" s="531"/>
      <c r="J21" s="468"/>
      <c r="K21" s="415" t="s">
        <v>784</v>
      </c>
    </row>
    <row r="22" spans="1:12">
      <c r="A22" s="539"/>
      <c r="B22" s="465">
        <v>2022</v>
      </c>
      <c r="C22" s="533">
        <f>C21*1.05</f>
        <v>352457.9163000001</v>
      </c>
      <c r="D22" s="534"/>
      <c r="E22" s="531"/>
      <c r="F22" s="531"/>
      <c r="G22" s="531"/>
      <c r="H22" s="531"/>
      <c r="J22" s="468"/>
      <c r="K22" s="415" t="s">
        <v>785</v>
      </c>
    </row>
    <row r="23" spans="1:12">
      <c r="A23" s="539"/>
      <c r="B23" s="465">
        <v>2023</v>
      </c>
      <c r="C23" s="533">
        <f t="shared" ref="C23:C40" si="0">C22*1.05</f>
        <v>370080.8121150001</v>
      </c>
      <c r="D23" s="534"/>
      <c r="E23" s="531"/>
      <c r="F23" s="531"/>
      <c r="G23" s="531"/>
      <c r="H23" s="531"/>
      <c r="J23" s="468"/>
      <c r="K23" s="415" t="s">
        <v>786</v>
      </c>
    </row>
    <row r="24" spans="1:12">
      <c r="A24" s="539"/>
      <c r="B24" s="465">
        <v>2024</v>
      </c>
      <c r="C24" s="533">
        <f t="shared" si="0"/>
        <v>388584.85272075009</v>
      </c>
      <c r="D24" s="534"/>
      <c r="E24" s="531"/>
      <c r="F24" s="531"/>
      <c r="G24" s="531"/>
      <c r="H24" s="531"/>
      <c r="J24" s="468"/>
      <c r="K24" s="415" t="s">
        <v>787</v>
      </c>
    </row>
    <row r="25" spans="1:12">
      <c r="A25" s="540"/>
      <c r="B25" s="465">
        <v>2025</v>
      </c>
      <c r="C25" s="533">
        <f t="shared" si="0"/>
        <v>408014.09535678761</v>
      </c>
      <c r="D25" s="534"/>
      <c r="E25" s="531"/>
      <c r="F25" s="531"/>
      <c r="G25" s="531"/>
      <c r="H25" s="531"/>
      <c r="J25" s="464"/>
      <c r="K25" s="415" t="s">
        <v>788</v>
      </c>
    </row>
    <row r="26" spans="1:12">
      <c r="A26" s="469"/>
      <c r="B26" s="470">
        <v>2026</v>
      </c>
      <c r="C26" s="528">
        <f t="shared" si="0"/>
        <v>428414.80012462701</v>
      </c>
      <c r="D26" s="529"/>
      <c r="E26" s="531"/>
      <c r="F26" s="531"/>
      <c r="G26" s="531"/>
      <c r="H26" s="531"/>
      <c r="K26" s="415" t="s">
        <v>789</v>
      </c>
    </row>
    <row r="27" spans="1:12">
      <c r="B27" s="184">
        <v>2027</v>
      </c>
      <c r="C27" s="528">
        <f t="shared" si="0"/>
        <v>449835.54013085837</v>
      </c>
      <c r="D27" s="529"/>
      <c r="E27" s="531"/>
      <c r="F27" s="531"/>
      <c r="G27" s="531"/>
      <c r="H27" s="531"/>
    </row>
    <row r="28" spans="1:12">
      <c r="B28" s="184">
        <v>2028</v>
      </c>
      <c r="C28" s="528">
        <f t="shared" si="0"/>
        <v>472327.31713740132</v>
      </c>
      <c r="D28" s="529"/>
      <c r="E28" s="531"/>
      <c r="F28" s="531"/>
      <c r="G28" s="531"/>
      <c r="H28" s="531"/>
    </row>
    <row r="29" spans="1:12">
      <c r="B29" s="184">
        <v>2029</v>
      </c>
      <c r="C29" s="528">
        <f t="shared" si="0"/>
        <v>495943.6829942714</v>
      </c>
      <c r="D29" s="529"/>
      <c r="E29" s="531"/>
      <c r="F29" s="531"/>
      <c r="G29" s="531"/>
      <c r="H29" s="531"/>
    </row>
    <row r="30" spans="1:12">
      <c r="B30" s="184">
        <v>2030</v>
      </c>
      <c r="C30" s="528">
        <f t="shared" si="0"/>
        <v>520740.867143985</v>
      </c>
      <c r="D30" s="529"/>
      <c r="E30" s="531"/>
      <c r="F30" s="531"/>
      <c r="G30" s="531"/>
      <c r="H30" s="531"/>
      <c r="J30" s="471" t="s">
        <v>791</v>
      </c>
      <c r="K30" s="415" t="s">
        <v>825</v>
      </c>
    </row>
    <row r="31" spans="1:12">
      <c r="B31" s="184">
        <v>2031</v>
      </c>
      <c r="C31" s="528">
        <f t="shared" si="0"/>
        <v>546777.91050118429</v>
      </c>
      <c r="D31" s="529"/>
      <c r="E31" s="531"/>
      <c r="F31" s="531"/>
      <c r="G31" s="531"/>
      <c r="H31" s="531"/>
    </row>
    <row r="32" spans="1:12">
      <c r="B32" s="184">
        <v>2032</v>
      </c>
      <c r="C32" s="528">
        <f t="shared" si="0"/>
        <v>574116.80602624349</v>
      </c>
      <c r="D32" s="529"/>
      <c r="E32" s="531"/>
      <c r="F32" s="531"/>
      <c r="G32" s="531"/>
      <c r="H32" s="531"/>
    </row>
    <row r="33" spans="2:12">
      <c r="B33" s="184">
        <v>2033</v>
      </c>
      <c r="C33" s="528">
        <f t="shared" si="0"/>
        <v>602822.64632755565</v>
      </c>
      <c r="D33" s="529"/>
      <c r="E33" s="531"/>
      <c r="F33" s="531"/>
      <c r="G33" s="531"/>
      <c r="H33" s="531"/>
    </row>
    <row r="34" spans="2:12">
      <c r="B34" s="184">
        <v>2034</v>
      </c>
      <c r="C34" s="528">
        <f t="shared" si="0"/>
        <v>632963.77864393347</v>
      </c>
      <c r="D34" s="529"/>
      <c r="E34" s="531"/>
      <c r="F34" s="531"/>
      <c r="G34" s="531"/>
      <c r="H34" s="531"/>
    </row>
    <row r="35" spans="2:12">
      <c r="B35" s="184">
        <v>2035</v>
      </c>
      <c r="C35" s="528">
        <f t="shared" si="0"/>
        <v>664611.96757613018</v>
      </c>
      <c r="D35" s="529"/>
      <c r="E35" s="531"/>
      <c r="F35" s="531"/>
      <c r="G35" s="531"/>
      <c r="H35" s="531"/>
    </row>
    <row r="36" spans="2:12">
      <c r="B36" s="184">
        <v>2036</v>
      </c>
      <c r="C36" s="528">
        <f t="shared" si="0"/>
        <v>697842.56595493667</v>
      </c>
      <c r="D36" s="529"/>
      <c r="E36" s="531"/>
      <c r="F36" s="531"/>
      <c r="G36" s="531"/>
      <c r="H36" s="531"/>
    </row>
    <row r="37" spans="2:12">
      <c r="B37" s="184">
        <v>2037</v>
      </c>
      <c r="C37" s="528">
        <f t="shared" si="0"/>
        <v>732734.69425268355</v>
      </c>
      <c r="D37" s="529"/>
      <c r="E37" s="531"/>
      <c r="F37" s="531"/>
      <c r="G37" s="531"/>
      <c r="H37" s="531"/>
    </row>
    <row r="38" spans="2:12">
      <c r="B38" s="184">
        <v>2038</v>
      </c>
      <c r="C38" s="528">
        <f t="shared" si="0"/>
        <v>769371.42896531778</v>
      </c>
      <c r="D38" s="529"/>
      <c r="E38" s="531"/>
      <c r="F38" s="531"/>
      <c r="G38" s="531"/>
      <c r="H38" s="531"/>
    </row>
    <row r="39" spans="2:12">
      <c r="B39" s="184">
        <v>2039</v>
      </c>
      <c r="C39" s="528">
        <f t="shared" si="0"/>
        <v>807840.00041358371</v>
      </c>
      <c r="D39" s="529"/>
      <c r="E39" s="531"/>
      <c r="F39" s="531"/>
      <c r="G39" s="531"/>
      <c r="H39" s="531"/>
      <c r="K39" s="527"/>
      <c r="L39" s="527"/>
    </row>
    <row r="40" spans="2:12">
      <c r="B40" s="184">
        <v>2040</v>
      </c>
      <c r="C40" s="528">
        <f t="shared" si="0"/>
        <v>848232.00043426291</v>
      </c>
      <c r="D40" s="529"/>
      <c r="E40" s="531"/>
      <c r="F40" s="531"/>
      <c r="G40" s="531"/>
      <c r="H40" s="531"/>
    </row>
  </sheetData>
  <mergeCells count="48">
    <mergeCell ref="A18:A25"/>
    <mergeCell ref="J16:R16"/>
    <mergeCell ref="E11:F11"/>
    <mergeCell ref="O11:P11"/>
    <mergeCell ref="C2:P2"/>
    <mergeCell ref="C3:P3"/>
    <mergeCell ref="B4:P4"/>
    <mergeCell ref="K5:P5"/>
    <mergeCell ref="E6:F6"/>
    <mergeCell ref="K6:P6"/>
    <mergeCell ref="E7:F7"/>
    <mergeCell ref="E8:F8"/>
    <mergeCell ref="E9:F9"/>
    <mergeCell ref="E10:F10"/>
    <mergeCell ref="O10:P10"/>
    <mergeCell ref="E12:F12"/>
    <mergeCell ref="E13:F13"/>
    <mergeCell ref="C20:D20"/>
    <mergeCell ref="C21:D21"/>
    <mergeCell ref="C22:D22"/>
    <mergeCell ref="C23:D23"/>
    <mergeCell ref="B14:B15"/>
    <mergeCell ref="C14:D14"/>
    <mergeCell ref="E14:H15"/>
    <mergeCell ref="C15:D15"/>
    <mergeCell ref="C19:D19"/>
    <mergeCell ref="C29:D29"/>
    <mergeCell ref="C16:D16"/>
    <mergeCell ref="E16:H40"/>
    <mergeCell ref="C17:D17"/>
    <mergeCell ref="C18:D18"/>
    <mergeCell ref="C24:D24"/>
    <mergeCell ref="C25:D25"/>
    <mergeCell ref="C26:D26"/>
    <mergeCell ref="C27:D27"/>
    <mergeCell ref="C28:D28"/>
    <mergeCell ref="C40:D40"/>
    <mergeCell ref="C30:D30"/>
    <mergeCell ref="C31:D31"/>
    <mergeCell ref="C32:D32"/>
    <mergeCell ref="C33:D33"/>
    <mergeCell ref="C34:D34"/>
    <mergeCell ref="K39:L39"/>
    <mergeCell ref="C35:D35"/>
    <mergeCell ref="C36:D36"/>
    <mergeCell ref="C37:D37"/>
    <mergeCell ref="C38:D38"/>
    <mergeCell ref="C39:D39"/>
  </mergeCells>
  <hyperlinks>
    <hyperlink ref="K6" r:id="rId1" xr:uid="{00000000-0004-0000-0C00-000000000000}"/>
    <hyperlink ref="E8" r:id="rId2" xr:uid="{00000000-0004-0000-0C00-000001000000}"/>
  </hyperlinks>
  <pageMargins left="0.7" right="0.7" top="0.75" bottom="0.75" header="0.3" footer="0.3"/>
  <pageSetup orientation="portrait" r:id="rId3"/>
  <legacyDrawing r:id="rId4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IC47"/>
  <sheetViews>
    <sheetView showGridLines="0" topLeftCell="A17" zoomScale="82" zoomScaleNormal="60" zoomScalePageLayoutView="60" workbookViewId="0">
      <selection activeCell="E41" sqref="E41"/>
    </sheetView>
  </sheetViews>
  <sheetFormatPr baseColWidth="10" defaultColWidth="9.1640625" defaultRowHeight="17"/>
  <cols>
    <col min="1" max="3" width="9.1640625" style="34"/>
    <col min="4" max="4" width="41.5" style="34" bestFit="1" customWidth="1"/>
    <col min="5" max="8" width="18.1640625" style="34" customWidth="1"/>
    <col min="9" max="9" width="24.33203125" style="34" customWidth="1"/>
    <col min="10" max="10" width="22" style="34" customWidth="1"/>
    <col min="11" max="11" width="14.6640625" style="34" customWidth="1"/>
    <col min="12" max="12" width="15.33203125" style="34" customWidth="1"/>
    <col min="13" max="13" width="16" style="34" bestFit="1" customWidth="1"/>
    <col min="14" max="16384" width="9.1640625" style="34"/>
  </cols>
  <sheetData>
    <row r="1" spans="1:237">
      <c r="A1" s="33" t="s">
        <v>580</v>
      </c>
    </row>
    <row r="2" spans="1:237">
      <c r="A2" s="33" t="s">
        <v>59</v>
      </c>
    </row>
    <row r="3" spans="1:237">
      <c r="A3" s="9" t="s">
        <v>575</v>
      </c>
    </row>
    <row r="4" spans="1:237">
      <c r="A4" s="9" t="s">
        <v>576</v>
      </c>
      <c r="B4" s="173"/>
      <c r="C4" s="173"/>
      <c r="D4" s="173"/>
    </row>
    <row r="5" spans="1:237">
      <c r="B5" s="173"/>
      <c r="C5" s="173"/>
      <c r="D5" s="173"/>
    </row>
    <row r="6" spans="1:237">
      <c r="A6" s="9"/>
      <c r="B6" s="9"/>
      <c r="C6" s="9"/>
      <c r="D6" s="9"/>
    </row>
    <row r="7" spans="1:237"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9"/>
      <c r="AZ7" s="9"/>
      <c r="BA7" s="9"/>
      <c r="BB7" s="9"/>
      <c r="BC7" s="9"/>
      <c r="BD7" s="9"/>
      <c r="BE7" s="9"/>
      <c r="BF7" s="9"/>
      <c r="BG7" s="9"/>
      <c r="BH7" s="9"/>
      <c r="BI7" s="9"/>
      <c r="BJ7" s="9"/>
      <c r="BK7" s="9"/>
      <c r="BL7" s="9"/>
      <c r="BM7" s="9"/>
      <c r="BN7" s="9"/>
      <c r="BO7" s="9"/>
      <c r="BP7" s="9"/>
      <c r="BQ7" s="9"/>
      <c r="BR7" s="9"/>
      <c r="BS7" s="9"/>
      <c r="BT7" s="9"/>
      <c r="BU7" s="9"/>
      <c r="BV7" s="9"/>
      <c r="BW7" s="9"/>
      <c r="BX7" s="9"/>
      <c r="BY7" s="9"/>
      <c r="BZ7" s="9"/>
      <c r="CA7" s="9"/>
      <c r="CB7" s="9"/>
      <c r="CC7" s="9"/>
      <c r="CD7" s="9"/>
      <c r="CE7" s="9"/>
      <c r="CF7" s="9"/>
      <c r="CG7" s="9"/>
      <c r="CH7" s="9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  <c r="DS7" s="9"/>
      <c r="DT7" s="9"/>
      <c r="DU7" s="9"/>
      <c r="DV7" s="9"/>
      <c r="DW7" s="9"/>
      <c r="DX7" s="9"/>
      <c r="DY7" s="9"/>
      <c r="DZ7" s="9"/>
      <c r="EA7" s="9"/>
      <c r="EB7" s="9"/>
      <c r="EC7" s="9"/>
      <c r="ED7" s="9"/>
      <c r="EE7" s="9"/>
      <c r="EF7" s="9"/>
      <c r="EG7" s="9"/>
      <c r="EH7" s="9"/>
      <c r="EI7" s="9"/>
      <c r="EJ7" s="9"/>
      <c r="EK7" s="9"/>
      <c r="EL7" s="9"/>
      <c r="EM7" s="9"/>
      <c r="EN7" s="9"/>
      <c r="EO7" s="9"/>
      <c r="EP7" s="9"/>
      <c r="EQ7" s="9"/>
      <c r="ER7" s="9"/>
      <c r="ES7" s="9"/>
      <c r="ET7" s="9"/>
      <c r="EU7" s="9"/>
      <c r="EV7" s="9"/>
      <c r="EW7" s="9"/>
      <c r="EX7" s="9"/>
      <c r="EY7" s="9"/>
      <c r="EZ7" s="9"/>
      <c r="FA7" s="9"/>
      <c r="FB7" s="9"/>
      <c r="FC7" s="9"/>
      <c r="FD7" s="9"/>
      <c r="FE7" s="9"/>
      <c r="FF7" s="9"/>
      <c r="FG7" s="9"/>
      <c r="FH7" s="9"/>
      <c r="FI7" s="9"/>
      <c r="FJ7" s="9"/>
      <c r="FK7" s="9"/>
      <c r="FL7" s="9"/>
      <c r="FM7" s="9"/>
      <c r="FN7" s="9"/>
      <c r="FO7" s="9"/>
      <c r="FP7" s="9"/>
      <c r="FQ7" s="9"/>
      <c r="FR7" s="9"/>
      <c r="FS7" s="9"/>
      <c r="FT7" s="9"/>
      <c r="FU7" s="9"/>
      <c r="FV7" s="9"/>
      <c r="FW7" s="9"/>
      <c r="FX7" s="9"/>
      <c r="FY7" s="9"/>
      <c r="FZ7" s="9"/>
      <c r="GA7" s="9"/>
      <c r="GB7" s="9"/>
      <c r="GC7" s="9"/>
      <c r="GD7" s="9"/>
      <c r="GE7" s="9"/>
      <c r="GF7" s="9"/>
      <c r="GG7" s="9"/>
      <c r="GH7" s="9"/>
      <c r="GI7" s="9"/>
      <c r="GJ7" s="9"/>
      <c r="GK7" s="9"/>
      <c r="GL7" s="9"/>
      <c r="GM7" s="9"/>
      <c r="GN7" s="9"/>
      <c r="GO7" s="9"/>
      <c r="GP7" s="9"/>
      <c r="GQ7" s="9"/>
      <c r="GR7" s="9"/>
      <c r="GS7" s="9"/>
      <c r="GT7" s="9"/>
      <c r="GU7" s="9"/>
      <c r="GV7" s="9"/>
      <c r="GW7" s="9"/>
      <c r="GX7" s="9"/>
      <c r="GY7" s="9"/>
      <c r="GZ7" s="9"/>
      <c r="HA7" s="9"/>
      <c r="HB7" s="9"/>
      <c r="HC7" s="9"/>
      <c r="HD7" s="9"/>
      <c r="HE7" s="9"/>
      <c r="HF7" s="9"/>
      <c r="HG7" s="9"/>
      <c r="HH7" s="9"/>
      <c r="HI7" s="9"/>
      <c r="HJ7" s="9"/>
      <c r="HK7" s="9"/>
      <c r="HL7" s="9"/>
      <c r="HM7" s="9"/>
      <c r="HN7" s="9"/>
      <c r="HO7" s="9"/>
      <c r="HP7" s="9"/>
      <c r="HQ7" s="9"/>
      <c r="HR7" s="9"/>
      <c r="HS7" s="9"/>
      <c r="HT7" s="9"/>
      <c r="HU7" s="9"/>
      <c r="HV7" s="9"/>
      <c r="HW7" s="9"/>
      <c r="HX7" s="9"/>
      <c r="HY7" s="9"/>
      <c r="HZ7" s="9"/>
      <c r="IA7" s="9"/>
      <c r="IB7" s="9"/>
      <c r="IC7" s="9"/>
    </row>
    <row r="8" spans="1:237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9"/>
      <c r="AZ8" s="9"/>
      <c r="BA8" s="9"/>
      <c r="BB8" s="9"/>
      <c r="BC8" s="9"/>
      <c r="BD8" s="9"/>
      <c r="BE8" s="9"/>
      <c r="BF8" s="9"/>
      <c r="BG8" s="9"/>
      <c r="BH8" s="9"/>
      <c r="BI8" s="9"/>
      <c r="BJ8" s="9"/>
      <c r="BK8" s="9"/>
      <c r="BL8" s="9"/>
      <c r="BM8" s="9"/>
      <c r="BN8" s="9"/>
      <c r="BO8" s="9"/>
      <c r="BP8" s="9"/>
      <c r="BQ8" s="9"/>
      <c r="BR8" s="9"/>
      <c r="BS8" s="9"/>
      <c r="BT8" s="9"/>
      <c r="BU8" s="9"/>
      <c r="BV8" s="9"/>
      <c r="BW8" s="9"/>
      <c r="BX8" s="9"/>
      <c r="BY8" s="9"/>
      <c r="BZ8" s="9"/>
      <c r="CA8" s="9"/>
      <c r="CB8" s="9"/>
      <c r="CC8" s="9"/>
      <c r="CD8" s="9"/>
      <c r="CE8" s="9"/>
      <c r="CF8" s="9"/>
      <c r="CG8" s="9"/>
      <c r="CH8" s="9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  <c r="DS8" s="9"/>
      <c r="DT8" s="9"/>
      <c r="DU8" s="9"/>
      <c r="DV8" s="9"/>
      <c r="DW8" s="9"/>
      <c r="DX8" s="9"/>
      <c r="DY8" s="9"/>
      <c r="DZ8" s="9"/>
      <c r="EA8" s="9"/>
      <c r="EB8" s="9"/>
      <c r="EC8" s="9"/>
      <c r="ED8" s="9"/>
      <c r="EE8" s="9"/>
      <c r="EF8" s="9"/>
      <c r="EG8" s="9"/>
      <c r="EH8" s="9"/>
      <c r="EI8" s="9"/>
      <c r="EJ8" s="9"/>
      <c r="EK8" s="9"/>
      <c r="EL8" s="9"/>
      <c r="EM8" s="9"/>
      <c r="EN8" s="9"/>
      <c r="EO8" s="9"/>
      <c r="EP8" s="9"/>
      <c r="EQ8" s="9"/>
      <c r="ER8" s="9"/>
      <c r="ES8" s="9"/>
      <c r="ET8" s="9"/>
      <c r="EU8" s="9"/>
      <c r="EV8" s="9"/>
      <c r="EW8" s="9"/>
      <c r="EX8" s="9"/>
      <c r="EY8" s="9"/>
      <c r="EZ8" s="9"/>
      <c r="FA8" s="9"/>
      <c r="FB8" s="9"/>
      <c r="FC8" s="9"/>
      <c r="FD8" s="9"/>
      <c r="FE8" s="9"/>
      <c r="FF8" s="9"/>
      <c r="FG8" s="9"/>
      <c r="FH8" s="9"/>
      <c r="FI8" s="9"/>
      <c r="FJ8" s="9"/>
      <c r="FK8" s="9"/>
      <c r="FL8" s="9"/>
      <c r="FM8" s="9"/>
      <c r="FN8" s="9"/>
      <c r="FO8" s="9"/>
      <c r="FP8" s="9"/>
      <c r="FQ8" s="9"/>
      <c r="FR8" s="9"/>
      <c r="FS8" s="9"/>
      <c r="FT8" s="9"/>
      <c r="FU8" s="9"/>
      <c r="FV8" s="9"/>
      <c r="FW8" s="9"/>
      <c r="FX8" s="9"/>
      <c r="FY8" s="9"/>
      <c r="FZ8" s="9"/>
      <c r="GA8" s="9"/>
      <c r="GB8" s="9"/>
      <c r="GC8" s="9"/>
      <c r="GD8" s="9"/>
      <c r="GE8" s="9"/>
      <c r="GF8" s="9"/>
      <c r="GG8" s="9"/>
      <c r="GH8" s="9"/>
      <c r="GI8" s="9"/>
      <c r="GJ8" s="9"/>
      <c r="GK8" s="9"/>
      <c r="GL8" s="9"/>
      <c r="GM8" s="9"/>
      <c r="GN8" s="9"/>
      <c r="GO8" s="9"/>
      <c r="GP8" s="9"/>
      <c r="GQ8" s="9"/>
      <c r="GR8" s="9"/>
      <c r="GS8" s="9"/>
      <c r="GT8" s="9"/>
      <c r="GU8" s="9"/>
      <c r="GV8" s="9"/>
      <c r="GW8" s="9"/>
      <c r="GX8" s="9"/>
      <c r="GY8" s="9"/>
      <c r="GZ8" s="9"/>
      <c r="HA8" s="9"/>
      <c r="HB8" s="9"/>
      <c r="HC8" s="9"/>
      <c r="HD8" s="9"/>
      <c r="HE8" s="9"/>
      <c r="HF8" s="9"/>
      <c r="HG8" s="9"/>
      <c r="HH8" s="9"/>
      <c r="HI8" s="9"/>
      <c r="HJ8" s="9"/>
      <c r="HK8" s="9"/>
      <c r="HL8" s="9"/>
      <c r="HM8" s="9"/>
      <c r="HN8" s="9"/>
      <c r="HO8" s="9"/>
      <c r="HP8" s="9"/>
      <c r="HQ8" s="9"/>
      <c r="HR8" s="9"/>
      <c r="HS8" s="9"/>
      <c r="HT8" s="9"/>
      <c r="HU8" s="9"/>
      <c r="HV8" s="9"/>
      <c r="HW8" s="9"/>
      <c r="HX8" s="9"/>
      <c r="HY8" s="9"/>
      <c r="HZ8" s="9"/>
      <c r="IA8" s="9"/>
      <c r="IB8" s="9"/>
      <c r="IC8" s="9"/>
    </row>
    <row r="9" spans="1:237">
      <c r="A9" s="9"/>
      <c r="I9" s="9"/>
      <c r="J9" s="9"/>
    </row>
    <row r="10" spans="1:237">
      <c r="B10" s="484" t="s">
        <v>17</v>
      </c>
      <c r="C10" s="485"/>
      <c r="D10" s="486"/>
      <c r="E10" s="174">
        <v>2015</v>
      </c>
      <c r="F10" s="174">
        <v>2016</v>
      </c>
      <c r="G10" s="174">
        <v>2017</v>
      </c>
      <c r="H10" s="9"/>
    </row>
    <row r="11" spans="1:237">
      <c r="B11" s="175"/>
      <c r="C11" s="175"/>
      <c r="D11" s="175"/>
      <c r="E11" s="41" t="s">
        <v>16</v>
      </c>
      <c r="F11" s="41" t="s">
        <v>16</v>
      </c>
      <c r="G11" s="41" t="s">
        <v>16</v>
      </c>
      <c r="H11" s="9"/>
    </row>
    <row r="12" spans="1:237">
      <c r="B12" s="484" t="s">
        <v>0</v>
      </c>
      <c r="C12" s="485"/>
      <c r="D12" s="485"/>
      <c r="E12" s="176"/>
      <c r="F12" s="176"/>
      <c r="G12" s="176"/>
    </row>
    <row r="13" spans="1:237">
      <c r="B13" s="175"/>
      <c r="C13" s="175"/>
      <c r="D13" s="175" t="s">
        <v>1</v>
      </c>
      <c r="E13" s="177">
        <v>0</v>
      </c>
      <c r="F13" s="177">
        <v>0</v>
      </c>
      <c r="G13" s="177">
        <v>0</v>
      </c>
    </row>
    <row r="14" spans="1:237">
      <c r="B14" s="175"/>
      <c r="C14" s="175"/>
      <c r="D14" s="175" t="s">
        <v>2</v>
      </c>
      <c r="E14" s="178">
        <v>4895.6477000000004</v>
      </c>
      <c r="F14" s="178">
        <v>4820.1000000000004</v>
      </c>
      <c r="G14" s="179">
        <v>5560.317</v>
      </c>
    </row>
    <row r="15" spans="1:237">
      <c r="B15" s="175"/>
      <c r="C15" s="175"/>
      <c r="D15" s="175" t="s">
        <v>3</v>
      </c>
      <c r="E15" s="178">
        <v>0</v>
      </c>
      <c r="F15" s="178">
        <v>0</v>
      </c>
      <c r="G15" s="178">
        <v>0</v>
      </c>
    </row>
    <row r="16" spans="1:237">
      <c r="B16" s="175"/>
      <c r="C16" s="175"/>
      <c r="D16" s="175" t="s">
        <v>4</v>
      </c>
      <c r="E16" s="179">
        <v>614.27099999999996</v>
      </c>
      <c r="F16" s="179">
        <v>0</v>
      </c>
      <c r="G16" s="179">
        <v>0</v>
      </c>
    </row>
    <row r="17" spans="2:8">
      <c r="B17" s="175"/>
      <c r="C17" s="175"/>
      <c r="D17" s="175" t="s">
        <v>5</v>
      </c>
      <c r="E17" s="179">
        <v>13014.35168</v>
      </c>
      <c r="F17" s="179">
        <v>7026.6</v>
      </c>
      <c r="G17" s="180">
        <v>13178.264234600001</v>
      </c>
    </row>
    <row r="18" spans="2:8">
      <c r="B18" s="175"/>
      <c r="C18" s="175"/>
      <c r="D18" s="175" t="s">
        <v>102</v>
      </c>
      <c r="E18" s="177">
        <v>34964.451667000001</v>
      </c>
      <c r="F18" s="177">
        <v>34662.5</v>
      </c>
      <c r="G18" s="181">
        <v>28356.137237218205</v>
      </c>
    </row>
    <row r="19" spans="2:8">
      <c r="B19" s="484" t="s">
        <v>104</v>
      </c>
      <c r="C19" s="485"/>
      <c r="D19" s="485"/>
      <c r="E19" s="176"/>
      <c r="F19" s="176"/>
      <c r="G19" s="176"/>
    </row>
    <row r="20" spans="2:8">
      <c r="B20" s="175"/>
      <c r="C20" s="175"/>
      <c r="D20" s="175" t="s">
        <v>103</v>
      </c>
      <c r="E20" s="182">
        <v>44829.871929000001</v>
      </c>
      <c r="F20" s="182">
        <v>53703.199999999997</v>
      </c>
      <c r="G20" s="183">
        <v>56781.886110999993</v>
      </c>
    </row>
    <row r="21" spans="2:8">
      <c r="B21" s="175"/>
      <c r="C21" s="175"/>
      <c r="D21" s="175" t="s">
        <v>2</v>
      </c>
      <c r="E21" s="182">
        <v>24609.554520999998</v>
      </c>
      <c r="F21" s="182">
        <v>33749.800000000003</v>
      </c>
      <c r="G21" s="183">
        <v>35134.091703669998</v>
      </c>
    </row>
    <row r="22" spans="2:8">
      <c r="B22" s="175"/>
      <c r="C22" s="175"/>
      <c r="D22" s="175" t="s">
        <v>3</v>
      </c>
      <c r="E22" s="183">
        <v>980.37800000000004</v>
      </c>
      <c r="F22" s="184">
        <v>969.1</v>
      </c>
      <c r="G22" s="183">
        <v>520.61934860000008</v>
      </c>
    </row>
    <row r="23" spans="2:8">
      <c r="B23" s="175"/>
      <c r="C23" s="175"/>
      <c r="D23" s="175" t="s">
        <v>4</v>
      </c>
      <c r="E23" s="184">
        <v>629.29</v>
      </c>
      <c r="F23" s="184">
        <v>957.2</v>
      </c>
      <c r="G23" s="183">
        <v>679.25948300000005</v>
      </c>
    </row>
    <row r="24" spans="2:8">
      <c r="B24" s="175"/>
      <c r="C24" s="175"/>
      <c r="D24" s="175" t="s">
        <v>10</v>
      </c>
      <c r="E24" s="184">
        <v>0</v>
      </c>
      <c r="F24" s="184">
        <v>0</v>
      </c>
      <c r="G24" s="183">
        <v>0</v>
      </c>
      <c r="H24" s="9"/>
    </row>
    <row r="25" spans="2:8">
      <c r="B25" s="175"/>
      <c r="C25" s="175"/>
      <c r="D25" s="175" t="s">
        <v>11</v>
      </c>
      <c r="E25" s="184">
        <v>0</v>
      </c>
      <c r="F25" s="184">
        <v>0</v>
      </c>
      <c r="G25" s="183">
        <v>0</v>
      </c>
      <c r="H25" s="9"/>
    </row>
    <row r="26" spans="2:8">
      <c r="B26" s="175"/>
      <c r="C26" s="175"/>
      <c r="D26" s="175" t="s">
        <v>5</v>
      </c>
      <c r="E26" s="185">
        <v>86204.39</v>
      </c>
      <c r="F26" s="186">
        <v>82200.5</v>
      </c>
      <c r="G26" s="183">
        <v>97311.716685423467</v>
      </c>
      <c r="H26" s="9"/>
    </row>
    <row r="27" spans="2:8">
      <c r="B27" s="175"/>
      <c r="C27" s="175"/>
      <c r="D27" s="175" t="s">
        <v>125</v>
      </c>
      <c r="E27" s="183">
        <v>1758.19399</v>
      </c>
      <c r="F27" s="184">
        <v>2371.6</v>
      </c>
      <c r="G27" s="183">
        <v>2972.3081173098412</v>
      </c>
    </row>
    <row r="28" spans="2:8">
      <c r="B28" s="175"/>
      <c r="C28" s="175"/>
      <c r="D28" s="175" t="s">
        <v>577</v>
      </c>
      <c r="E28" s="182">
        <v>47452.410669999997</v>
      </c>
      <c r="F28" s="182">
        <v>53947.1</v>
      </c>
      <c r="G28" s="183">
        <v>56782.923935916013</v>
      </c>
    </row>
    <row r="29" spans="2:8">
      <c r="B29" s="484" t="s">
        <v>13</v>
      </c>
      <c r="C29" s="485"/>
      <c r="D29" s="486"/>
      <c r="E29" s="187"/>
      <c r="F29" s="187"/>
      <c r="G29" s="187"/>
    </row>
    <row r="30" spans="2:8">
      <c r="B30" s="175"/>
      <c r="C30" s="175"/>
      <c r="D30" s="175" t="s">
        <v>2</v>
      </c>
      <c r="E30" s="182">
        <v>1830.5323900000001</v>
      </c>
      <c r="F30" s="182">
        <v>0</v>
      </c>
      <c r="G30" s="182">
        <v>0</v>
      </c>
    </row>
    <row r="31" spans="2:8">
      <c r="B31" s="175"/>
      <c r="C31" s="175"/>
      <c r="D31" s="175" t="s">
        <v>5</v>
      </c>
      <c r="E31" s="182">
        <v>0</v>
      </c>
      <c r="F31" s="182">
        <v>0</v>
      </c>
      <c r="G31" s="182">
        <v>0</v>
      </c>
    </row>
    <row r="32" spans="2:8">
      <c r="B32" s="484" t="s">
        <v>14</v>
      </c>
      <c r="C32" s="485"/>
      <c r="D32" s="486"/>
      <c r="E32" s="187"/>
      <c r="F32" s="187"/>
      <c r="G32" s="187"/>
    </row>
    <row r="33" spans="2:8">
      <c r="B33" s="175"/>
      <c r="C33" s="175"/>
      <c r="D33" s="175" t="s">
        <v>3</v>
      </c>
      <c r="E33" s="184" t="s">
        <v>79</v>
      </c>
      <c r="F33" s="184" t="s">
        <v>79</v>
      </c>
      <c r="G33" s="184" t="s">
        <v>79</v>
      </c>
    </row>
    <row r="34" spans="2:8">
      <c r="B34" s="175"/>
      <c r="C34" s="175"/>
      <c r="D34" s="175" t="s">
        <v>4</v>
      </c>
      <c r="E34" s="184" t="s">
        <v>79</v>
      </c>
      <c r="F34" s="184" t="s">
        <v>79</v>
      </c>
      <c r="G34" s="184" t="s">
        <v>79</v>
      </c>
    </row>
    <row r="35" spans="2:8">
      <c r="B35" s="484" t="s">
        <v>126</v>
      </c>
      <c r="C35" s="485"/>
      <c r="D35" s="486"/>
      <c r="E35" s="181">
        <f>SUM(E13:E34)</f>
        <v>261783.34354700003</v>
      </c>
      <c r="F35" s="181">
        <f>SUM(F13:F34)</f>
        <v>274407.7</v>
      </c>
      <c r="G35" s="181">
        <v>297277.52299999999</v>
      </c>
    </row>
    <row r="36" spans="2:8" ht="16.5" customHeight="1">
      <c r="B36" s="484" t="s">
        <v>25</v>
      </c>
      <c r="C36" s="485"/>
      <c r="D36" s="486"/>
      <c r="E36" s="185">
        <v>7135.5060000000003</v>
      </c>
      <c r="F36" s="185">
        <v>6330.3</v>
      </c>
      <c r="G36" s="185">
        <v>2728.3</v>
      </c>
    </row>
    <row r="37" spans="2:8" ht="15.75" customHeight="1"/>
    <row r="38" spans="2:8">
      <c r="H38" s="188"/>
    </row>
    <row r="39" spans="2:8">
      <c r="D39" s="189"/>
      <c r="E39" s="174">
        <v>2015</v>
      </c>
      <c r="F39" s="174">
        <v>2016</v>
      </c>
      <c r="G39" s="174">
        <v>2017</v>
      </c>
    </row>
    <row r="40" spans="2:8">
      <c r="D40" s="190" t="s">
        <v>70</v>
      </c>
      <c r="E40" s="191">
        <f>E35</f>
        <v>261783.34354700003</v>
      </c>
      <c r="F40" s="191">
        <f>F35</f>
        <v>274407.7</v>
      </c>
      <c r="G40" s="191">
        <f>G35</f>
        <v>297277.52299999999</v>
      </c>
    </row>
    <row r="41" spans="2:8">
      <c r="D41" s="190" t="s">
        <v>71</v>
      </c>
      <c r="E41" s="191">
        <v>249899.5</v>
      </c>
      <c r="F41" s="191">
        <v>261950.9</v>
      </c>
      <c r="G41" s="191">
        <v>284257.51899999997</v>
      </c>
    </row>
    <row r="42" spans="2:8">
      <c r="D42" s="190" t="s">
        <v>28</v>
      </c>
      <c r="E42" s="192">
        <f>E41/E40</f>
        <v>0.95460427930218394</v>
      </c>
      <c r="F42" s="192">
        <f>F41/F40</f>
        <v>0.95460477238794683</v>
      </c>
      <c r="G42" s="192">
        <f>G41/G40</f>
        <v>0.95620252796576211</v>
      </c>
    </row>
    <row r="43" spans="2:8">
      <c r="D43" s="189"/>
    </row>
    <row r="44" spans="2:8" ht="36">
      <c r="D44" s="193" t="s">
        <v>72</v>
      </c>
      <c r="E44" s="194">
        <f>SUM(E13:E17)+SUM(E20:E26)+SUM(E30:E31)+SUM(E33:E34)</f>
        <v>177608.28722</v>
      </c>
      <c r="F44" s="194">
        <f>SUM(F13:F17)+SUM(F20:F26)+SUM(F30:F31)+SUM(F33:F34)</f>
        <v>183426.5</v>
      </c>
      <c r="G44" s="194">
        <f>SUM(G13:G17)+SUM(G20:G26)+SUM(G30:G31)+SUM(G33:G34)</f>
        <v>209166.15456629347</v>
      </c>
    </row>
    <row r="45" spans="2:8">
      <c r="D45" s="189"/>
    </row>
    <row r="46" spans="2:8" ht="36">
      <c r="D46" s="193" t="s">
        <v>73</v>
      </c>
      <c r="E46" s="194">
        <f>E44*E42</f>
        <v>169545.63101974339</v>
      </c>
      <c r="F46" s="194">
        <f>F44*F42</f>
        <v>175099.81228241773</v>
      </c>
      <c r="G46" s="194">
        <f>G44*G42</f>
        <v>200005.20576116713</v>
      </c>
    </row>
    <row r="47" spans="2:8" ht="28.5" customHeight="1">
      <c r="E47" s="188"/>
      <c r="F47" s="188"/>
    </row>
  </sheetData>
  <mergeCells count="7">
    <mergeCell ref="B19:D19"/>
    <mergeCell ref="B12:D12"/>
    <mergeCell ref="B32:D32"/>
    <mergeCell ref="B36:D36"/>
    <mergeCell ref="B10:D10"/>
    <mergeCell ref="B29:D29"/>
    <mergeCell ref="B35:D35"/>
  </mergeCells>
  <phoneticPr fontId="4" type="noConversion"/>
  <hyperlinks>
    <hyperlink ref="A4" r:id="rId1" xr:uid="{00000000-0004-0000-0100-000000000000}"/>
  </hyperlinks>
  <pageMargins left="0.75" right="0.75" top="1" bottom="1" header="0.5" footer="0.5"/>
  <pageSetup paperSize="9" orientation="portrait"/>
  <headerFooter alignWithMargins="0">
    <oddFooter>&amp;R&amp;"microsoft sans serif,Regular"Diğer</oddFooter>
    <evenFooter>&amp;R&amp;"microsoft sans serif,Regular"Diğer</evenFooter>
    <firstFooter>&amp;R&amp;"microsoft sans serif,Regular"Diğer</firstFooter>
  </headerFooter>
  <ignoredErrors>
    <ignoredError sqref="G44" formulaRange="1"/>
  </ignoredErrors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I40"/>
  <sheetViews>
    <sheetView showGridLines="0" topLeftCell="A9" zoomScale="90" workbookViewId="0">
      <selection activeCell="J33" sqref="J33"/>
    </sheetView>
  </sheetViews>
  <sheetFormatPr baseColWidth="10" defaultColWidth="9.1640625" defaultRowHeight="17"/>
  <cols>
    <col min="1" max="3" width="9.1640625" style="34"/>
    <col min="4" max="4" width="26.83203125" style="34" bestFit="1" customWidth="1"/>
    <col min="5" max="6" width="12.5" style="34" customWidth="1"/>
    <col min="7" max="9" width="13" style="34" customWidth="1"/>
    <col min="10" max="10" width="9.1640625" style="34"/>
    <col min="11" max="12" width="12.83203125" style="34" customWidth="1"/>
    <col min="13" max="13" width="14.6640625" style="34" customWidth="1"/>
    <col min="14" max="14" width="12.6640625" style="34" customWidth="1"/>
    <col min="15" max="15" width="11.6640625" style="34" customWidth="1"/>
    <col min="16" max="16384" width="9.1640625" style="34"/>
  </cols>
  <sheetData>
    <row r="1" spans="1:7">
      <c r="A1" s="3" t="s">
        <v>112</v>
      </c>
      <c r="B1" s="3"/>
      <c r="C1" s="3"/>
      <c r="D1" s="3"/>
    </row>
    <row r="2" spans="1:7">
      <c r="A2" s="106" t="s">
        <v>110</v>
      </c>
      <c r="B2" s="3"/>
      <c r="C2" s="3"/>
      <c r="D2" s="3"/>
    </row>
    <row r="3" spans="1:7" ht="18" thickBot="1">
      <c r="A3" s="3"/>
      <c r="B3" s="3"/>
      <c r="C3" s="3"/>
      <c r="D3" s="3"/>
    </row>
    <row r="4" spans="1:7" ht="18" thickBot="1">
      <c r="B4" s="487" t="s">
        <v>20</v>
      </c>
      <c r="C4" s="488"/>
      <c r="D4" s="488"/>
      <c r="E4" s="134">
        <v>2015</v>
      </c>
      <c r="F4" s="134">
        <v>2016</v>
      </c>
      <c r="G4" s="135">
        <v>2017</v>
      </c>
    </row>
    <row r="5" spans="1:7" ht="18" thickBot="1">
      <c r="B5" s="67"/>
      <c r="C5" s="60"/>
      <c r="D5" s="60"/>
      <c r="E5" s="60" t="s">
        <v>105</v>
      </c>
      <c r="F5" s="136"/>
      <c r="G5" s="137"/>
    </row>
    <row r="6" spans="1:7" ht="18" thickBot="1">
      <c r="B6" s="487" t="s">
        <v>0</v>
      </c>
      <c r="C6" s="488"/>
      <c r="D6" s="488"/>
      <c r="E6" s="134"/>
      <c r="F6" s="134"/>
      <c r="G6" s="135"/>
    </row>
    <row r="7" spans="1:7">
      <c r="B7" s="138"/>
      <c r="C7" s="60"/>
      <c r="D7" s="138" t="s">
        <v>103</v>
      </c>
      <c r="E7" s="139">
        <v>0</v>
      </c>
      <c r="F7" s="140">
        <v>0</v>
      </c>
      <c r="G7" s="141">
        <v>0</v>
      </c>
    </row>
    <row r="8" spans="1:7">
      <c r="B8" s="138"/>
      <c r="C8" s="60"/>
      <c r="D8" s="138" t="s">
        <v>2</v>
      </c>
      <c r="E8" s="142">
        <v>11375169</v>
      </c>
      <c r="F8" s="142">
        <v>9531660</v>
      </c>
      <c r="G8" s="141">
        <v>11371159</v>
      </c>
    </row>
    <row r="9" spans="1:7">
      <c r="B9" s="67"/>
      <c r="C9" s="60"/>
      <c r="D9" s="138" t="s">
        <v>3</v>
      </c>
      <c r="E9" s="142">
        <v>53343</v>
      </c>
      <c r="F9" s="142">
        <v>49706</v>
      </c>
      <c r="G9" s="141">
        <v>52579</v>
      </c>
    </row>
    <row r="10" spans="1:7">
      <c r="B10" s="143"/>
      <c r="D10" s="143" t="s">
        <v>4</v>
      </c>
      <c r="E10" s="142">
        <v>123845</v>
      </c>
      <c r="F10" s="142">
        <v>141231.29999999999</v>
      </c>
      <c r="G10" s="141">
        <v>78985</v>
      </c>
    </row>
    <row r="11" spans="1:7" ht="18" thickBot="1">
      <c r="B11" s="144"/>
      <c r="C11" s="145"/>
      <c r="D11" s="138" t="s">
        <v>5</v>
      </c>
      <c r="E11" s="142">
        <v>2650789</v>
      </c>
      <c r="F11" s="146">
        <v>1325896.04</v>
      </c>
      <c r="G11" s="141">
        <v>2544339</v>
      </c>
    </row>
    <row r="12" spans="1:7" ht="18" thickBot="1">
      <c r="B12" s="487" t="s">
        <v>8</v>
      </c>
      <c r="C12" s="488"/>
      <c r="D12" s="488"/>
      <c r="E12" s="147"/>
      <c r="F12" s="147"/>
      <c r="G12" s="148"/>
    </row>
    <row r="13" spans="1:7">
      <c r="B13" s="67"/>
      <c r="C13" s="60"/>
      <c r="D13" s="138" t="s">
        <v>103</v>
      </c>
      <c r="E13" s="140">
        <v>16629492</v>
      </c>
      <c r="F13" s="140">
        <v>19642410</v>
      </c>
      <c r="G13" s="141">
        <v>21139104</v>
      </c>
    </row>
    <row r="14" spans="1:7">
      <c r="B14" s="67"/>
      <c r="C14" s="60"/>
      <c r="D14" s="138" t="s">
        <v>2</v>
      </c>
      <c r="E14" s="142">
        <v>38564962</v>
      </c>
      <c r="F14" s="142">
        <v>50682112</v>
      </c>
      <c r="G14" s="141">
        <v>53041098</v>
      </c>
    </row>
    <row r="15" spans="1:7">
      <c r="B15" s="67"/>
      <c r="C15" s="60"/>
      <c r="D15" s="138" t="s">
        <v>3</v>
      </c>
      <c r="E15" s="142">
        <v>463569</v>
      </c>
      <c r="F15" s="142">
        <v>476968</v>
      </c>
      <c r="G15" s="141">
        <v>265145</v>
      </c>
    </row>
    <row r="16" spans="1:7">
      <c r="B16" s="149"/>
      <c r="D16" s="143" t="s">
        <v>4</v>
      </c>
      <c r="E16" s="142">
        <v>114543</v>
      </c>
      <c r="F16" s="142">
        <v>165162</v>
      </c>
      <c r="G16" s="141">
        <v>118234</v>
      </c>
    </row>
    <row r="17" spans="1:7">
      <c r="B17" s="67"/>
      <c r="C17" s="60"/>
      <c r="D17" s="138" t="s">
        <v>10</v>
      </c>
      <c r="E17" s="142">
        <v>0</v>
      </c>
      <c r="F17" s="142">
        <v>0</v>
      </c>
      <c r="G17" s="141">
        <v>0</v>
      </c>
    </row>
    <row r="18" spans="1:7">
      <c r="B18" s="138"/>
      <c r="C18" s="60"/>
      <c r="D18" s="138" t="s">
        <v>11</v>
      </c>
      <c r="E18" s="142">
        <v>0</v>
      </c>
      <c r="F18" s="142">
        <v>0</v>
      </c>
      <c r="G18" s="141">
        <v>0</v>
      </c>
    </row>
    <row r="19" spans="1:7" ht="18" thickBot="1">
      <c r="B19" s="144"/>
      <c r="C19" s="145"/>
      <c r="D19" s="138" t="s">
        <v>5</v>
      </c>
      <c r="E19" s="146">
        <v>18264079</v>
      </c>
      <c r="F19" s="146">
        <v>17628197</v>
      </c>
      <c r="G19" s="141">
        <v>20410515</v>
      </c>
    </row>
    <row r="20" spans="1:7" ht="18" thickBot="1">
      <c r="B20" s="487" t="s">
        <v>18</v>
      </c>
      <c r="C20" s="488"/>
      <c r="D20" s="488"/>
      <c r="E20" s="150"/>
      <c r="F20" s="150"/>
      <c r="G20" s="151"/>
    </row>
    <row r="21" spans="1:7">
      <c r="B21" s="138"/>
      <c r="C21" s="60"/>
      <c r="D21" s="138" t="s">
        <v>3</v>
      </c>
      <c r="E21" s="152">
        <v>0</v>
      </c>
      <c r="F21" s="152">
        <v>0</v>
      </c>
      <c r="G21" s="153">
        <v>0</v>
      </c>
    </row>
    <row r="22" spans="1:7" ht="18" thickBot="1">
      <c r="B22" s="154"/>
      <c r="C22" s="155"/>
      <c r="D22" s="143" t="s">
        <v>4</v>
      </c>
      <c r="E22" s="156">
        <v>0</v>
      </c>
      <c r="F22" s="156">
        <v>0</v>
      </c>
      <c r="G22" s="157">
        <v>0</v>
      </c>
    </row>
    <row r="23" spans="1:7" ht="18" thickBot="1">
      <c r="B23" s="487" t="s">
        <v>38</v>
      </c>
      <c r="C23" s="488"/>
      <c r="D23" s="488"/>
      <c r="E23" s="158"/>
      <c r="F23" s="158"/>
      <c r="G23" s="159"/>
    </row>
    <row r="24" spans="1:7">
      <c r="B24" s="160"/>
      <c r="C24" s="161"/>
      <c r="D24" s="160" t="s">
        <v>103</v>
      </c>
      <c r="E24" s="162">
        <f>+E13+E7</f>
        <v>16629492</v>
      </c>
      <c r="F24" s="162">
        <f>+F13+F7</f>
        <v>19642410</v>
      </c>
      <c r="G24" s="163">
        <f>+G13+G7</f>
        <v>21139104</v>
      </c>
    </row>
    <row r="25" spans="1:7">
      <c r="B25" s="138"/>
      <c r="C25" s="164"/>
      <c r="D25" s="138" t="s">
        <v>2</v>
      </c>
      <c r="E25" s="165">
        <f>E14+E8</f>
        <v>49940131</v>
      </c>
      <c r="F25" s="165">
        <f>F14+F8</f>
        <v>60213772</v>
      </c>
      <c r="G25" s="166">
        <f>G14+G8</f>
        <v>64412257</v>
      </c>
    </row>
    <row r="26" spans="1:7">
      <c r="B26" s="138"/>
      <c r="C26" s="164"/>
      <c r="D26" s="138" t="s">
        <v>3</v>
      </c>
      <c r="E26" s="165">
        <f>+E21+E15+E9</f>
        <v>516912</v>
      </c>
      <c r="F26" s="165">
        <f>+F21+F15+F9</f>
        <v>526674</v>
      </c>
      <c r="G26" s="166">
        <f>+G21+G15+G9</f>
        <v>317724</v>
      </c>
    </row>
    <row r="27" spans="1:7">
      <c r="B27" s="143"/>
      <c r="C27" s="167"/>
      <c r="D27" s="143" t="s">
        <v>4</v>
      </c>
      <c r="E27" s="142">
        <f>E22+E16+E10</f>
        <v>238388</v>
      </c>
      <c r="F27" s="142">
        <f>F22+F16+F10</f>
        <v>306393.3</v>
      </c>
      <c r="G27" s="141">
        <f>G22+G16+G10</f>
        <v>197219</v>
      </c>
    </row>
    <row r="28" spans="1:7">
      <c r="B28" s="138"/>
      <c r="C28" s="164"/>
      <c r="D28" s="138" t="s">
        <v>5</v>
      </c>
      <c r="E28" s="165">
        <f>E19+E11</f>
        <v>20914868</v>
      </c>
      <c r="F28" s="165">
        <f>F19+F11</f>
        <v>18954093.039999999</v>
      </c>
      <c r="G28" s="166">
        <f>G19+G11</f>
        <v>22954854</v>
      </c>
    </row>
    <row r="29" spans="1:7">
      <c r="B29" s="138"/>
      <c r="C29" s="164"/>
      <c r="D29" s="138" t="s">
        <v>10</v>
      </c>
      <c r="E29" s="165">
        <f>E17</f>
        <v>0</v>
      </c>
      <c r="F29" s="165">
        <f>F17</f>
        <v>0</v>
      </c>
      <c r="G29" s="166">
        <f>G17</f>
        <v>0</v>
      </c>
    </row>
    <row r="30" spans="1:7" ht="18" thickBot="1">
      <c r="B30" s="72"/>
      <c r="C30" s="168"/>
      <c r="D30" s="144" t="s">
        <v>40</v>
      </c>
      <c r="E30" s="169">
        <f>+E18</f>
        <v>0</v>
      </c>
      <c r="F30" s="169">
        <f>+F18</f>
        <v>0</v>
      </c>
      <c r="G30" s="170">
        <f>+G18</f>
        <v>0</v>
      </c>
    </row>
    <row r="31" spans="1:7">
      <c r="E31" s="43"/>
      <c r="F31" s="43"/>
    </row>
    <row r="32" spans="1:7">
      <c r="A32" s="172"/>
      <c r="E32" s="43"/>
      <c r="F32" s="43"/>
    </row>
    <row r="33" spans="1:9">
      <c r="A33" s="172" t="s">
        <v>578</v>
      </c>
      <c r="E33" s="43"/>
      <c r="F33" s="43"/>
    </row>
    <row r="34" spans="1:9">
      <c r="E34" s="43"/>
      <c r="F34" s="43"/>
    </row>
    <row r="35" spans="1:9">
      <c r="E35" s="43"/>
      <c r="F35" s="43"/>
    </row>
    <row r="36" spans="1:9">
      <c r="E36" s="43"/>
      <c r="F36" s="43"/>
    </row>
    <row r="37" spans="1:9">
      <c r="E37" s="43"/>
      <c r="F37" s="43"/>
      <c r="G37" s="43"/>
      <c r="H37" s="43"/>
      <c r="I37" s="43"/>
    </row>
    <row r="38" spans="1:9">
      <c r="E38" s="43"/>
      <c r="F38" s="43"/>
      <c r="G38" s="43"/>
      <c r="H38" s="43"/>
      <c r="I38" s="43"/>
    </row>
    <row r="39" spans="1:9">
      <c r="E39" s="43"/>
      <c r="F39" s="43"/>
      <c r="G39" s="171"/>
      <c r="H39" s="171"/>
      <c r="I39" s="171"/>
    </row>
    <row r="40" spans="1:9">
      <c r="E40" s="171"/>
      <c r="F40" s="171"/>
      <c r="G40" s="171"/>
      <c r="H40" s="171"/>
      <c r="I40" s="171"/>
    </row>
  </sheetData>
  <mergeCells count="5">
    <mergeCell ref="B23:D23"/>
    <mergeCell ref="B4:D4"/>
    <mergeCell ref="B12:D12"/>
    <mergeCell ref="B6:D6"/>
    <mergeCell ref="B20:D20"/>
  </mergeCells>
  <phoneticPr fontId="4" type="noConversion"/>
  <pageMargins left="0.75" right="0.75" top="1" bottom="1" header="0.5" footer="0.5"/>
  <pageSetup paperSize="9" orientation="portrait"/>
  <headerFooter alignWithMargins="0">
    <oddFooter>&amp;R&amp;"microsoft sans serif,Regular"Diğer</oddFooter>
    <evenFooter>&amp;R&amp;"microsoft sans serif,Regular"Diğer</evenFooter>
    <firstFooter>&amp;R&amp;"microsoft sans serif,Regular"Diğer</first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G46"/>
  <sheetViews>
    <sheetView showGridLines="0" topLeftCell="A2" zoomScale="84" workbookViewId="0">
      <selection activeCell="I24" sqref="I24"/>
    </sheetView>
  </sheetViews>
  <sheetFormatPr baseColWidth="10" defaultColWidth="9.1640625" defaultRowHeight="17"/>
  <cols>
    <col min="1" max="1" width="29.5" style="34" customWidth="1"/>
    <col min="2" max="2" width="15.6640625" style="34" customWidth="1"/>
    <col min="3" max="3" width="26.33203125" style="34" customWidth="1"/>
    <col min="4" max="7" width="15.6640625" style="34" customWidth="1"/>
    <col min="8" max="11" width="13.6640625" style="34" customWidth="1"/>
    <col min="12" max="16384" width="9.1640625" style="34"/>
  </cols>
  <sheetData>
    <row r="1" spans="1:7">
      <c r="A1" s="105"/>
      <c r="B1" s="3"/>
      <c r="C1" s="3"/>
      <c r="D1" s="105"/>
      <c r="E1" s="105"/>
      <c r="F1" s="105"/>
      <c r="G1" s="105"/>
    </row>
    <row r="2" spans="1:7">
      <c r="A2" s="33" t="s">
        <v>108</v>
      </c>
      <c r="B2" s="3"/>
      <c r="C2" s="3"/>
      <c r="D2" s="105"/>
      <c r="E2" s="105"/>
      <c r="F2" s="105"/>
      <c r="G2" s="105"/>
    </row>
    <row r="3" spans="1:7">
      <c r="A3" s="106" t="s">
        <v>109</v>
      </c>
      <c r="B3" s="3"/>
      <c r="C3" s="3"/>
      <c r="D3" s="172"/>
      <c r="E3" s="172"/>
      <c r="F3" s="172"/>
      <c r="G3" s="204"/>
    </row>
    <row r="4" spans="1:7">
      <c r="A4" s="3" t="s">
        <v>101</v>
      </c>
      <c r="B4" s="3"/>
      <c r="C4" s="3"/>
    </row>
    <row r="5" spans="1:7">
      <c r="A5" s="3" t="s">
        <v>110</v>
      </c>
      <c r="D5" s="3"/>
      <c r="E5" s="3"/>
      <c r="F5" s="3"/>
      <c r="G5" s="3"/>
    </row>
    <row r="6" spans="1:7">
      <c r="D6" s="107" t="s">
        <v>581</v>
      </c>
    </row>
    <row r="7" spans="1:7">
      <c r="A7" s="108" t="s">
        <v>43</v>
      </c>
      <c r="B7" s="109" t="s">
        <v>43</v>
      </c>
      <c r="C7" s="110"/>
      <c r="D7" s="35">
        <v>2015</v>
      </c>
      <c r="E7" s="35">
        <v>2016</v>
      </c>
      <c r="F7" s="35">
        <v>2017</v>
      </c>
    </row>
    <row r="8" spans="1:7">
      <c r="A8" s="111"/>
      <c r="B8" s="112"/>
      <c r="C8" s="113" t="s">
        <v>31</v>
      </c>
      <c r="D8" s="40">
        <v>0</v>
      </c>
      <c r="E8" s="40">
        <v>0</v>
      </c>
      <c r="F8" s="40">
        <v>0</v>
      </c>
    </row>
    <row r="9" spans="1:7">
      <c r="A9" s="111"/>
      <c r="B9" s="112" t="s">
        <v>44</v>
      </c>
      <c r="C9" s="114" t="s">
        <v>32</v>
      </c>
      <c r="D9" s="40">
        <v>17873</v>
      </c>
      <c r="E9" s="40">
        <v>12016.803</v>
      </c>
      <c r="F9" s="40">
        <v>13619.781000000001</v>
      </c>
    </row>
    <row r="10" spans="1:7">
      <c r="A10" s="111"/>
      <c r="B10" s="115"/>
      <c r="C10" s="116" t="s">
        <v>35</v>
      </c>
      <c r="D10" s="46">
        <v>17873</v>
      </c>
      <c r="E10" s="46">
        <v>12016.803</v>
      </c>
      <c r="F10" s="46">
        <v>13619.781000000001</v>
      </c>
    </row>
    <row r="11" spans="1:7">
      <c r="A11" s="117" t="s">
        <v>45</v>
      </c>
      <c r="B11" s="112"/>
      <c r="C11" s="114" t="s">
        <v>46</v>
      </c>
      <c r="D11" s="40">
        <v>0</v>
      </c>
      <c r="E11" s="40">
        <v>0</v>
      </c>
      <c r="F11" s="40">
        <v>0</v>
      </c>
    </row>
    <row r="12" spans="1:7">
      <c r="A12" s="117" t="s">
        <v>47</v>
      </c>
      <c r="B12" s="118" t="s">
        <v>39</v>
      </c>
      <c r="C12" s="114" t="s">
        <v>48</v>
      </c>
      <c r="D12" s="40">
        <v>512</v>
      </c>
      <c r="E12" s="40">
        <v>477.17700000000002</v>
      </c>
      <c r="F12" s="40">
        <v>504.75799999999998</v>
      </c>
    </row>
    <row r="13" spans="1:7">
      <c r="A13" s="117" t="s">
        <v>49</v>
      </c>
      <c r="B13" s="115"/>
      <c r="C13" s="116" t="s">
        <v>35</v>
      </c>
      <c r="D13" s="46">
        <v>512</v>
      </c>
      <c r="E13" s="46">
        <v>477.17700000000002</v>
      </c>
      <c r="F13" s="46">
        <v>504.75799999999998</v>
      </c>
    </row>
    <row r="14" spans="1:7">
      <c r="A14" s="117" t="s">
        <v>50</v>
      </c>
      <c r="B14" s="119"/>
      <c r="C14" s="114" t="s">
        <v>46</v>
      </c>
      <c r="D14" s="41">
        <v>1139</v>
      </c>
      <c r="E14" s="41">
        <v>0</v>
      </c>
      <c r="F14" s="41">
        <v>0</v>
      </c>
    </row>
    <row r="15" spans="1:7">
      <c r="A15" s="120"/>
      <c r="B15" s="118" t="s">
        <v>42</v>
      </c>
      <c r="C15" s="114" t="s">
        <v>48</v>
      </c>
      <c r="D15" s="40">
        <v>136</v>
      </c>
      <c r="E15" s="40">
        <v>1454.682</v>
      </c>
      <c r="F15" s="40">
        <v>1454.682</v>
      </c>
    </row>
    <row r="16" spans="1:7">
      <c r="A16" s="120"/>
      <c r="B16" s="112"/>
      <c r="C16" s="114" t="s">
        <v>35</v>
      </c>
      <c r="D16" s="46">
        <v>1276</v>
      </c>
      <c r="E16" s="46">
        <v>1454.682</v>
      </c>
      <c r="F16" s="46">
        <v>1454.682</v>
      </c>
    </row>
    <row r="17" spans="1:6">
      <c r="A17" s="120"/>
      <c r="B17" s="121"/>
      <c r="C17" s="109" t="s">
        <v>35</v>
      </c>
      <c r="D17" s="46">
        <v>1788</v>
      </c>
      <c r="E17" s="46">
        <v>1931.8589999999999</v>
      </c>
      <c r="F17" s="46">
        <v>1318.3029999999999</v>
      </c>
    </row>
    <row r="18" spans="1:6">
      <c r="A18" s="122"/>
      <c r="B18" s="112" t="s">
        <v>34</v>
      </c>
      <c r="C18" s="113"/>
      <c r="D18" s="46">
        <v>22294</v>
      </c>
      <c r="E18" s="46">
        <v>11215.151</v>
      </c>
      <c r="F18" s="46">
        <v>21370.887999999999</v>
      </c>
    </row>
    <row r="19" spans="1:6">
      <c r="A19" s="123"/>
      <c r="B19" s="121"/>
      <c r="C19" s="109" t="s">
        <v>35</v>
      </c>
      <c r="D19" s="46">
        <v>41955</v>
      </c>
      <c r="E19" s="46">
        <v>25163.813000000002</v>
      </c>
      <c r="F19" s="46">
        <v>36308.972000000002</v>
      </c>
    </row>
    <row r="20" spans="1:6">
      <c r="A20" s="117" t="s">
        <v>51</v>
      </c>
      <c r="B20" s="124" t="s">
        <v>52</v>
      </c>
      <c r="C20" s="118"/>
      <c r="D20" s="41">
        <v>0</v>
      </c>
      <c r="E20" s="41">
        <v>0</v>
      </c>
      <c r="F20" s="41">
        <v>0</v>
      </c>
    </row>
    <row r="21" spans="1:6">
      <c r="A21" s="125" t="s">
        <v>53</v>
      </c>
      <c r="B21" s="112" t="s">
        <v>42</v>
      </c>
      <c r="C21" s="118"/>
      <c r="D21" s="41">
        <v>0</v>
      </c>
      <c r="E21" s="41">
        <v>0</v>
      </c>
      <c r="F21" s="41">
        <v>0</v>
      </c>
    </row>
    <row r="22" spans="1:6">
      <c r="A22" s="126"/>
      <c r="B22" s="115" t="s">
        <v>38</v>
      </c>
      <c r="C22" s="116"/>
      <c r="D22" s="41">
        <v>0</v>
      </c>
      <c r="E22" s="41">
        <v>0</v>
      </c>
      <c r="F22" s="41">
        <v>0</v>
      </c>
    </row>
    <row r="23" spans="1:6">
      <c r="A23" s="122"/>
      <c r="B23" s="112"/>
      <c r="C23" s="114" t="s">
        <v>36</v>
      </c>
      <c r="D23" s="40">
        <v>95624</v>
      </c>
      <c r="E23" s="40">
        <v>112944.92899999999</v>
      </c>
      <c r="F23" s="40">
        <v>119134.41399999999</v>
      </c>
    </row>
    <row r="24" spans="1:6">
      <c r="A24" s="117" t="s">
        <v>54</v>
      </c>
      <c r="B24" s="112" t="s">
        <v>44</v>
      </c>
      <c r="C24" s="114" t="s">
        <v>32</v>
      </c>
      <c r="D24" s="40">
        <v>67544</v>
      </c>
      <c r="E24" s="40">
        <v>91478.995999999999</v>
      </c>
      <c r="F24" s="40">
        <v>93627.072</v>
      </c>
    </row>
    <row r="25" spans="1:6">
      <c r="A25" s="125" t="s">
        <v>55</v>
      </c>
      <c r="B25" s="115"/>
      <c r="C25" s="116" t="s">
        <v>35</v>
      </c>
      <c r="D25" s="46">
        <v>163168</v>
      </c>
      <c r="E25" s="46">
        <v>204423.92499999999</v>
      </c>
      <c r="F25" s="46">
        <v>212761.48599999998</v>
      </c>
    </row>
    <row r="26" spans="1:6">
      <c r="A26" s="117" t="s">
        <v>15</v>
      </c>
      <c r="B26" s="124"/>
      <c r="C26" s="113" t="s">
        <v>33</v>
      </c>
      <c r="D26" s="40">
        <v>4947</v>
      </c>
      <c r="E26" s="40">
        <v>4859</v>
      </c>
      <c r="F26" s="40">
        <v>2904.6040000000003</v>
      </c>
    </row>
    <row r="27" spans="1:6">
      <c r="A27" s="120"/>
      <c r="B27" s="112"/>
      <c r="C27" s="114" t="s">
        <v>42</v>
      </c>
      <c r="D27" s="40">
        <v>1217</v>
      </c>
      <c r="E27" s="40">
        <v>1780</v>
      </c>
      <c r="F27" s="40">
        <v>1288.8229999999999</v>
      </c>
    </row>
    <row r="28" spans="1:6">
      <c r="A28" s="120"/>
      <c r="B28" s="112" t="s">
        <v>56</v>
      </c>
      <c r="C28" s="114" t="s">
        <v>57</v>
      </c>
      <c r="D28" s="41">
        <v>0</v>
      </c>
      <c r="E28" s="41">
        <v>0</v>
      </c>
      <c r="F28" s="41">
        <v>0</v>
      </c>
    </row>
    <row r="29" spans="1:6">
      <c r="A29" s="120"/>
      <c r="B29" s="112"/>
      <c r="C29" s="114" t="s">
        <v>58</v>
      </c>
      <c r="D29" s="41">
        <v>0</v>
      </c>
      <c r="E29" s="41">
        <v>0</v>
      </c>
      <c r="F29" s="41">
        <v>0</v>
      </c>
    </row>
    <row r="30" spans="1:6">
      <c r="A30" s="127"/>
      <c r="B30" s="115"/>
      <c r="C30" s="116" t="s">
        <v>35</v>
      </c>
      <c r="D30" s="40">
        <v>0</v>
      </c>
      <c r="E30" s="40">
        <v>0</v>
      </c>
      <c r="F30" s="40">
        <v>0</v>
      </c>
    </row>
    <row r="31" spans="1:6">
      <c r="A31" s="122"/>
      <c r="B31" s="124" t="s">
        <v>34</v>
      </c>
      <c r="C31" s="114" t="s">
        <v>34</v>
      </c>
      <c r="D31" s="46">
        <v>166716</v>
      </c>
      <c r="E31" s="46">
        <v>160863.31699999998</v>
      </c>
      <c r="F31" s="46">
        <v>180491.63200000001</v>
      </c>
    </row>
    <row r="32" spans="1:6">
      <c r="A32" s="128"/>
      <c r="B32" s="121"/>
      <c r="C32" s="109"/>
      <c r="D32" s="46">
        <v>336049</v>
      </c>
      <c r="E32" s="46">
        <v>371926.10599999997</v>
      </c>
      <c r="F32" s="46">
        <v>397446.54499999998</v>
      </c>
    </row>
    <row r="33" spans="1:7">
      <c r="A33" s="108"/>
      <c r="B33" s="112"/>
      <c r="C33" s="114" t="s">
        <v>36</v>
      </c>
      <c r="D33" s="40">
        <v>95624</v>
      </c>
      <c r="E33" s="40">
        <v>112944.92899999999</v>
      </c>
      <c r="F33" s="40">
        <v>119134.41399999999</v>
      </c>
    </row>
    <row r="34" spans="1:7">
      <c r="A34" s="122"/>
      <c r="B34" s="112" t="s">
        <v>44</v>
      </c>
      <c r="C34" s="114" t="s">
        <v>32</v>
      </c>
      <c r="D34" s="40">
        <v>85417</v>
      </c>
      <c r="E34" s="40">
        <v>103495.799</v>
      </c>
      <c r="F34" s="40">
        <v>107246.853</v>
      </c>
    </row>
    <row r="35" spans="1:7">
      <c r="A35" s="111"/>
      <c r="B35" s="115"/>
      <c r="C35" s="116" t="s">
        <v>35</v>
      </c>
      <c r="D35" s="46">
        <v>181041</v>
      </c>
      <c r="E35" s="46">
        <v>216440.728</v>
      </c>
      <c r="F35" s="46">
        <v>226381.26699999999</v>
      </c>
    </row>
    <row r="36" spans="1:7">
      <c r="A36" s="111" t="s">
        <v>37</v>
      </c>
      <c r="B36" s="124"/>
      <c r="C36" s="113" t="s">
        <v>33</v>
      </c>
      <c r="D36" s="40">
        <v>5459</v>
      </c>
      <c r="E36" s="40">
        <v>5335.9259999999995</v>
      </c>
      <c r="F36" s="40">
        <v>3409.3620000000001</v>
      </c>
    </row>
    <row r="37" spans="1:7">
      <c r="A37" s="129"/>
      <c r="B37" s="112"/>
      <c r="C37" s="114" t="s">
        <v>42</v>
      </c>
      <c r="D37" s="40">
        <v>2493</v>
      </c>
      <c r="E37" s="40">
        <v>3234.797</v>
      </c>
      <c r="F37" s="40">
        <v>2102.3679999999999</v>
      </c>
    </row>
    <row r="38" spans="1:7">
      <c r="A38" s="111"/>
      <c r="B38" s="112" t="s">
        <v>56</v>
      </c>
      <c r="C38" s="114" t="s">
        <v>57</v>
      </c>
      <c r="D38" s="41">
        <v>0</v>
      </c>
      <c r="E38" s="41">
        <v>0</v>
      </c>
      <c r="F38" s="41">
        <v>0</v>
      </c>
    </row>
    <row r="39" spans="1:7">
      <c r="A39" s="111"/>
      <c r="B39" s="112"/>
      <c r="C39" s="114" t="s">
        <v>58</v>
      </c>
      <c r="D39" s="41">
        <v>0</v>
      </c>
      <c r="E39" s="41">
        <v>0</v>
      </c>
      <c r="F39" s="41">
        <v>0</v>
      </c>
    </row>
    <row r="40" spans="1:7">
      <c r="A40" s="129"/>
      <c r="B40" s="115"/>
      <c r="C40" s="116" t="s">
        <v>35</v>
      </c>
      <c r="D40" s="46">
        <v>7952</v>
      </c>
      <c r="E40" s="46">
        <v>8570.723</v>
      </c>
      <c r="F40" s="46">
        <v>5511.73</v>
      </c>
    </row>
    <row r="41" spans="1:7">
      <c r="A41" s="122"/>
      <c r="B41" s="112" t="s">
        <v>34</v>
      </c>
      <c r="C41" s="114"/>
      <c r="D41" s="46">
        <v>189010</v>
      </c>
      <c r="E41" s="46">
        <v>172078.46799999999</v>
      </c>
      <c r="F41" s="46">
        <v>201862.52000000002</v>
      </c>
    </row>
    <row r="42" spans="1:7">
      <c r="A42" s="130"/>
      <c r="B42" s="131"/>
      <c r="C42" s="132" t="s">
        <v>35</v>
      </c>
      <c r="D42" s="46">
        <v>378004</v>
      </c>
      <c r="E42" s="46">
        <v>397089.91899999999</v>
      </c>
      <c r="F42" s="46">
        <v>433755.51699999999</v>
      </c>
    </row>
    <row r="43" spans="1:7">
      <c r="A43" s="34" t="s">
        <v>111</v>
      </c>
    </row>
    <row r="44" spans="1:7">
      <c r="A44" s="172" t="s">
        <v>579</v>
      </c>
    </row>
    <row r="45" spans="1:7">
      <c r="A45" s="133" t="s">
        <v>800</v>
      </c>
      <c r="D45" s="133"/>
      <c r="E45" s="133"/>
      <c r="F45" s="133"/>
      <c r="G45" s="133"/>
    </row>
    <row r="46" spans="1:7">
      <c r="A46" s="172" t="s">
        <v>41</v>
      </c>
      <c r="D46" s="172"/>
      <c r="E46" s="172"/>
      <c r="F46" s="172"/>
      <c r="G46" s="204"/>
    </row>
  </sheetData>
  <phoneticPr fontId="4" type="noConversion"/>
  <hyperlinks>
    <hyperlink ref="A46" r:id="rId1" xr:uid="{00000000-0004-0000-0300-000000000000}"/>
    <hyperlink ref="A44" r:id="rId2" display="http://www.teias.gov.tr/TürkiyeElektrikİstatistikleri/istatistik2015/yakıt65-71/69.xls" xr:uid="{00000000-0004-0000-0300-000001000000}"/>
  </hyperlinks>
  <pageMargins left="0.75" right="0.75" top="1" bottom="1" header="0.5" footer="0.5"/>
  <pageSetup paperSize="9" orientation="portrait"/>
  <headerFooter alignWithMargins="0">
    <oddFooter>&amp;R&amp;"microsoft sans serif,Regular"Diğer</oddFooter>
    <evenFooter>&amp;R&amp;"microsoft sans serif,Regular"Diğer</evenFooter>
    <firstFooter>&amp;R&amp;"microsoft sans serif,Regular"Diğer</first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1:K44"/>
  <sheetViews>
    <sheetView showGridLines="0" topLeftCell="C1" zoomScale="85" zoomScaleNormal="60" zoomScalePageLayoutView="60" workbookViewId="0">
      <selection activeCell="M9" sqref="M9"/>
    </sheetView>
  </sheetViews>
  <sheetFormatPr baseColWidth="10" defaultColWidth="9.1640625" defaultRowHeight="17"/>
  <cols>
    <col min="1" max="1" width="5.1640625" style="34" customWidth="1"/>
    <col min="2" max="2" width="26.5" style="34" customWidth="1"/>
    <col min="3" max="8" width="16.5" style="34" customWidth="1"/>
    <col min="9" max="13" width="19.83203125" style="34" customWidth="1"/>
    <col min="14" max="18" width="18.6640625" style="34" customWidth="1"/>
    <col min="19" max="16384" width="9.1640625" style="34"/>
  </cols>
  <sheetData>
    <row r="1" spans="2:11" ht="18" thickBot="1"/>
    <row r="2" spans="2:11" ht="18" thickBot="1">
      <c r="C2" s="489" t="s">
        <v>127</v>
      </c>
      <c r="D2" s="490"/>
      <c r="E2" s="491"/>
      <c r="F2" s="492" t="s">
        <v>92</v>
      </c>
      <c r="G2" s="493"/>
      <c r="H2" s="494"/>
      <c r="I2" s="495" t="s">
        <v>93</v>
      </c>
      <c r="J2" s="496"/>
      <c r="K2" s="496"/>
    </row>
    <row r="3" spans="2:11" ht="18" thickBot="1">
      <c r="B3" s="80"/>
      <c r="C3" s="81">
        <v>2015</v>
      </c>
      <c r="D3" s="81">
        <v>2016</v>
      </c>
      <c r="E3" s="81">
        <v>2017</v>
      </c>
      <c r="F3" s="82">
        <v>2015</v>
      </c>
      <c r="G3" s="83">
        <v>2016</v>
      </c>
      <c r="H3" s="83">
        <v>2017</v>
      </c>
      <c r="I3" s="84">
        <v>2015</v>
      </c>
      <c r="J3" s="84">
        <v>2016</v>
      </c>
      <c r="K3" s="84">
        <v>2017</v>
      </c>
    </row>
    <row r="4" spans="2:11">
      <c r="B4" s="85" t="s">
        <v>0</v>
      </c>
      <c r="C4" s="86"/>
      <c r="D4" s="86"/>
      <c r="E4" s="86"/>
      <c r="F4" s="87"/>
      <c r="G4" s="87"/>
      <c r="H4" s="87"/>
      <c r="I4" s="88"/>
      <c r="J4" s="88"/>
      <c r="K4" s="88"/>
    </row>
    <row r="5" spans="2:11">
      <c r="B5" s="89" t="s">
        <v>1</v>
      </c>
      <c r="C5" s="90">
        <f>'Heating Values'!D8*NCVs!C42</f>
        <v>0</v>
      </c>
      <c r="D5" s="90">
        <f>'Heating Values'!E8*NCVs!C42</f>
        <v>0</v>
      </c>
      <c r="E5" s="90">
        <f>'Heating Values'!F8*NCVs!C42</f>
        <v>0</v>
      </c>
      <c r="F5" s="90">
        <f>FCs!E7</f>
        <v>0</v>
      </c>
      <c r="G5" s="90">
        <f>FCs!F7</f>
        <v>0</v>
      </c>
      <c r="H5" s="90">
        <f>FCs!G7</f>
        <v>0</v>
      </c>
      <c r="I5" s="91">
        <v>0</v>
      </c>
      <c r="J5" s="91">
        <v>0</v>
      </c>
      <c r="K5" s="91">
        <v>0</v>
      </c>
    </row>
    <row r="6" spans="2:11">
      <c r="B6" s="89" t="s">
        <v>2</v>
      </c>
      <c r="C6" s="90">
        <f>'Heating Values'!D9*NCVs!C42</f>
        <v>74830.676399999997</v>
      </c>
      <c r="D6" s="90">
        <f>'Heating Values'!E9*NCVs!C42</f>
        <v>50311.950800399994</v>
      </c>
      <c r="E6" s="90">
        <f>'Heating Values'!F9*NCVs!C42</f>
        <v>57023.299090799999</v>
      </c>
      <c r="F6" s="90">
        <f>FCs!E8</f>
        <v>11375169</v>
      </c>
      <c r="G6" s="90">
        <f>FCs!F8</f>
        <v>9531660</v>
      </c>
      <c r="H6" s="90">
        <f>FCs!G8</f>
        <v>11371159</v>
      </c>
      <c r="I6" s="91">
        <f t="shared" ref="I6:K9" si="0">C6/F6*1000</f>
        <v>6.5784232656235702</v>
      </c>
      <c r="J6" s="91">
        <f t="shared" si="0"/>
        <v>5.2784038457519458</v>
      </c>
      <c r="K6" s="91">
        <f t="shared" si="0"/>
        <v>5.0147306084454542</v>
      </c>
    </row>
    <row r="7" spans="2:11">
      <c r="B7" s="92" t="s">
        <v>3</v>
      </c>
      <c r="C7" s="90">
        <f>'Heating Values'!D13*NCVs!C42</f>
        <v>2143.6415999999999</v>
      </c>
      <c r="D7" s="90">
        <f>'Heating Values'!E13*NCVs!C42</f>
        <v>1997.8446636000001</v>
      </c>
      <c r="E7" s="90">
        <f>'Heating Values'!F13*NCVs!C42</f>
        <v>2113.3207944000001</v>
      </c>
      <c r="F7" s="90">
        <f>FCs!E9</f>
        <v>53343</v>
      </c>
      <c r="G7" s="90">
        <f>FCs!F9</f>
        <v>49706</v>
      </c>
      <c r="H7" s="90">
        <f>FCs!G9</f>
        <v>52579</v>
      </c>
      <c r="I7" s="91">
        <f t="shared" si="0"/>
        <v>40.185996288172767</v>
      </c>
      <c r="J7" s="91">
        <f t="shared" si="0"/>
        <v>40.19322946123205</v>
      </c>
      <c r="K7" s="91">
        <f t="shared" si="0"/>
        <v>40.193248148500352</v>
      </c>
    </row>
    <row r="8" spans="2:11">
      <c r="B8" s="89" t="s">
        <v>4</v>
      </c>
      <c r="C8" s="90">
        <f>'Heating Values'!D16*NCVs!C42</f>
        <v>5342.3567999999996</v>
      </c>
      <c r="D8" s="90">
        <f>'Heating Values'!E16*NCVs!C42</f>
        <v>6090.4625975999998</v>
      </c>
      <c r="E8" s="90">
        <f>'Heating Values'!F16*NCVs!C42</f>
        <v>6090.4625975999998</v>
      </c>
      <c r="F8" s="90">
        <f>FCs!E10</f>
        <v>123845</v>
      </c>
      <c r="G8" s="90">
        <f>FCs!F10</f>
        <v>141231.29999999999</v>
      </c>
      <c r="H8" s="90">
        <f>FCs!G10</f>
        <v>78985</v>
      </c>
      <c r="I8" s="91">
        <f t="shared" si="0"/>
        <v>43.137444386127811</v>
      </c>
      <c r="J8" s="91">
        <f t="shared" si="0"/>
        <v>43.12402843845522</v>
      </c>
      <c r="K8" s="91">
        <f t="shared" si="0"/>
        <v>77.109104229917065</v>
      </c>
    </row>
    <row r="9" spans="2:11">
      <c r="B9" s="89" t="s">
        <v>5</v>
      </c>
      <c r="C9" s="90">
        <f>'Heating Values'!D18*NCVs!C42</f>
        <v>93340.519199999995</v>
      </c>
      <c r="D9" s="90">
        <f>'Heating Values'!E18*NCVs!C42</f>
        <v>46955.5942068</v>
      </c>
      <c r="E9" s="90">
        <f>'Heating Values'!F18*NCVs!C42</f>
        <v>89475.633878399996</v>
      </c>
      <c r="F9" s="90">
        <f>FCs!E11</f>
        <v>2650789</v>
      </c>
      <c r="G9" s="90">
        <f>FCs!F11</f>
        <v>1325896.04</v>
      </c>
      <c r="H9" s="90">
        <f>FCs!G11</f>
        <v>2544339</v>
      </c>
      <c r="I9" s="91">
        <f t="shared" si="0"/>
        <v>35.212353454009353</v>
      </c>
      <c r="J9" s="91">
        <f t="shared" si="0"/>
        <v>35.414235196599577</v>
      </c>
      <c r="K9" s="91">
        <f t="shared" si="0"/>
        <v>35.166553622925242</v>
      </c>
    </row>
    <row r="10" spans="2:11">
      <c r="B10" s="85" t="s">
        <v>8</v>
      </c>
      <c r="C10" s="93"/>
      <c r="D10" s="93"/>
      <c r="E10" s="93"/>
      <c r="F10" s="94"/>
      <c r="G10" s="94"/>
      <c r="H10" s="94"/>
      <c r="I10" s="95"/>
      <c r="J10" s="95"/>
      <c r="K10" s="95"/>
    </row>
    <row r="11" spans="2:11">
      <c r="B11" s="89" t="s">
        <v>1</v>
      </c>
      <c r="C11" s="90">
        <f>'Heating Values'!D23*NCVs!C42</f>
        <v>400358.56319999998</v>
      </c>
      <c r="D11" s="90">
        <f>'Heating Values'!E23*NCVs!C42</f>
        <v>472877.82873719995</v>
      </c>
      <c r="E11" s="90">
        <f>'Heating Values'!F23*NCVs!C42</f>
        <v>498791.96453519992</v>
      </c>
      <c r="F11" s="90">
        <f>FCs!E13</f>
        <v>16629492</v>
      </c>
      <c r="G11" s="40">
        <f>FCs!F13</f>
        <v>19642410</v>
      </c>
      <c r="H11" s="40">
        <f>FCs!G13</f>
        <v>21139104</v>
      </c>
      <c r="I11" s="91">
        <f t="shared" ref="I11:K14" si="1">C11/F11*1000</f>
        <v>24.075213073255632</v>
      </c>
      <c r="J11" s="91">
        <f t="shared" si="1"/>
        <v>24.074328391332834</v>
      </c>
      <c r="K11" s="91">
        <f t="shared" si="1"/>
        <v>23.595700391804684</v>
      </c>
    </row>
    <row r="12" spans="2:11">
      <c r="B12" s="89" t="s">
        <v>2</v>
      </c>
      <c r="C12" s="90">
        <f>'Heating Values'!D24*NCVs!C42</f>
        <v>282793.21919999999</v>
      </c>
      <c r="D12" s="90">
        <f>'Heating Values'!E24*NCVs!C42</f>
        <v>383004.26045279996</v>
      </c>
      <c r="E12" s="90">
        <f>'Heating Values'!F24*NCVs!C42</f>
        <v>391997.82504959998</v>
      </c>
      <c r="F12" s="90">
        <f>FCs!E14</f>
        <v>38564962</v>
      </c>
      <c r="G12" s="40">
        <f>FCs!F14</f>
        <v>50682112</v>
      </c>
      <c r="H12" s="40">
        <f>FCs!G14</f>
        <v>53041098</v>
      </c>
      <c r="I12" s="91">
        <f t="shared" si="1"/>
        <v>7.3329054285078765</v>
      </c>
      <c r="J12" s="91">
        <f t="shared" si="1"/>
        <v>7.5569909251769136</v>
      </c>
      <c r="K12" s="91">
        <f t="shared" si="1"/>
        <v>7.3904545688251018</v>
      </c>
    </row>
    <row r="13" spans="2:11">
      <c r="B13" s="89" t="s">
        <v>3</v>
      </c>
      <c r="C13" s="90">
        <f>'Heating Values'!D26*NCVs!C42</f>
        <v>20712.099599999998</v>
      </c>
      <c r="D13" s="90">
        <f>'Heating Values'!E26*NCVs!C42</f>
        <v>20343.661199999999</v>
      </c>
      <c r="E13" s="90">
        <f>'Heating Values'!F26*NCVs!C42</f>
        <v>12160.996027200001</v>
      </c>
      <c r="F13" s="90">
        <f>FCs!E15</f>
        <v>463569</v>
      </c>
      <c r="G13" s="40">
        <f>FCs!F15</f>
        <v>476968</v>
      </c>
      <c r="H13" s="40">
        <f>FCs!G15</f>
        <v>265145</v>
      </c>
      <c r="I13" s="91">
        <f t="shared" si="1"/>
        <v>44.679647689987895</v>
      </c>
      <c r="J13" s="91">
        <f t="shared" si="1"/>
        <v>42.652046258868516</v>
      </c>
      <c r="K13" s="91">
        <f t="shared" si="1"/>
        <v>45.865454853759267</v>
      </c>
    </row>
    <row r="14" spans="2:11">
      <c r="B14" s="89" t="s">
        <v>4</v>
      </c>
      <c r="C14" s="90">
        <f>'Heating Values'!D27*NCVs!C42</f>
        <v>5095.3355999999994</v>
      </c>
      <c r="D14" s="90">
        <f>'Heating Values'!E27*NCVs!C42</f>
        <v>7452.5039999999999</v>
      </c>
      <c r="E14" s="90">
        <f>'Heating Values'!F27*NCVs!C42</f>
        <v>5396.0441363999989</v>
      </c>
      <c r="F14" s="90">
        <f>FCs!E16</f>
        <v>114543</v>
      </c>
      <c r="G14" s="40">
        <f>FCs!F16</f>
        <v>165162</v>
      </c>
      <c r="H14" s="40">
        <f>FCs!G16</f>
        <v>118234</v>
      </c>
      <c r="I14" s="91">
        <f t="shared" si="1"/>
        <v>44.484041800895724</v>
      </c>
      <c r="J14" s="91">
        <f t="shared" si="1"/>
        <v>45.122388927235079</v>
      </c>
      <c r="K14" s="91">
        <f t="shared" si="1"/>
        <v>45.638683766090963</v>
      </c>
    </row>
    <row r="15" spans="2:11">
      <c r="B15" s="89" t="s">
        <v>10</v>
      </c>
      <c r="C15" s="90">
        <f>'Heating Values'!D28*NCVs!C42</f>
        <v>0</v>
      </c>
      <c r="D15" s="90">
        <f>'Heating Values'!E28*NCVs!C42</f>
        <v>0</v>
      </c>
      <c r="E15" s="90">
        <f>'Heating Values'!F28*NCVs!C42</f>
        <v>0</v>
      </c>
      <c r="F15" s="90">
        <f>FCs!E17</f>
        <v>0</v>
      </c>
      <c r="G15" s="40">
        <f>FCs!F17</f>
        <v>0</v>
      </c>
      <c r="H15" s="40">
        <f>FCs!G17</f>
        <v>0</v>
      </c>
      <c r="I15" s="91">
        <v>0</v>
      </c>
      <c r="J15" s="91">
        <v>0</v>
      </c>
      <c r="K15" s="91">
        <f>0</f>
        <v>0</v>
      </c>
    </row>
    <row r="16" spans="2:11">
      <c r="B16" s="89" t="s">
        <v>11</v>
      </c>
      <c r="C16" s="90">
        <f>'Heating Values'!D29*NCVs!C42</f>
        <v>0</v>
      </c>
      <c r="D16" s="90">
        <f>'Heating Values'!E29*NCVs!C42</f>
        <v>0</v>
      </c>
      <c r="E16" s="90">
        <f>'Heating Values'!F29*NCVs!C42</f>
        <v>0</v>
      </c>
      <c r="F16" s="90">
        <f>FCs!E18</f>
        <v>0</v>
      </c>
      <c r="G16" s="40">
        <f>FCs!F18</f>
        <v>0</v>
      </c>
      <c r="H16" s="40">
        <f>FCs!G18</f>
        <v>0</v>
      </c>
      <c r="I16" s="91">
        <v>0</v>
      </c>
      <c r="J16" s="91">
        <v>0</v>
      </c>
      <c r="K16" s="91">
        <f>0</f>
        <v>0</v>
      </c>
    </row>
    <row r="17" spans="2:11">
      <c r="B17" s="89" t="s">
        <v>5</v>
      </c>
      <c r="C17" s="90">
        <f>'Heating Values'!D31*NCVs!C42</f>
        <v>698006.54879999999</v>
      </c>
      <c r="D17" s="90">
        <f>'Heating Values'!E31*NCVs!C42</f>
        <v>673502.53561559995</v>
      </c>
      <c r="E17" s="90">
        <f>'Heating Values'!F31*NCVs!C42</f>
        <v>755682.36485760007</v>
      </c>
      <c r="F17" s="90">
        <f>FCs!E19</f>
        <v>18264079</v>
      </c>
      <c r="G17" s="40">
        <f>FCs!F19</f>
        <v>17628197</v>
      </c>
      <c r="H17" s="40">
        <f>FCs!G19</f>
        <v>20410515</v>
      </c>
      <c r="I17" s="91">
        <f>C17/F17*1000</f>
        <v>38.217451249526462</v>
      </c>
      <c r="J17" s="91">
        <f>D17/G17*1000</f>
        <v>38.205979636805736</v>
      </c>
      <c r="K17" s="91">
        <f>E17/H17*1000</f>
        <v>37.02416939786184</v>
      </c>
    </row>
    <row r="18" spans="2:11">
      <c r="B18" s="85" t="s">
        <v>19</v>
      </c>
      <c r="C18" s="93"/>
      <c r="D18" s="93"/>
      <c r="E18" s="93"/>
      <c r="F18" s="96"/>
      <c r="G18" s="96"/>
      <c r="H18" s="96"/>
      <c r="I18" s="95"/>
      <c r="J18" s="95"/>
      <c r="K18" s="95"/>
    </row>
    <row r="19" spans="2:11">
      <c r="B19" s="89" t="s">
        <v>9</v>
      </c>
      <c r="C19" s="90">
        <v>0</v>
      </c>
      <c r="D19" s="90">
        <v>0</v>
      </c>
      <c r="E19" s="90">
        <v>0</v>
      </c>
      <c r="F19" s="40">
        <v>0</v>
      </c>
      <c r="G19" s="40">
        <v>0</v>
      </c>
      <c r="H19" s="40">
        <v>0</v>
      </c>
      <c r="I19" s="97">
        <v>0</v>
      </c>
      <c r="J19" s="97">
        <v>0</v>
      </c>
      <c r="K19" s="97">
        <v>0</v>
      </c>
    </row>
    <row r="20" spans="2:11">
      <c r="B20" s="89" t="s">
        <v>3</v>
      </c>
      <c r="C20" s="90">
        <v>0</v>
      </c>
      <c r="D20" s="90">
        <v>0</v>
      </c>
      <c r="E20" s="90">
        <v>0</v>
      </c>
      <c r="F20" s="40">
        <v>0</v>
      </c>
      <c r="G20" s="40">
        <v>0</v>
      </c>
      <c r="H20" s="40">
        <v>0</v>
      </c>
      <c r="I20" s="97">
        <v>0</v>
      </c>
      <c r="J20" s="97">
        <v>0</v>
      </c>
      <c r="K20" s="97">
        <v>0</v>
      </c>
    </row>
    <row r="21" spans="2:11">
      <c r="B21" s="89" t="s">
        <v>4</v>
      </c>
      <c r="C21" s="90">
        <v>0</v>
      </c>
      <c r="D21" s="90">
        <v>0</v>
      </c>
      <c r="E21" s="90">
        <v>0</v>
      </c>
      <c r="F21" s="40">
        <v>0</v>
      </c>
      <c r="G21" s="40">
        <v>0</v>
      </c>
      <c r="H21" s="40">
        <v>0</v>
      </c>
      <c r="I21" s="97">
        <v>0</v>
      </c>
      <c r="J21" s="97">
        <v>0</v>
      </c>
      <c r="K21" s="97">
        <v>0</v>
      </c>
    </row>
    <row r="22" spans="2:11">
      <c r="B22" s="89" t="s">
        <v>11</v>
      </c>
      <c r="C22" s="90">
        <v>0</v>
      </c>
      <c r="D22" s="90">
        <v>0</v>
      </c>
      <c r="E22" s="90">
        <v>0</v>
      </c>
      <c r="F22" s="40">
        <v>0</v>
      </c>
      <c r="G22" s="40">
        <v>0</v>
      </c>
      <c r="H22" s="40">
        <v>0</v>
      </c>
      <c r="I22" s="97">
        <v>0</v>
      </c>
      <c r="J22" s="97">
        <v>0</v>
      </c>
      <c r="K22" s="97">
        <v>0</v>
      </c>
    </row>
    <row r="23" spans="2:11">
      <c r="B23" s="89" t="s">
        <v>5</v>
      </c>
      <c r="C23" s="90">
        <v>0</v>
      </c>
      <c r="D23" s="90">
        <v>0</v>
      </c>
      <c r="E23" s="90">
        <v>0</v>
      </c>
      <c r="F23" s="40">
        <v>0</v>
      </c>
      <c r="G23" s="40">
        <v>0</v>
      </c>
      <c r="H23" s="40">
        <v>0</v>
      </c>
      <c r="I23" s="97">
        <v>0</v>
      </c>
      <c r="J23" s="97">
        <v>0</v>
      </c>
      <c r="K23" s="97">
        <v>0</v>
      </c>
    </row>
    <row r="24" spans="2:11">
      <c r="B24" s="85" t="s">
        <v>18</v>
      </c>
      <c r="C24" s="93"/>
      <c r="D24" s="93"/>
      <c r="E24" s="93"/>
      <c r="F24" s="94"/>
      <c r="G24" s="94"/>
      <c r="H24" s="94"/>
      <c r="I24" s="98"/>
      <c r="J24" s="98"/>
      <c r="K24" s="98"/>
    </row>
    <row r="25" spans="2:11">
      <c r="B25" s="89" t="s">
        <v>3</v>
      </c>
      <c r="C25" s="90">
        <v>0</v>
      </c>
      <c r="D25" s="90">
        <v>0</v>
      </c>
      <c r="E25" s="90">
        <v>0</v>
      </c>
      <c r="F25" s="90">
        <v>0</v>
      </c>
      <c r="G25" s="90">
        <v>0</v>
      </c>
      <c r="H25" s="90">
        <v>0</v>
      </c>
      <c r="I25" s="97">
        <v>0</v>
      </c>
      <c r="J25" s="97">
        <v>0</v>
      </c>
      <c r="K25" s="97">
        <v>0</v>
      </c>
    </row>
    <row r="26" spans="2:11">
      <c r="B26" s="89" t="s">
        <v>4</v>
      </c>
      <c r="C26" s="90">
        <v>0</v>
      </c>
      <c r="D26" s="90">
        <v>0</v>
      </c>
      <c r="E26" s="90">
        <v>0</v>
      </c>
      <c r="F26" s="90">
        <v>0</v>
      </c>
      <c r="G26" s="90">
        <v>0</v>
      </c>
      <c r="H26" s="90">
        <v>0</v>
      </c>
      <c r="I26" s="97">
        <v>0</v>
      </c>
      <c r="J26" s="97">
        <v>0</v>
      </c>
      <c r="K26" s="97">
        <v>0</v>
      </c>
    </row>
    <row r="27" spans="2:11">
      <c r="B27" s="85" t="s">
        <v>15</v>
      </c>
      <c r="C27" s="93"/>
      <c r="D27" s="93"/>
      <c r="E27" s="93"/>
      <c r="F27" s="94"/>
      <c r="G27" s="94"/>
      <c r="H27" s="94"/>
      <c r="I27" s="98"/>
      <c r="J27" s="98"/>
      <c r="K27" s="98"/>
    </row>
    <row r="28" spans="2:11">
      <c r="B28" s="89" t="s">
        <v>2</v>
      </c>
      <c r="C28" s="90">
        <v>0</v>
      </c>
      <c r="D28" s="90">
        <v>0</v>
      </c>
      <c r="E28" s="90">
        <v>0</v>
      </c>
      <c r="F28" s="40">
        <v>0</v>
      </c>
      <c r="G28" s="40">
        <v>0</v>
      </c>
      <c r="H28" s="40">
        <v>0</v>
      </c>
      <c r="I28" s="97">
        <v>0</v>
      </c>
      <c r="J28" s="97">
        <v>0</v>
      </c>
      <c r="K28" s="97">
        <v>0</v>
      </c>
    </row>
    <row r="29" spans="2:11">
      <c r="B29" s="89" t="s">
        <v>3</v>
      </c>
      <c r="C29" s="90">
        <v>0</v>
      </c>
      <c r="D29" s="90">
        <v>0</v>
      </c>
      <c r="E29" s="90">
        <v>0</v>
      </c>
      <c r="F29" s="40">
        <v>0</v>
      </c>
      <c r="G29" s="40">
        <v>0</v>
      </c>
      <c r="H29" s="40">
        <v>0</v>
      </c>
      <c r="I29" s="97">
        <v>0</v>
      </c>
      <c r="J29" s="97">
        <v>0</v>
      </c>
      <c r="K29" s="97">
        <v>0</v>
      </c>
    </row>
    <row r="30" spans="2:11">
      <c r="B30" s="89" t="s">
        <v>4</v>
      </c>
      <c r="C30" s="90">
        <v>0</v>
      </c>
      <c r="D30" s="90">
        <v>0</v>
      </c>
      <c r="E30" s="90">
        <v>0</v>
      </c>
      <c r="F30" s="40">
        <v>0</v>
      </c>
      <c r="G30" s="40">
        <v>0</v>
      </c>
      <c r="H30" s="40">
        <v>0</v>
      </c>
      <c r="I30" s="97">
        <v>0</v>
      </c>
      <c r="J30" s="97">
        <v>0</v>
      </c>
      <c r="K30" s="97">
        <v>0</v>
      </c>
    </row>
    <row r="31" spans="2:11">
      <c r="B31" s="85" t="s">
        <v>38</v>
      </c>
      <c r="C31" s="93"/>
      <c r="D31" s="93"/>
      <c r="E31" s="93"/>
      <c r="F31" s="96"/>
      <c r="G31" s="96"/>
      <c r="H31" s="96"/>
      <c r="I31" s="95"/>
      <c r="J31" s="95"/>
      <c r="K31" s="95"/>
    </row>
    <row r="32" spans="2:11">
      <c r="B32" s="89" t="s">
        <v>1</v>
      </c>
      <c r="C32" s="90">
        <f>'Heating Values'!D33*NCVs!C42</f>
        <v>400358.56319999998</v>
      </c>
      <c r="D32" s="90">
        <f>'Heating Values'!E33*NCVs!C42</f>
        <v>472877.82873719995</v>
      </c>
      <c r="E32" s="90">
        <f>'Heating Values'!F33*NCVs!C42</f>
        <v>498791.96453519992</v>
      </c>
      <c r="F32" s="90">
        <f>F19+F11+F5</f>
        <v>16629492</v>
      </c>
      <c r="G32" s="40">
        <f>G19+G11+G5</f>
        <v>19642410</v>
      </c>
      <c r="H32" s="40">
        <f>H19+H11+H5</f>
        <v>21139104</v>
      </c>
      <c r="I32" s="99">
        <f t="shared" ref="I32:K36" si="2">C32/F32*1000</f>
        <v>24.075213073255632</v>
      </c>
      <c r="J32" s="99">
        <f t="shared" si="2"/>
        <v>24.074328391332834</v>
      </c>
      <c r="K32" s="99">
        <f t="shared" si="2"/>
        <v>23.595700391804684</v>
      </c>
    </row>
    <row r="33" spans="2:11">
      <c r="B33" s="89" t="s">
        <v>2</v>
      </c>
      <c r="C33" s="90">
        <f>'Heating Values'!D34*NCVs!C42</f>
        <v>357623.89559999999</v>
      </c>
      <c r="D33" s="90">
        <f>'Heating Values'!E34*NCVs!C42</f>
        <v>433316.21125319996</v>
      </c>
      <c r="E33" s="90">
        <f>'Heating Values'!F34*NCVs!C42</f>
        <v>449021.12414039997</v>
      </c>
      <c r="F33" s="90">
        <f>F28+F12+F6</f>
        <v>49940131</v>
      </c>
      <c r="G33" s="40">
        <f>G28+G12+G6</f>
        <v>60213772</v>
      </c>
      <c r="H33" s="40">
        <f>H28+H12+H6</f>
        <v>64412257</v>
      </c>
      <c r="I33" s="99">
        <f t="shared" si="2"/>
        <v>7.1610524129382034</v>
      </c>
      <c r="J33" s="99">
        <f t="shared" si="2"/>
        <v>7.1962974060684983</v>
      </c>
      <c r="K33" s="99">
        <f t="shared" si="2"/>
        <v>6.9710509311977686</v>
      </c>
    </row>
    <row r="34" spans="2:11">
      <c r="B34" s="89" t="s">
        <v>3</v>
      </c>
      <c r="C34" s="90">
        <f>'Heating Values'!D36*NCVs!C42</f>
        <v>22855.7412</v>
      </c>
      <c r="D34" s="90">
        <f>'Heating Values'!E36*NCVs!C42</f>
        <v>22340.454976799996</v>
      </c>
      <c r="E34" s="90">
        <f>'Heating Values'!F36*NCVs!C42</f>
        <v>14274.316821599999</v>
      </c>
      <c r="F34" s="90">
        <f t="shared" ref="F34:H35" si="3">F7+F13+F20+F25+F29</f>
        <v>516912</v>
      </c>
      <c r="G34" s="40">
        <f t="shared" si="3"/>
        <v>526674</v>
      </c>
      <c r="H34" s="40">
        <f t="shared" si="3"/>
        <v>317724</v>
      </c>
      <c r="I34" s="99">
        <f t="shared" si="2"/>
        <v>44.215923019778998</v>
      </c>
      <c r="J34" s="99">
        <f t="shared" si="2"/>
        <v>42.417994768680423</v>
      </c>
      <c r="K34" s="99">
        <f t="shared" si="2"/>
        <v>44.926781803074363</v>
      </c>
    </row>
    <row r="35" spans="2:11">
      <c r="B35" s="89" t="s">
        <v>4</v>
      </c>
      <c r="C35" s="90">
        <f>'Heating Values'!D37*NCVs!C42</f>
        <v>10437.6924</v>
      </c>
      <c r="D35" s="90">
        <f>'Heating Values'!E37*NCVs!C42</f>
        <v>13543.448079599999</v>
      </c>
      <c r="E35" s="90">
        <f>'Heating Values'!F37*NCVs!C42</f>
        <v>8802.1943424000001</v>
      </c>
      <c r="F35" s="90">
        <f t="shared" si="3"/>
        <v>238388</v>
      </c>
      <c r="G35" s="40">
        <f t="shared" si="3"/>
        <v>306393.3</v>
      </c>
      <c r="H35" s="40">
        <f t="shared" si="3"/>
        <v>197219</v>
      </c>
      <c r="I35" s="99">
        <f t="shared" si="2"/>
        <v>43.784470694833637</v>
      </c>
      <c r="J35" s="99">
        <f t="shared" si="2"/>
        <v>44.202820621730304</v>
      </c>
      <c r="K35" s="99">
        <f t="shared" si="2"/>
        <v>44.631573744923159</v>
      </c>
    </row>
    <row r="36" spans="2:11">
      <c r="B36" s="89" t="s">
        <v>5</v>
      </c>
      <c r="C36" s="90">
        <f>'Heating Values'!D41*NCVs!C42</f>
        <v>791347.06799999997</v>
      </c>
      <c r="D36" s="90">
        <f>'Heating Values'!E41*NCVs!C42</f>
        <v>720458.12982239993</v>
      </c>
      <c r="E36" s="90">
        <f>'Heating Values'!F41*NCVs!C42</f>
        <v>845157.99873600004</v>
      </c>
      <c r="F36" s="90">
        <f>F9+F17+F23</f>
        <v>20914868</v>
      </c>
      <c r="G36" s="40">
        <f>G9+G17+G23</f>
        <v>18954093.039999999</v>
      </c>
      <c r="H36" s="40">
        <f>H9+H17+H23</f>
        <v>22954854</v>
      </c>
      <c r="I36" s="99">
        <f t="shared" si="2"/>
        <v>37.836579604518661</v>
      </c>
      <c r="J36" s="99">
        <f t="shared" si="2"/>
        <v>38.010688683545681</v>
      </c>
      <c r="K36" s="99">
        <f t="shared" si="2"/>
        <v>36.818269405503521</v>
      </c>
    </row>
    <row r="37" spans="2:11">
      <c r="B37" s="89" t="s">
        <v>10</v>
      </c>
      <c r="C37" s="90">
        <f>'Heating Values'!D38*NCVs!C42</f>
        <v>0</v>
      </c>
      <c r="D37" s="90">
        <f>'Heating Values'!E38*NCVs!C42</f>
        <v>0</v>
      </c>
      <c r="E37" s="90">
        <f>'Heating Values'!F38*NCVs!C42</f>
        <v>0</v>
      </c>
      <c r="F37" s="90">
        <f>F15</f>
        <v>0</v>
      </c>
      <c r="G37" s="40">
        <f>G15</f>
        <v>0</v>
      </c>
      <c r="H37" s="40">
        <f>H15</f>
        <v>0</v>
      </c>
      <c r="I37" s="99">
        <v>0</v>
      </c>
      <c r="J37" s="99">
        <v>0</v>
      </c>
      <c r="K37" s="99">
        <v>0</v>
      </c>
    </row>
    <row r="38" spans="2:11" ht="18" thickBot="1">
      <c r="B38" s="100" t="s">
        <v>40</v>
      </c>
      <c r="C38" s="101">
        <f>'Heating Values'!D39*NCVs!C42</f>
        <v>0</v>
      </c>
      <c r="D38" s="101">
        <f>'Heating Values'!E39*NCVs!C42</f>
        <v>0</v>
      </c>
      <c r="E38" s="101">
        <f>'Heating Values'!F39*NCVs!C42</f>
        <v>0</v>
      </c>
      <c r="F38" s="102">
        <f>F16+F22</f>
        <v>0</v>
      </c>
      <c r="G38" s="103">
        <f>G16+G22</f>
        <v>0</v>
      </c>
      <c r="H38" s="103">
        <f>H16+H22</f>
        <v>0</v>
      </c>
      <c r="I38" s="104">
        <v>0</v>
      </c>
      <c r="J38" s="104">
        <v>0</v>
      </c>
      <c r="K38" s="104">
        <v>0</v>
      </c>
    </row>
    <row r="40" spans="2:11">
      <c r="B40" s="34" t="s">
        <v>106</v>
      </c>
    </row>
    <row r="41" spans="2:11">
      <c r="B41" s="172" t="s">
        <v>107</v>
      </c>
    </row>
    <row r="42" spans="2:11">
      <c r="B42" s="34" t="s">
        <v>124</v>
      </c>
      <c r="C42" s="34">
        <v>4.1867999999999999</v>
      </c>
    </row>
    <row r="44" spans="2:11">
      <c r="B44" s="34" t="s">
        <v>579</v>
      </c>
    </row>
  </sheetData>
  <mergeCells count="3">
    <mergeCell ref="C2:E2"/>
    <mergeCell ref="F2:H2"/>
    <mergeCell ref="I2:K2"/>
  </mergeCells>
  <phoneticPr fontId="4" type="noConversion"/>
  <pageMargins left="0.75" right="0.75" top="1" bottom="1" header="0.5" footer="0.5"/>
  <pageSetup paperSize="9" orientation="portrait"/>
  <headerFooter alignWithMargins="0">
    <oddFooter>&amp;R&amp;"microsoft sans serif,Regular"Diğer</oddFooter>
    <evenFooter>&amp;R&amp;"microsoft sans serif,Regular"Diğer</evenFooter>
    <firstFooter>&amp;R&amp;"microsoft sans serif,Regular"Diğer</first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J19"/>
  <sheetViews>
    <sheetView showGridLines="0" workbookViewId="0">
      <selection activeCell="L19" sqref="L19"/>
    </sheetView>
  </sheetViews>
  <sheetFormatPr baseColWidth="10" defaultColWidth="9.1640625" defaultRowHeight="17"/>
  <cols>
    <col min="1" max="1" width="9.1640625" style="34"/>
    <col min="2" max="2" width="14.5" style="34" customWidth="1"/>
    <col min="3" max="5" width="9.1640625" style="34"/>
    <col min="6" max="6" width="16.5" style="34" customWidth="1"/>
    <col min="7" max="7" width="9.1640625" style="34"/>
    <col min="8" max="8" width="8.6640625" style="34" customWidth="1"/>
    <col min="9" max="9" width="9.6640625" style="34" customWidth="1"/>
    <col min="10" max="10" width="9.1640625" style="34"/>
    <col min="11" max="11" width="12.5" style="34" customWidth="1"/>
    <col min="12" max="16384" width="9.1640625" style="34"/>
  </cols>
  <sheetData>
    <row r="1" spans="1:10" ht="18" thickBot="1">
      <c r="A1" s="3" t="s">
        <v>24</v>
      </c>
    </row>
    <row r="2" spans="1:10" ht="18" thickBot="1">
      <c r="B2" s="51"/>
      <c r="C2" s="52"/>
      <c r="D2" s="53" t="s">
        <v>799</v>
      </c>
      <c r="E2" s="54"/>
      <c r="F2" s="497" t="s">
        <v>64</v>
      </c>
    </row>
    <row r="3" spans="1:10" ht="18" thickBot="1">
      <c r="B3" s="55"/>
      <c r="C3" s="56" t="s">
        <v>21</v>
      </c>
      <c r="D3" s="57" t="s">
        <v>22</v>
      </c>
      <c r="E3" s="58" t="s">
        <v>23</v>
      </c>
      <c r="F3" s="498"/>
      <c r="J3" s="59"/>
    </row>
    <row r="4" spans="1:10">
      <c r="A4" s="60"/>
      <c r="B4" s="61" t="s">
        <v>1</v>
      </c>
      <c r="C4" s="62">
        <v>89.5</v>
      </c>
      <c r="D4" s="63">
        <v>94.6</v>
      </c>
      <c r="E4" s="64">
        <v>99.7</v>
      </c>
      <c r="F4" s="65">
        <v>1</v>
      </c>
      <c r="G4" s="60"/>
      <c r="H4" s="66"/>
    </row>
    <row r="5" spans="1:10">
      <c r="A5" s="60"/>
      <c r="B5" s="67" t="s">
        <v>2</v>
      </c>
      <c r="C5" s="68">
        <v>90.9</v>
      </c>
      <c r="D5" s="69">
        <v>101</v>
      </c>
      <c r="E5" s="70">
        <v>115</v>
      </c>
      <c r="F5" s="71">
        <v>1</v>
      </c>
      <c r="G5" s="60"/>
      <c r="H5" s="66"/>
    </row>
    <row r="6" spans="1:10">
      <c r="A6" s="60"/>
      <c r="B6" s="67" t="s">
        <v>3</v>
      </c>
      <c r="C6" s="68">
        <v>75.5</v>
      </c>
      <c r="D6" s="69">
        <v>77.400000000000006</v>
      </c>
      <c r="E6" s="70">
        <v>78.8</v>
      </c>
      <c r="F6" s="71">
        <v>1</v>
      </c>
      <c r="G6" s="60"/>
      <c r="H6" s="66"/>
    </row>
    <row r="7" spans="1:10">
      <c r="A7" s="60"/>
      <c r="B7" s="67" t="s">
        <v>4</v>
      </c>
      <c r="C7" s="68">
        <v>72.599999999999994</v>
      </c>
      <c r="D7" s="69">
        <v>74.099999999999994</v>
      </c>
      <c r="E7" s="70">
        <v>74.8</v>
      </c>
      <c r="F7" s="71">
        <v>1</v>
      </c>
      <c r="G7" s="60"/>
      <c r="H7" s="66"/>
    </row>
    <row r="8" spans="1:10">
      <c r="A8" s="60"/>
      <c r="B8" s="67" t="s">
        <v>5</v>
      </c>
      <c r="C8" s="68">
        <v>54.3</v>
      </c>
      <c r="D8" s="69">
        <v>56.1</v>
      </c>
      <c r="E8" s="70">
        <v>58.3</v>
      </c>
      <c r="F8" s="71">
        <v>1</v>
      </c>
      <c r="G8" s="60"/>
      <c r="H8" s="66"/>
    </row>
    <row r="9" spans="1:10">
      <c r="A9" s="60"/>
      <c r="B9" s="67" t="s">
        <v>10</v>
      </c>
      <c r="C9" s="68">
        <v>61.6</v>
      </c>
      <c r="D9" s="69">
        <v>63.1</v>
      </c>
      <c r="E9" s="70">
        <v>65.599999999999994</v>
      </c>
      <c r="F9" s="71">
        <v>1</v>
      </c>
      <c r="G9" s="60"/>
      <c r="H9" s="66"/>
    </row>
    <row r="10" spans="1:10" ht="18" thickBot="1">
      <c r="A10" s="60"/>
      <c r="B10" s="72" t="s">
        <v>11</v>
      </c>
      <c r="C10" s="73">
        <v>69.3</v>
      </c>
      <c r="D10" s="74">
        <v>73.3</v>
      </c>
      <c r="E10" s="75">
        <v>76.3</v>
      </c>
      <c r="F10" s="76">
        <v>1</v>
      </c>
      <c r="G10" s="60"/>
      <c r="H10" s="66"/>
    </row>
    <row r="11" spans="1:10">
      <c r="A11" s="60"/>
      <c r="B11" s="61" t="s">
        <v>12</v>
      </c>
      <c r="C11" s="62">
        <v>0</v>
      </c>
      <c r="D11" s="63">
        <v>0</v>
      </c>
      <c r="E11" s="64">
        <v>0</v>
      </c>
      <c r="F11" s="77" t="s">
        <v>79</v>
      </c>
      <c r="G11" s="60"/>
      <c r="H11" s="66"/>
    </row>
    <row r="12" spans="1:10">
      <c r="A12" s="60"/>
      <c r="B12" s="67" t="s">
        <v>6</v>
      </c>
      <c r="C12" s="68">
        <v>0</v>
      </c>
      <c r="D12" s="69">
        <v>0</v>
      </c>
      <c r="E12" s="70">
        <v>0</v>
      </c>
      <c r="F12" s="78" t="s">
        <v>79</v>
      </c>
      <c r="G12" s="60"/>
      <c r="H12" s="66"/>
    </row>
    <row r="13" spans="1:10">
      <c r="A13" s="60"/>
      <c r="B13" s="67" t="s">
        <v>7</v>
      </c>
      <c r="C13" s="68">
        <v>0</v>
      </c>
      <c r="D13" s="69">
        <v>0</v>
      </c>
      <c r="E13" s="70">
        <v>0</v>
      </c>
      <c r="F13" s="78" t="s">
        <v>79</v>
      </c>
      <c r="G13" s="60"/>
      <c r="H13" s="66"/>
    </row>
    <row r="14" spans="1:10">
      <c r="A14" s="60"/>
      <c r="B14" s="67" t="s">
        <v>88</v>
      </c>
      <c r="C14" s="68">
        <v>0</v>
      </c>
      <c r="D14" s="69">
        <v>0</v>
      </c>
      <c r="E14" s="70">
        <v>0</v>
      </c>
      <c r="F14" s="78" t="s">
        <v>79</v>
      </c>
      <c r="G14" s="60"/>
      <c r="H14" s="66"/>
    </row>
    <row r="15" spans="1:10" ht="18" thickBot="1">
      <c r="A15" s="60"/>
      <c r="B15" s="72" t="s">
        <v>89</v>
      </c>
      <c r="C15" s="73">
        <v>0</v>
      </c>
      <c r="D15" s="74">
        <v>0</v>
      </c>
      <c r="E15" s="75">
        <v>0</v>
      </c>
      <c r="F15" s="79" t="s">
        <v>79</v>
      </c>
      <c r="G15" s="60"/>
      <c r="H15" s="66"/>
    </row>
    <row r="17" spans="2:2">
      <c r="B17" s="133" t="s">
        <v>804</v>
      </c>
    </row>
    <row r="18" spans="2:2">
      <c r="B18" s="172" t="s">
        <v>65</v>
      </c>
    </row>
    <row r="19" spans="2:2">
      <c r="B19" s="133"/>
    </row>
  </sheetData>
  <mergeCells count="1">
    <mergeCell ref="F2:F3"/>
  </mergeCells>
  <phoneticPr fontId="4" type="noConversion"/>
  <hyperlinks>
    <hyperlink ref="B18" r:id="rId1" xr:uid="{00000000-0004-0000-0500-000000000000}"/>
  </hyperlinks>
  <pageMargins left="0.75" right="0.75" top="1" bottom="1" header="0.5" footer="0.5"/>
  <pageSetup paperSize="9" orientation="portrait"/>
  <headerFooter alignWithMargins="0">
    <oddFooter>&amp;R&amp;"microsoft sans serif,Regular"Diğer</oddFooter>
    <evenFooter>&amp;R&amp;"microsoft sans serif,Regular"Diğer</evenFooter>
    <firstFooter>&amp;R&amp;"microsoft sans serif,Regular"Diğer</first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2:K21"/>
  <sheetViews>
    <sheetView showGridLines="0" topLeftCell="C1" zoomScale="90" zoomScaleNormal="90" zoomScalePageLayoutView="90" workbookViewId="0">
      <selection activeCell="M12" sqref="M12"/>
    </sheetView>
  </sheetViews>
  <sheetFormatPr baseColWidth="10" defaultColWidth="8.83203125" defaultRowHeight="17"/>
  <cols>
    <col min="1" max="1" width="8.83203125" style="34"/>
    <col min="2" max="2" width="25" style="217" customWidth="1"/>
    <col min="3" max="3" width="29.5" style="217" customWidth="1"/>
    <col min="4" max="4" width="21.1640625" style="217" customWidth="1"/>
    <col min="5" max="5" width="19.1640625" style="34" customWidth="1"/>
    <col min="6" max="6" width="14.6640625" style="34" bestFit="1" customWidth="1"/>
    <col min="7" max="7" width="29.33203125" style="34" bestFit="1" customWidth="1"/>
    <col min="8" max="8" width="18" style="34" bestFit="1" customWidth="1"/>
    <col min="9" max="13" width="8.83203125" style="34"/>
    <col min="14" max="14" width="11.1640625" style="34" customWidth="1"/>
    <col min="15" max="16384" width="8.83203125" style="34"/>
  </cols>
  <sheetData>
    <row r="2" spans="2:11">
      <c r="B2" s="205"/>
      <c r="C2" s="499" t="s">
        <v>74</v>
      </c>
      <c r="D2" s="500"/>
    </row>
    <row r="3" spans="2:11" ht="36">
      <c r="B3" s="206" t="s">
        <v>75</v>
      </c>
      <c r="C3" s="207" t="s">
        <v>76</v>
      </c>
      <c r="D3" s="207" t="s">
        <v>77</v>
      </c>
      <c r="E3" s="207" t="s">
        <v>737</v>
      </c>
      <c r="F3" s="48"/>
      <c r="G3" s="48"/>
      <c r="H3" s="48"/>
    </row>
    <row r="4" spans="2:11">
      <c r="B4" s="208" t="s">
        <v>78</v>
      </c>
      <c r="C4" s="209" t="s">
        <v>79</v>
      </c>
      <c r="D4" s="209" t="s">
        <v>79</v>
      </c>
      <c r="E4" s="209" t="s">
        <v>79</v>
      </c>
      <c r="G4" s="49"/>
      <c r="H4" s="50"/>
    </row>
    <row r="5" spans="2:11">
      <c r="B5" s="210" t="s">
        <v>80</v>
      </c>
      <c r="C5" s="209">
        <v>0.37</v>
      </c>
      <c r="D5" s="211">
        <v>0.39</v>
      </c>
      <c r="E5" s="211">
        <v>0.39</v>
      </c>
      <c r="G5" s="49"/>
      <c r="H5" s="50"/>
    </row>
    <row r="6" spans="2:11">
      <c r="B6" s="210" t="s">
        <v>81</v>
      </c>
      <c r="C6" s="209" t="s">
        <v>79</v>
      </c>
      <c r="D6" s="209">
        <v>0.45</v>
      </c>
      <c r="E6" s="209">
        <v>0.45</v>
      </c>
      <c r="G6" s="49"/>
      <c r="H6" s="50"/>
    </row>
    <row r="7" spans="2:11">
      <c r="B7" s="210" t="s">
        <v>82</v>
      </c>
      <c r="C7" s="209" t="s">
        <v>79</v>
      </c>
      <c r="D7" s="209">
        <v>0.5</v>
      </c>
      <c r="E7" s="209">
        <v>0.5</v>
      </c>
      <c r="G7" s="49"/>
      <c r="H7" s="50"/>
    </row>
    <row r="8" spans="2:11">
      <c r="B8" s="210" t="s">
        <v>83</v>
      </c>
      <c r="C8" s="209" t="s">
        <v>79</v>
      </c>
      <c r="D8" s="209">
        <v>0.5</v>
      </c>
      <c r="E8" s="209">
        <v>0.5</v>
      </c>
      <c r="G8" s="49"/>
      <c r="H8" s="50"/>
    </row>
    <row r="9" spans="2:11">
      <c r="B9" s="210" t="s">
        <v>84</v>
      </c>
      <c r="C9" s="212">
        <v>0.35499999999999998</v>
      </c>
      <c r="D9" s="212" t="s">
        <v>79</v>
      </c>
      <c r="E9" s="212" t="s">
        <v>79</v>
      </c>
      <c r="G9" s="49"/>
      <c r="H9" s="50"/>
    </row>
    <row r="10" spans="2:11">
      <c r="B10" s="210" t="s">
        <v>85</v>
      </c>
      <c r="C10" s="212">
        <v>0.36499999999999999</v>
      </c>
      <c r="D10" s="212">
        <v>0.4</v>
      </c>
      <c r="E10" s="212">
        <v>0.4</v>
      </c>
      <c r="G10" s="49"/>
      <c r="H10" s="49"/>
    </row>
    <row r="11" spans="2:11">
      <c r="B11" s="210" t="s">
        <v>86</v>
      </c>
      <c r="C11" s="209" t="s">
        <v>79</v>
      </c>
      <c r="D11" s="212">
        <v>0.41499999999999998</v>
      </c>
      <c r="E11" s="212">
        <v>0.45</v>
      </c>
      <c r="G11" s="49"/>
      <c r="H11" s="49"/>
    </row>
    <row r="12" spans="2:11">
      <c r="B12" s="208" t="s">
        <v>738</v>
      </c>
      <c r="C12" s="209" t="s">
        <v>79</v>
      </c>
      <c r="D12" s="209" t="s">
        <v>79</v>
      </c>
      <c r="E12" s="209" t="s">
        <v>79</v>
      </c>
      <c r="G12" s="49"/>
      <c r="H12" s="49"/>
    </row>
    <row r="13" spans="2:11">
      <c r="B13" s="210" t="s">
        <v>87</v>
      </c>
      <c r="C13" s="212">
        <v>0.375</v>
      </c>
      <c r="D13" s="209">
        <v>0.39</v>
      </c>
      <c r="E13" s="209">
        <v>0.44</v>
      </c>
      <c r="G13" s="49"/>
      <c r="H13" s="49"/>
    </row>
    <row r="14" spans="2:11">
      <c r="B14" s="210" t="s">
        <v>736</v>
      </c>
      <c r="C14" s="212">
        <v>0.33</v>
      </c>
      <c r="D14" s="209">
        <v>0.4</v>
      </c>
      <c r="E14" s="212">
        <v>0.48499999999999999</v>
      </c>
      <c r="G14" s="49"/>
      <c r="H14" s="49"/>
    </row>
    <row r="15" spans="2:11">
      <c r="B15" s="210" t="s">
        <v>739</v>
      </c>
      <c r="C15" s="209">
        <v>0.3</v>
      </c>
      <c r="D15" s="212">
        <v>0.39500000000000002</v>
      </c>
      <c r="E15" s="212">
        <v>0.42</v>
      </c>
      <c r="G15" s="49"/>
      <c r="H15" s="49"/>
    </row>
    <row r="16" spans="2:11">
      <c r="B16" s="210" t="s">
        <v>740</v>
      </c>
      <c r="C16" s="209">
        <v>0.46</v>
      </c>
      <c r="D16" s="211">
        <v>0.6</v>
      </c>
      <c r="E16" s="211">
        <v>0.62</v>
      </c>
      <c r="K16" s="213"/>
    </row>
    <row r="17" spans="1:5">
      <c r="B17" s="214" t="s">
        <v>741</v>
      </c>
      <c r="C17" s="209" t="s">
        <v>79</v>
      </c>
      <c r="D17" s="209" t="s">
        <v>79</v>
      </c>
      <c r="E17" s="209" t="s">
        <v>79</v>
      </c>
    </row>
    <row r="18" spans="1:5">
      <c r="B18" s="210" t="s">
        <v>83</v>
      </c>
      <c r="C18" s="212">
        <v>0.4</v>
      </c>
      <c r="D18" s="212">
        <v>0.4</v>
      </c>
      <c r="E18" s="212">
        <v>0.4</v>
      </c>
    </row>
    <row r="20" spans="1:5">
      <c r="A20" s="215" t="s">
        <v>90</v>
      </c>
      <c r="B20" s="216"/>
    </row>
    <row r="21" spans="1:5">
      <c r="B21" s="172" t="s">
        <v>735</v>
      </c>
    </row>
  </sheetData>
  <mergeCells count="1">
    <mergeCell ref="C2:D2"/>
  </mergeCells>
  <hyperlinks>
    <hyperlink ref="B21" r:id="rId1" xr:uid="{00000000-0004-0000-0600-000000000000}"/>
  </hyperlinks>
  <pageMargins left="0.75" right="0.75" top="1" bottom="1" header="0.3" footer="0.3"/>
  <pageSetup paperSize="9" orientation="portrait"/>
  <headerFooter>
    <oddFooter>&amp;R&amp;"microsoft sans serif,Regular"Diğer</oddFooter>
    <evenFooter>&amp;R&amp;"microsoft sans serif,Regular"Diğer</evenFooter>
    <firstFooter>&amp;R&amp;"microsoft sans serif,Regular"Diğer</firstFooter>
  </headerFooter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E68"/>
  <sheetViews>
    <sheetView showGridLines="0" workbookViewId="0">
      <selection activeCell="C3" sqref="C3"/>
    </sheetView>
  </sheetViews>
  <sheetFormatPr baseColWidth="10" defaultColWidth="9.1640625" defaultRowHeight="17"/>
  <cols>
    <col min="1" max="1" width="67" style="34" customWidth="1"/>
    <col min="2" max="2" width="23.6640625" style="34" customWidth="1"/>
    <col min="3" max="6" width="23.5" style="34" customWidth="1"/>
    <col min="7" max="16384" width="9.1640625" style="34"/>
  </cols>
  <sheetData>
    <row r="1" spans="1:5">
      <c r="A1" s="33" t="s">
        <v>580</v>
      </c>
    </row>
    <row r="2" spans="1:5">
      <c r="A2" s="33" t="s">
        <v>59</v>
      </c>
    </row>
    <row r="3" spans="1:5">
      <c r="A3" s="172"/>
    </row>
    <row r="4" spans="1:5">
      <c r="A4" s="218" t="s">
        <v>434</v>
      </c>
    </row>
    <row r="5" spans="1:5">
      <c r="A5" s="218" t="s">
        <v>435</v>
      </c>
    </row>
    <row r="6" spans="1:5">
      <c r="A6" s="35" t="s">
        <v>94</v>
      </c>
      <c r="B6" s="35">
        <v>2015</v>
      </c>
      <c r="C6" s="35">
        <v>2016</v>
      </c>
      <c r="D6" s="35">
        <v>2017</v>
      </c>
    </row>
    <row r="7" spans="1:5">
      <c r="A7" s="36" t="s">
        <v>26</v>
      </c>
      <c r="B7" s="37">
        <f>EGs!E40</f>
        <v>261783.34354700003</v>
      </c>
      <c r="C7" s="37">
        <f>EGs!F40</f>
        <v>274407.7</v>
      </c>
      <c r="D7" s="37">
        <f>EGs!G40</f>
        <v>297277.52299999999</v>
      </c>
    </row>
    <row r="8" spans="1:5">
      <c r="A8" s="36" t="s">
        <v>27</v>
      </c>
      <c r="B8" s="37">
        <f>EGs!E41</f>
        <v>249899.5</v>
      </c>
      <c r="C8" s="37">
        <f>EGs!F41</f>
        <v>261950.9</v>
      </c>
      <c r="D8" s="37">
        <f>EGs!G41</f>
        <v>284257.51899999997</v>
      </c>
    </row>
    <row r="9" spans="1:5">
      <c r="A9" s="36" t="s">
        <v>28</v>
      </c>
      <c r="B9" s="38">
        <f>B8/B7</f>
        <v>0.95460427930218394</v>
      </c>
      <c r="C9" s="38">
        <f>C8/C7</f>
        <v>0.95460477238794683</v>
      </c>
      <c r="D9" s="38">
        <f>D8/D7</f>
        <v>0.95620252796576211</v>
      </c>
    </row>
    <row r="10" spans="1:5">
      <c r="B10" s="39">
        <f>1-B9</f>
        <v>4.5395720697816055E-2</v>
      </c>
      <c r="C10" s="39">
        <f>1-C9</f>
        <v>4.5395227612053168E-2</v>
      </c>
      <c r="D10" s="39">
        <f>1-D9</f>
        <v>4.3797472034237894E-2</v>
      </c>
    </row>
    <row r="11" spans="1:5">
      <c r="A11" s="36" t="s">
        <v>69</v>
      </c>
      <c r="B11" s="40">
        <f>EGs!E44</f>
        <v>177608.28722</v>
      </c>
      <c r="C11" s="40">
        <f>EGs!F44</f>
        <v>183426.5</v>
      </c>
      <c r="D11" s="40">
        <f>EGs!G44</f>
        <v>209166.15456629347</v>
      </c>
      <c r="E11" s="43"/>
    </row>
    <row r="12" spans="1:5">
      <c r="E12" s="43"/>
    </row>
    <row r="13" spans="1:5">
      <c r="A13" s="36" t="s">
        <v>29</v>
      </c>
      <c r="B13" s="40">
        <f>B11*B9</f>
        <v>169545.63101974339</v>
      </c>
      <c r="C13" s="40">
        <f>C11*C9</f>
        <v>175099.81228241773</v>
      </c>
      <c r="D13" s="40">
        <f>D11*D9</f>
        <v>200005.20576116713</v>
      </c>
      <c r="E13" s="43"/>
    </row>
    <row r="14" spans="1:5">
      <c r="A14" s="41" t="s">
        <v>25</v>
      </c>
      <c r="B14" s="37">
        <f>EGs!E36</f>
        <v>7135.5060000000003</v>
      </c>
      <c r="C14" s="37">
        <f>EGs!F36</f>
        <v>6330.3</v>
      </c>
      <c r="D14" s="37">
        <f>EGs!G36</f>
        <v>2728.3</v>
      </c>
      <c r="E14" s="43"/>
    </row>
    <row r="15" spans="1:5">
      <c r="A15" s="41" t="s">
        <v>30</v>
      </c>
      <c r="B15" s="40">
        <f>B13+B14</f>
        <v>176681.13701974339</v>
      </c>
      <c r="C15" s="40">
        <f>C13+C14</f>
        <v>181430.11228241771</v>
      </c>
      <c r="D15" s="40">
        <f>D13+D14</f>
        <v>202733.50576116712</v>
      </c>
      <c r="E15" s="43"/>
    </row>
    <row r="16" spans="1:5">
      <c r="B16" s="42"/>
      <c r="C16" s="42"/>
      <c r="D16" s="42"/>
    </row>
    <row r="17" spans="1:5">
      <c r="A17" s="35" t="s">
        <v>95</v>
      </c>
      <c r="B17" s="35">
        <v>2015</v>
      </c>
      <c r="C17" s="35">
        <v>2016</v>
      </c>
      <c r="D17" s="35">
        <v>2017</v>
      </c>
    </row>
    <row r="18" spans="1:5">
      <c r="A18" s="40" t="s">
        <v>1</v>
      </c>
      <c r="B18" s="40">
        <f>FCs!E24</f>
        <v>16629492</v>
      </c>
      <c r="C18" s="40">
        <f>FCs!F24</f>
        <v>19642410</v>
      </c>
      <c r="D18" s="40">
        <f>FCs!G24</f>
        <v>21139104</v>
      </c>
      <c r="E18" s="43"/>
    </row>
    <row r="19" spans="1:5">
      <c r="A19" s="40" t="s">
        <v>2</v>
      </c>
      <c r="B19" s="40">
        <f>FCs!E25</f>
        <v>49940131</v>
      </c>
      <c r="C19" s="40">
        <f>FCs!F25</f>
        <v>60213772</v>
      </c>
      <c r="D19" s="40">
        <f>FCs!G25</f>
        <v>64412257</v>
      </c>
      <c r="E19" s="43"/>
    </row>
    <row r="20" spans="1:5">
      <c r="A20" s="40" t="s">
        <v>3</v>
      </c>
      <c r="B20" s="40">
        <f>FCs!E26</f>
        <v>516912</v>
      </c>
      <c r="C20" s="40">
        <f>FCs!F26</f>
        <v>526674</v>
      </c>
      <c r="D20" s="40">
        <f>FCs!G26</f>
        <v>317724</v>
      </c>
      <c r="E20" s="43"/>
    </row>
    <row r="21" spans="1:5">
      <c r="A21" s="40" t="s">
        <v>4</v>
      </c>
      <c r="B21" s="40">
        <f>FCs!E27</f>
        <v>238388</v>
      </c>
      <c r="C21" s="40">
        <f>FCs!F27</f>
        <v>306393.3</v>
      </c>
      <c r="D21" s="40">
        <f>FCs!G27</f>
        <v>197219</v>
      </c>
      <c r="E21" s="43"/>
    </row>
    <row r="22" spans="1:5">
      <c r="A22" s="40" t="s">
        <v>5</v>
      </c>
      <c r="B22" s="40">
        <f>FCs!E28</f>
        <v>20914868</v>
      </c>
      <c r="C22" s="40">
        <f>FCs!F28</f>
        <v>18954093.039999999</v>
      </c>
      <c r="D22" s="40">
        <f>FCs!G28</f>
        <v>22954854</v>
      </c>
      <c r="E22" s="43"/>
    </row>
    <row r="23" spans="1:5">
      <c r="A23" s="40" t="s">
        <v>10</v>
      </c>
      <c r="B23" s="40">
        <f>FCs!E29</f>
        <v>0</v>
      </c>
      <c r="C23" s="40">
        <f>FCs!F29</f>
        <v>0</v>
      </c>
      <c r="D23" s="40">
        <f>FCs!G29</f>
        <v>0</v>
      </c>
    </row>
    <row r="24" spans="1:5">
      <c r="A24" s="40" t="s">
        <v>40</v>
      </c>
      <c r="B24" s="40">
        <f>FCs!E30</f>
        <v>0</v>
      </c>
      <c r="C24" s="40">
        <f>FCs!F30</f>
        <v>0</v>
      </c>
      <c r="D24" s="40">
        <f>FCs!G30</f>
        <v>0</v>
      </c>
    </row>
    <row r="25" spans="1:5">
      <c r="A25" s="43"/>
      <c r="B25" s="43"/>
      <c r="C25" s="43"/>
      <c r="D25" s="43"/>
    </row>
    <row r="26" spans="1:5">
      <c r="A26" s="35" t="s">
        <v>96</v>
      </c>
      <c r="B26" s="35">
        <v>2015</v>
      </c>
      <c r="C26" s="35">
        <v>2016</v>
      </c>
      <c r="D26" s="35">
        <v>2017</v>
      </c>
    </row>
    <row r="27" spans="1:5">
      <c r="A27" s="40" t="s">
        <v>1</v>
      </c>
      <c r="B27" s="219">
        <f>NCVs!I32</f>
        <v>24.075213073255632</v>
      </c>
      <c r="C27" s="219">
        <f>NCVs!J32</f>
        <v>24.074328391332834</v>
      </c>
      <c r="D27" s="219">
        <f>NCVs!K32</f>
        <v>23.595700391804684</v>
      </c>
    </row>
    <row r="28" spans="1:5">
      <c r="A28" s="40" t="s">
        <v>2</v>
      </c>
      <c r="B28" s="219">
        <f>NCVs!I33</f>
        <v>7.1610524129382034</v>
      </c>
      <c r="C28" s="219">
        <f>NCVs!J33</f>
        <v>7.1962974060684983</v>
      </c>
      <c r="D28" s="219">
        <f>NCVs!K33</f>
        <v>6.9710509311977686</v>
      </c>
    </row>
    <row r="29" spans="1:5">
      <c r="A29" s="40" t="s">
        <v>3</v>
      </c>
      <c r="B29" s="219">
        <f>NCVs!I34</f>
        <v>44.215923019778998</v>
      </c>
      <c r="C29" s="219">
        <f>NCVs!J34</f>
        <v>42.417994768680423</v>
      </c>
      <c r="D29" s="219">
        <f>NCVs!K34</f>
        <v>44.926781803074363</v>
      </c>
    </row>
    <row r="30" spans="1:5">
      <c r="A30" s="40" t="s">
        <v>4</v>
      </c>
      <c r="B30" s="219">
        <f>NCVs!I35</f>
        <v>43.784470694833637</v>
      </c>
      <c r="C30" s="219">
        <f>NCVs!J35</f>
        <v>44.202820621730304</v>
      </c>
      <c r="D30" s="219">
        <f>NCVs!K35</f>
        <v>44.631573744923159</v>
      </c>
    </row>
    <row r="31" spans="1:5">
      <c r="A31" s="40" t="s">
        <v>5</v>
      </c>
      <c r="B31" s="219">
        <f>NCVs!I36</f>
        <v>37.836579604518661</v>
      </c>
      <c r="C31" s="219">
        <f>NCVs!J36</f>
        <v>38.010688683545681</v>
      </c>
      <c r="D31" s="219">
        <f>NCVs!K36</f>
        <v>36.818269405503521</v>
      </c>
    </row>
    <row r="32" spans="1:5">
      <c r="A32" s="40" t="s">
        <v>10</v>
      </c>
      <c r="B32" s="219">
        <f>NCVs!I37</f>
        <v>0</v>
      </c>
      <c r="C32" s="219">
        <f>NCVs!J37</f>
        <v>0</v>
      </c>
      <c r="D32" s="219">
        <f>NCVs!K37</f>
        <v>0</v>
      </c>
    </row>
    <row r="33" spans="1:5">
      <c r="A33" s="40" t="s">
        <v>40</v>
      </c>
      <c r="B33" s="219">
        <f>NCVs!I38</f>
        <v>0</v>
      </c>
      <c r="C33" s="219">
        <f>NCVs!J38</f>
        <v>0</v>
      </c>
      <c r="D33" s="219">
        <f>NCVs!K38</f>
        <v>0</v>
      </c>
    </row>
    <row r="35" spans="1:5">
      <c r="A35" s="35" t="s">
        <v>97</v>
      </c>
      <c r="B35" s="35">
        <v>2015</v>
      </c>
      <c r="C35" s="35">
        <v>2016</v>
      </c>
      <c r="D35" s="35">
        <v>2017</v>
      </c>
    </row>
    <row r="36" spans="1:5">
      <c r="A36" s="40" t="s">
        <v>1</v>
      </c>
      <c r="B36" s="40">
        <v>89500</v>
      </c>
      <c r="C36" s="40">
        <v>89500</v>
      </c>
      <c r="D36" s="40">
        <v>89500</v>
      </c>
    </row>
    <row r="37" spans="1:5">
      <c r="A37" s="40" t="s">
        <v>2</v>
      </c>
      <c r="B37" s="40">
        <v>90900</v>
      </c>
      <c r="C37" s="40">
        <v>90900</v>
      </c>
      <c r="D37" s="40">
        <v>90900</v>
      </c>
    </row>
    <row r="38" spans="1:5">
      <c r="A38" s="40" t="s">
        <v>3</v>
      </c>
      <c r="B38" s="40">
        <v>75500</v>
      </c>
      <c r="C38" s="40">
        <v>75500</v>
      </c>
      <c r="D38" s="40">
        <v>75500</v>
      </c>
    </row>
    <row r="39" spans="1:5">
      <c r="A39" s="40" t="s">
        <v>4</v>
      </c>
      <c r="B39" s="40">
        <v>72600</v>
      </c>
      <c r="C39" s="40">
        <v>72600</v>
      </c>
      <c r="D39" s="40">
        <v>72600</v>
      </c>
    </row>
    <row r="40" spans="1:5">
      <c r="A40" s="40" t="s">
        <v>5</v>
      </c>
      <c r="B40" s="40">
        <v>54300</v>
      </c>
      <c r="C40" s="40">
        <v>54300</v>
      </c>
      <c r="D40" s="40">
        <v>54300</v>
      </c>
    </row>
    <row r="41" spans="1:5">
      <c r="A41" s="40" t="s">
        <v>10</v>
      </c>
      <c r="B41" s="40">
        <v>61600</v>
      </c>
      <c r="C41" s="40">
        <v>61600</v>
      </c>
      <c r="D41" s="40">
        <v>61600</v>
      </c>
    </row>
    <row r="42" spans="1:5">
      <c r="A42" s="40" t="s">
        <v>40</v>
      </c>
      <c r="B42" s="40">
        <v>69300</v>
      </c>
      <c r="C42" s="40">
        <v>69300</v>
      </c>
      <c r="D42" s="40">
        <v>69300</v>
      </c>
    </row>
    <row r="44" spans="1:5">
      <c r="A44" s="35" t="s">
        <v>100</v>
      </c>
      <c r="B44" s="35">
        <v>2015</v>
      </c>
      <c r="C44" s="35">
        <v>2016</v>
      </c>
      <c r="D44" s="35">
        <v>2017</v>
      </c>
    </row>
    <row r="45" spans="1:5">
      <c r="A45" s="40" t="s">
        <v>1</v>
      </c>
      <c r="B45" s="40">
        <f>B18*B27*(B36/1000)/1000</f>
        <v>35832091.406399995</v>
      </c>
      <c r="C45" s="40">
        <f>C18*C27*(C36/1000)/1000</f>
        <v>42322565.67197939</v>
      </c>
      <c r="D45" s="40">
        <f>D18*D27*(D36/1000)/1000</f>
        <v>44641880.825900398</v>
      </c>
      <c r="E45" s="43"/>
    </row>
    <row r="46" spans="1:5">
      <c r="A46" s="40" t="s">
        <v>2</v>
      </c>
      <c r="B46" s="40">
        <f t="shared" ref="B46:B51" si="0">B19*B28*(B37/1000)/1000</f>
        <v>32508012.110039998</v>
      </c>
      <c r="C46" s="40">
        <f t="shared" ref="C46:D51" si="1">C19*C28*(C37/1000)/1000</f>
        <v>39388443.602915876</v>
      </c>
      <c r="D46" s="40">
        <f t="shared" si="1"/>
        <v>40816020.184362359</v>
      </c>
      <c r="E46" s="43"/>
    </row>
    <row r="47" spans="1:5">
      <c r="A47" s="40" t="s">
        <v>3</v>
      </c>
      <c r="B47" s="40">
        <f t="shared" si="0"/>
        <v>1725608.4606000001</v>
      </c>
      <c r="C47" s="40">
        <f t="shared" si="1"/>
        <v>1686704.3507483995</v>
      </c>
      <c r="D47" s="40">
        <f t="shared" si="1"/>
        <v>1077710.9200307999</v>
      </c>
      <c r="E47" s="43"/>
    </row>
    <row r="48" spans="1:5">
      <c r="A48" s="40" t="s">
        <v>4</v>
      </c>
      <c r="B48" s="40">
        <f t="shared" si="0"/>
        <v>757776.46823999996</v>
      </c>
      <c r="C48" s="40">
        <f t="shared" si="1"/>
        <v>983254.33057895978</v>
      </c>
      <c r="D48" s="40">
        <f t="shared" si="1"/>
        <v>639039.30925824016</v>
      </c>
      <c r="E48" s="43"/>
    </row>
    <row r="49" spans="1:5">
      <c r="A49" s="40" t="s">
        <v>5</v>
      </c>
      <c r="B49" s="40">
        <f t="shared" si="0"/>
        <v>42970145.792400002</v>
      </c>
      <c r="C49" s="40">
        <f t="shared" si="1"/>
        <v>39120876.44935631</v>
      </c>
      <c r="D49" s="40">
        <f t="shared" si="1"/>
        <v>45892079.33136481</v>
      </c>
      <c r="E49" s="43"/>
    </row>
    <row r="50" spans="1:5">
      <c r="A50" s="40" t="s">
        <v>10</v>
      </c>
      <c r="B50" s="40">
        <f t="shared" si="0"/>
        <v>0</v>
      </c>
      <c r="C50" s="40">
        <f t="shared" si="1"/>
        <v>0</v>
      </c>
      <c r="D50" s="40">
        <f t="shared" si="1"/>
        <v>0</v>
      </c>
      <c r="E50" s="43"/>
    </row>
    <row r="51" spans="1:5">
      <c r="A51" s="44" t="s">
        <v>40</v>
      </c>
      <c r="B51" s="44">
        <f t="shared" si="0"/>
        <v>0</v>
      </c>
      <c r="C51" s="44">
        <f t="shared" si="1"/>
        <v>0</v>
      </c>
      <c r="D51" s="44">
        <f t="shared" si="1"/>
        <v>0</v>
      </c>
      <c r="E51" s="43"/>
    </row>
    <row r="52" spans="1:5">
      <c r="A52" s="45" t="s">
        <v>35</v>
      </c>
      <c r="B52" s="46">
        <f>SUM(B45:B51)</f>
        <v>113793634.23767999</v>
      </c>
      <c r="C52" s="46">
        <f>SUM(C45:C51)</f>
        <v>123501844.40557894</v>
      </c>
      <c r="D52" s="46">
        <f>SUM(D45:D51)</f>
        <v>133066730.57091661</v>
      </c>
      <c r="E52" s="43"/>
    </row>
    <row r="53" spans="1:5">
      <c r="A53" s="3"/>
    </row>
    <row r="54" spans="1:5">
      <c r="A54" s="35" t="s">
        <v>98</v>
      </c>
      <c r="B54" s="40">
        <f>B13</f>
        <v>169545.63101974339</v>
      </c>
      <c r="C54" s="40">
        <f>C13</f>
        <v>175099.81228241773</v>
      </c>
      <c r="D54" s="40">
        <f>D13</f>
        <v>200005.20576116713</v>
      </c>
    </row>
    <row r="55" spans="1:5">
      <c r="A55" s="35" t="s">
        <v>118</v>
      </c>
      <c r="B55" s="40">
        <f>B15</f>
        <v>176681.13701974339</v>
      </c>
      <c r="C55" s="40">
        <f>C15</f>
        <v>181430.11228241771</v>
      </c>
      <c r="D55" s="40">
        <f>D15</f>
        <v>202733.50576116712</v>
      </c>
    </row>
    <row r="56" spans="1:5">
      <c r="A56" s="35" t="s">
        <v>99</v>
      </c>
      <c r="B56" s="38">
        <f>B52/B55/1000</f>
        <v>0.64406215715582593</v>
      </c>
      <c r="C56" s="38">
        <f>C52/C55/1000</f>
        <v>0.68071304620775142</v>
      </c>
      <c r="D56" s="38">
        <f>D52/D55/1000</f>
        <v>0.65636279544081688</v>
      </c>
    </row>
    <row r="57" spans="1:5" ht="18" thickBot="1"/>
    <row r="58" spans="1:5" ht="18" thickBot="1">
      <c r="A58" s="47" t="s">
        <v>91</v>
      </c>
      <c r="B58" s="38">
        <f>SUM(B52:D52)/SUM(B55:D55)/1000</f>
        <v>0.66036493320215828</v>
      </c>
    </row>
    <row r="59" spans="1:5" ht="18" thickBot="1"/>
    <row r="60" spans="1:5">
      <c r="A60" s="220"/>
    </row>
    <row r="61" spans="1:5">
      <c r="A61" s="221"/>
    </row>
    <row r="62" spans="1:5">
      <c r="A62" s="221"/>
    </row>
    <row r="63" spans="1:5">
      <c r="A63" s="221"/>
    </row>
    <row r="64" spans="1:5">
      <c r="A64" s="221"/>
    </row>
    <row r="65" spans="1:1">
      <c r="A65" s="221"/>
    </row>
    <row r="66" spans="1:1" ht="18" thickBot="1">
      <c r="A66" s="222"/>
    </row>
    <row r="68" spans="1:1">
      <c r="A68" s="34" t="s">
        <v>798</v>
      </c>
    </row>
  </sheetData>
  <phoneticPr fontId="4" type="noConversion"/>
  <hyperlinks>
    <hyperlink ref="A4" r:id="rId1" display="http://www.teias.gov.tr/TürkiyeElektrikİstatistikleri/istatistik2015/istatistik2015.htm" xr:uid="{00000000-0004-0000-0700-000000000000}"/>
    <hyperlink ref="A5" r:id="rId2" display="http://www.teias.gov.tr/TürkiyeElektrikİstatistikleri/istatistik2015/uretim%20tuketim(34-64)/52(93-2015).xls" xr:uid="{00000000-0004-0000-0700-000001000000}"/>
  </hyperlinks>
  <pageMargins left="0.75" right="0.75" top="1" bottom="1" header="0.5" footer="0.5"/>
  <pageSetup paperSize="9" orientation="portrait"/>
  <headerFooter alignWithMargins="0">
    <oddFooter>&amp;R&amp;"microsoft sans serif,Regular"Diğer</oddFooter>
    <evenFooter>&amp;R&amp;"microsoft sans serif,Regular"Diğer</evenFooter>
    <firstFooter>&amp;R&amp;"microsoft sans serif,Regular"Diğer</firstFooter>
  </headerFooter>
  <drawing r:id="rId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Y42"/>
  <sheetViews>
    <sheetView topLeftCell="A9" workbookViewId="0">
      <selection activeCell="A24" sqref="A24"/>
    </sheetView>
  </sheetViews>
  <sheetFormatPr baseColWidth="10" defaultColWidth="8.83203125" defaultRowHeight="17"/>
  <cols>
    <col min="1" max="1" width="19.6640625" style="223" customWidth="1"/>
    <col min="2" max="2" width="11.83203125" style="223" customWidth="1"/>
    <col min="3" max="3" width="14.5" style="223" customWidth="1"/>
    <col min="4" max="5" width="10.33203125" style="223" bestFit="1" customWidth="1"/>
    <col min="6" max="6" width="14.1640625" style="223" customWidth="1"/>
    <col min="7" max="7" width="10.33203125" style="223" bestFit="1" customWidth="1"/>
    <col min="8" max="8" width="10.6640625" style="223" bestFit="1" customWidth="1"/>
    <col min="9" max="9" width="10" style="223" customWidth="1"/>
    <col min="10" max="23" width="10.33203125" style="223" bestFit="1" customWidth="1"/>
    <col min="24" max="24" width="10.6640625" style="223" bestFit="1" customWidth="1"/>
    <col min="25" max="16384" width="8.83203125" style="223"/>
  </cols>
  <sheetData>
    <row r="2" spans="1:25" s="3" customFormat="1" ht="20">
      <c r="A2" s="1" t="s">
        <v>699</v>
      </c>
      <c r="B2" s="2" t="s">
        <v>700</v>
      </c>
      <c r="C2" s="1"/>
      <c r="D2" s="1"/>
      <c r="E2" s="1"/>
      <c r="F2" s="1"/>
      <c r="G2" s="1"/>
      <c r="H2" s="1"/>
      <c r="I2" s="1"/>
    </row>
    <row r="4" spans="1:25">
      <c r="B4" s="224" t="s">
        <v>745</v>
      </c>
    </row>
    <row r="5" spans="1:25" ht="19">
      <c r="B5" s="3"/>
      <c r="C5" s="1" t="s">
        <v>701</v>
      </c>
      <c r="D5" s="1"/>
      <c r="E5" s="1"/>
      <c r="F5" s="1"/>
      <c r="G5" s="4" t="s">
        <v>746</v>
      </c>
      <c r="H5" s="5">
        <f>Parameters!C6*(1-Parameters!C7)*Parameters!C8*(1-Parameters!C9)*16/12*Parameters!C10*Parameters!C11*Parameters!C12</f>
        <v>5.625</v>
      </c>
    </row>
    <row r="7" spans="1:25" ht="20" thickBot="1">
      <c r="B7" s="34"/>
      <c r="C7" s="1" t="s">
        <v>702</v>
      </c>
      <c r="D7" s="34"/>
      <c r="E7" s="474"/>
      <c r="F7" s="475"/>
      <c r="G7" s="475" t="s">
        <v>703</v>
      </c>
      <c r="H7" s="475"/>
      <c r="I7" s="475"/>
      <c r="J7" s="475"/>
      <c r="K7" s="475"/>
      <c r="L7" s="476"/>
      <c r="N7" s="225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</row>
    <row r="8" spans="1:25" ht="18">
      <c r="B8" s="226" t="s">
        <v>747</v>
      </c>
      <c r="C8" s="227">
        <v>1</v>
      </c>
      <c r="D8" s="227">
        <v>2</v>
      </c>
      <c r="E8" s="233">
        <v>3</v>
      </c>
      <c r="F8" s="228">
        <v>4</v>
      </c>
      <c r="G8" s="228">
        <v>5</v>
      </c>
      <c r="H8" s="228">
        <v>6</v>
      </c>
      <c r="I8" s="228">
        <v>7</v>
      </c>
      <c r="J8" s="228">
        <v>8</v>
      </c>
      <c r="K8" s="229">
        <v>9</v>
      </c>
      <c r="L8" s="228">
        <v>10</v>
      </c>
      <c r="M8" s="225">
        <v>11</v>
      </c>
      <c r="N8" s="227">
        <v>12</v>
      </c>
      <c r="O8" s="227">
        <v>13</v>
      </c>
      <c r="P8" s="227">
        <v>14</v>
      </c>
      <c r="Q8" s="227">
        <v>15</v>
      </c>
      <c r="R8" s="227">
        <v>16</v>
      </c>
      <c r="S8" s="227">
        <v>17</v>
      </c>
      <c r="T8" s="227">
        <v>18</v>
      </c>
      <c r="U8" s="227">
        <v>19</v>
      </c>
      <c r="V8" s="227">
        <v>20</v>
      </c>
      <c r="W8" s="227">
        <v>21</v>
      </c>
      <c r="X8" s="230" t="s">
        <v>748</v>
      </c>
    </row>
    <row r="9" spans="1:25" ht="18">
      <c r="B9" s="231" t="s">
        <v>749</v>
      </c>
      <c r="C9" s="232">
        <v>2016</v>
      </c>
      <c r="D9" s="225">
        <v>2017</v>
      </c>
      <c r="E9" s="233">
        <v>2018</v>
      </c>
      <c r="F9" s="233">
        <v>2019</v>
      </c>
      <c r="G9" s="233">
        <v>2020</v>
      </c>
      <c r="H9" s="233">
        <v>2021</v>
      </c>
      <c r="I9" s="233">
        <v>2022</v>
      </c>
      <c r="J9" s="233">
        <v>2023</v>
      </c>
      <c r="K9" s="234">
        <v>2024</v>
      </c>
      <c r="L9" s="233">
        <v>2025</v>
      </c>
      <c r="M9" s="225">
        <v>2026</v>
      </c>
      <c r="N9" s="225">
        <v>2027</v>
      </c>
      <c r="O9" s="225">
        <v>2028</v>
      </c>
      <c r="P9" s="225">
        <v>2029</v>
      </c>
      <c r="Q9" s="225">
        <v>2030</v>
      </c>
      <c r="R9" s="225">
        <v>2031</v>
      </c>
      <c r="S9" s="225">
        <v>2032</v>
      </c>
      <c r="T9" s="225">
        <v>2033</v>
      </c>
      <c r="U9" s="225">
        <v>2034</v>
      </c>
      <c r="V9" s="225">
        <v>2035</v>
      </c>
      <c r="W9" s="225">
        <v>2036</v>
      </c>
      <c r="X9" s="235"/>
    </row>
    <row r="10" spans="1:25" ht="72">
      <c r="B10" s="236" t="s">
        <v>750</v>
      </c>
      <c r="C10" s="237">
        <f>Parameters!C16</f>
        <v>258933</v>
      </c>
      <c r="D10" s="237">
        <f>Parameters!C17</f>
        <v>264168</v>
      </c>
      <c r="E10" s="477">
        <f>Parameters!C18</f>
        <v>289968</v>
      </c>
      <c r="F10" s="238">
        <f>Parameters!C19</f>
        <v>304466.40000000002</v>
      </c>
      <c r="G10" s="239">
        <f>Parameters!C20</f>
        <v>319689.72000000003</v>
      </c>
      <c r="H10" s="239">
        <f>Parameters!C21</f>
        <v>335674.20600000006</v>
      </c>
      <c r="I10" s="239">
        <f>Parameters!C22</f>
        <v>352457.9163000001</v>
      </c>
      <c r="J10" s="239">
        <f>Parameters!C23</f>
        <v>370080.8121150001</v>
      </c>
      <c r="K10" s="239">
        <f>Parameters!C24</f>
        <v>388584.85272075009</v>
      </c>
      <c r="L10" s="238">
        <f>Parameters!C25</f>
        <v>408014.09535678761</v>
      </c>
      <c r="M10" s="237">
        <f>Parameters!C26</f>
        <v>428414.80012462701</v>
      </c>
      <c r="N10" s="237">
        <f>Parameters!C27</f>
        <v>449835.54013085837</v>
      </c>
      <c r="O10" s="237">
        <f>Parameters!C28</f>
        <v>472327.31713740132</v>
      </c>
      <c r="P10" s="237">
        <f>Parameters!C29</f>
        <v>495943.6829942714</v>
      </c>
      <c r="Q10" s="237">
        <f>Parameters!C30</f>
        <v>520740.867143985</v>
      </c>
      <c r="R10" s="237">
        <f>Parameters!C31</f>
        <v>546777.91050118429</v>
      </c>
      <c r="S10" s="237">
        <f>Parameters!C32</f>
        <v>574116.80602624349</v>
      </c>
      <c r="T10" s="237">
        <f>Parameters!C33</f>
        <v>602822.64632755565</v>
      </c>
      <c r="U10" s="237">
        <f>Parameters!C34</f>
        <v>632963.77864393347</v>
      </c>
      <c r="V10" s="237">
        <f>Parameters!C35</f>
        <v>664611.96757613018</v>
      </c>
      <c r="W10" s="237">
        <f>Parameters!C36</f>
        <v>697842.56595493667</v>
      </c>
      <c r="X10" s="237">
        <f>SUM(C10:U10)</f>
        <v>8015980.3515225975</v>
      </c>
    </row>
    <row r="11" spans="1:25">
      <c r="B11" s="240" t="s">
        <v>751</v>
      </c>
      <c r="C11" s="237">
        <f>C10*Parameters!$I$10*Parameters!$I$12</f>
        <v>13360.942799999999</v>
      </c>
      <c r="D11" s="237">
        <f>D10*Parameters!$I$10*Parameters!$I$12</f>
        <v>13631.068800000001</v>
      </c>
      <c r="E11" s="477">
        <f>E10*Parameters!$I$10*Parameters!$I$12</f>
        <v>14962.3488</v>
      </c>
      <c r="F11" s="241">
        <f>F10*Parameters!$I$10*Parameters!$I$12</f>
        <v>15710.466240000002</v>
      </c>
      <c r="G11" s="241">
        <f>G10*Parameters!$I$10*Parameters!$I$12</f>
        <v>16495.989551999999</v>
      </c>
      <c r="H11" s="241">
        <f>H10*Parameters!$I$10*Parameters!$I$12</f>
        <v>17320.789029600001</v>
      </c>
      <c r="I11" s="241">
        <f>I10*Parameters!$I$10*Parameters!$I$12</f>
        <v>18186.828481080007</v>
      </c>
      <c r="J11" s="241">
        <f>J10*Parameters!$I$10*Parameters!$I$12</f>
        <v>19096.169905134004</v>
      </c>
      <c r="K11" s="241">
        <f>K10*Parameters!$I$10*Parameters!$I$12</f>
        <v>20050.978400390704</v>
      </c>
      <c r="L11" s="241">
        <f>L10*Parameters!$I$10*Parameters!$I$12</f>
        <v>21053.527320410238</v>
      </c>
      <c r="M11" s="237">
        <f>M10*Parameters!$I$10*Parameters!$I$12</f>
        <v>22106.203686430752</v>
      </c>
      <c r="N11" s="237">
        <f>N10*Parameters!$I$10*Parameters!$I$12</f>
        <v>23211.513870752293</v>
      </c>
      <c r="O11" s="237">
        <f>O10*Parameters!$I$10*Parameters!$I$12</f>
        <v>24372.089564289909</v>
      </c>
      <c r="P11" s="237">
        <f>P10*Parameters!$I$10*Parameters!$I$12</f>
        <v>25590.694042504401</v>
      </c>
      <c r="Q11" s="237">
        <f>Q10*Parameters!$I$10*Parameters!$I$12</f>
        <v>26870.228744629625</v>
      </c>
      <c r="R11" s="237">
        <f>R10*Parameters!$I$10*Parameters!$I$12</f>
        <v>28213.740181861107</v>
      </c>
      <c r="S11" s="237">
        <f>S10*Parameters!$I$10*Parameters!$I$12</f>
        <v>29624.427190954164</v>
      </c>
      <c r="T11" s="237">
        <f>T10*Parameters!$I$10*Parameters!$I$12</f>
        <v>31105.648550501868</v>
      </c>
      <c r="U11" s="237">
        <f>U10*Parameters!$I$10*Parameters!$I$12</f>
        <v>32660.930978026965</v>
      </c>
      <c r="V11" s="237">
        <f>V10*Parameters!$I$10*Parameters!$I$12</f>
        <v>34293.977526928313</v>
      </c>
      <c r="W11" s="237">
        <f>W10*Parameters!$I$10*Parameters!$I$12</f>
        <v>36008.676403274731</v>
      </c>
      <c r="X11" s="237">
        <f t="shared" ref="X11:X16" si="0">SUM(C11:U11)</f>
        <v>413624.58613856602</v>
      </c>
    </row>
    <row r="12" spans="1:25">
      <c r="B12" s="240" t="s">
        <v>752</v>
      </c>
      <c r="C12" s="237">
        <f>C10*Parameters!$J$10*Parameters!$J$12</f>
        <v>14189.528400000003</v>
      </c>
      <c r="D12" s="237">
        <f>D10*Parameters!$J$10*Parameters!$J$12</f>
        <v>14476.406400000003</v>
      </c>
      <c r="E12" s="477">
        <f>E10*Parameters!$J$10*Parameters!$J$12</f>
        <v>15890.246400000004</v>
      </c>
      <c r="F12" s="241">
        <f>F10*Parameters!$J$10*Parameters!$J$12</f>
        <v>16684.758720000002</v>
      </c>
      <c r="G12" s="241">
        <f>G10*Parameters!$J$10*Parameters!$J$12</f>
        <v>17518.996656000003</v>
      </c>
      <c r="H12" s="241">
        <f>H10*Parameters!$J$10*Parameters!$J$12</f>
        <v>18394.946488800004</v>
      </c>
      <c r="I12" s="241">
        <f>I10*Parameters!$J$10*Parameters!$J$12</f>
        <v>19314.69381324001</v>
      </c>
      <c r="J12" s="241">
        <f>J10*Parameters!$J$10*Parameters!$J$12</f>
        <v>20280.428503902007</v>
      </c>
      <c r="K12" s="241">
        <f>K10*Parameters!$J$10*Parameters!$J$12</f>
        <v>21294.449929097107</v>
      </c>
      <c r="L12" s="241">
        <f>L10*Parameters!$J$10*Parameters!$J$12</f>
        <v>22359.172425551966</v>
      </c>
      <c r="M12" s="237">
        <f>M10*Parameters!$J$10*Parameters!$J$12</f>
        <v>23477.131046829567</v>
      </c>
      <c r="N12" s="237">
        <f>N10*Parameters!$J$10*Parameters!$J$12</f>
        <v>24650.987599171043</v>
      </c>
      <c r="O12" s="237">
        <f>O10*Parameters!$J$10*Parameters!$J$12</f>
        <v>25883.536979129596</v>
      </c>
      <c r="P12" s="237">
        <f>P10*Parameters!$J$10*Parameters!$J$12</f>
        <v>27177.713828086078</v>
      </c>
      <c r="Q12" s="237">
        <f>Q10*Parameters!$J$10*Parameters!$J$12</f>
        <v>28536.599519490381</v>
      </c>
      <c r="R12" s="237">
        <f>R10*Parameters!$J$10*Parameters!$J$12</f>
        <v>29963.429495464901</v>
      </c>
      <c r="S12" s="237">
        <f>S10*Parameters!$J$10*Parameters!$J$12</f>
        <v>31461.600970238145</v>
      </c>
      <c r="T12" s="237">
        <f>T10*Parameters!$J$10*Parameters!$J$12</f>
        <v>33034.681018750052</v>
      </c>
      <c r="U12" s="237">
        <f>U10*Parameters!$J$10*Parameters!$J$12</f>
        <v>34686.415069687559</v>
      </c>
      <c r="V12" s="237">
        <f>V10*Parameters!$J$10*Parameters!$J$12</f>
        <v>36420.735823171941</v>
      </c>
      <c r="W12" s="237">
        <f>W10*Parameters!$J$10*Parameters!$J$12</f>
        <v>38241.772614330534</v>
      </c>
      <c r="X12" s="237">
        <f t="shared" si="0"/>
        <v>439275.72326343844</v>
      </c>
    </row>
    <row r="13" spans="1:25">
      <c r="B13" s="240" t="s">
        <v>753</v>
      </c>
      <c r="C13" s="237">
        <f>C10*Parameters!$K$10*Parameters!$K$12</f>
        <v>15341.78025</v>
      </c>
      <c r="D13" s="237">
        <f>D10*Parameters!$K$10*Parameters!$K$12</f>
        <v>15651.954</v>
      </c>
      <c r="E13" s="477">
        <f>E10*Parameters!$K$10*Parameters!$K$12</f>
        <v>17180.603999999999</v>
      </c>
      <c r="F13" s="241">
        <f>F10*Parameters!$K$10*Parameters!$K$12</f>
        <v>18039.6342</v>
      </c>
      <c r="G13" s="241">
        <f>G10*Parameters!$K$10*Parameters!$K$12</f>
        <v>18941.615910000004</v>
      </c>
      <c r="H13" s="241">
        <f>H10*Parameters!$K$10*Parameters!$K$12</f>
        <v>19888.696705500006</v>
      </c>
      <c r="I13" s="241">
        <f>I10*Parameters!$K$10*Parameters!$K$12</f>
        <v>20883.131540775004</v>
      </c>
      <c r="J13" s="241">
        <f>J10*Parameters!$K$10*Parameters!$K$12</f>
        <v>21927.288117813758</v>
      </c>
      <c r="K13" s="241">
        <f>K10*Parameters!$K$10*Parameters!$K$12</f>
        <v>23023.652523704441</v>
      </c>
      <c r="L13" s="241">
        <f>L10*Parameters!$K$10*Parameters!$K$12</f>
        <v>24174.835149889666</v>
      </c>
      <c r="M13" s="237">
        <f>M10*Parameters!$K$10*Parameters!$K$12</f>
        <v>25383.576907384151</v>
      </c>
      <c r="N13" s="237">
        <f>N10*Parameters!$K$10*Parameters!$K$12</f>
        <v>26652.755752753357</v>
      </c>
      <c r="O13" s="237">
        <f>O10*Parameters!$K$10*Parameters!$K$12</f>
        <v>27985.393540391025</v>
      </c>
      <c r="P13" s="237">
        <f>P10*Parameters!$K$10*Parameters!$K$12</f>
        <v>29384.663217410583</v>
      </c>
      <c r="Q13" s="237">
        <f>Q10*Parameters!$K$10*Parameters!$K$12</f>
        <v>30853.896378281108</v>
      </c>
      <c r="R13" s="237">
        <f>R10*Parameters!$K$10*Parameters!$K$12</f>
        <v>32396.591197195168</v>
      </c>
      <c r="S13" s="237">
        <f>S10*Parameters!$K$10*Parameters!$K$12</f>
        <v>34016.420757054926</v>
      </c>
      <c r="T13" s="237">
        <f>T10*Parameters!$K$10*Parameters!$K$12</f>
        <v>35717.24179490767</v>
      </c>
      <c r="U13" s="237">
        <f>U10*Parameters!$K$10*Parameters!$K$12</f>
        <v>37503.103884653057</v>
      </c>
      <c r="V13" s="237">
        <f>V10*Parameters!$K$10*Parameters!$K$12</f>
        <v>39378.259078885712</v>
      </c>
      <c r="W13" s="237">
        <f>W10*Parameters!$K$10*Parameters!$K$12</f>
        <v>41347.17203283</v>
      </c>
      <c r="X13" s="237">
        <f t="shared" si="0"/>
        <v>474946.83582771395</v>
      </c>
    </row>
    <row r="14" spans="1:25">
      <c r="B14" s="240" t="s">
        <v>754</v>
      </c>
      <c r="C14" s="237">
        <f>C10*Parameters!$L$10*Parameters!$L$12</f>
        <v>4350.0744000000004</v>
      </c>
      <c r="D14" s="237">
        <f>D10*Parameters!$L$10*Parameters!$L$12</f>
        <v>4438.0224000000007</v>
      </c>
      <c r="E14" s="477">
        <f>E10*Parameters!$L$10*Parameters!$L$12</f>
        <v>4871.4624000000003</v>
      </c>
      <c r="F14" s="241">
        <f>F10*Parameters!$L$10*Parameters!$L$12</f>
        <v>5115.0355200000004</v>
      </c>
      <c r="G14" s="241">
        <f>G10*Parameters!$L$10*Parameters!$L$12</f>
        <v>5370.7872960000004</v>
      </c>
      <c r="H14" s="241">
        <f>H10*Parameters!$L$10*Parameters!$L$12</f>
        <v>5639.3266608000013</v>
      </c>
      <c r="I14" s="241">
        <f>I10*Parameters!$L$10*Parameters!$L$12</f>
        <v>5921.2929938400021</v>
      </c>
      <c r="J14" s="241">
        <f>J10*Parameters!$L$10*Parameters!$L$12</f>
        <v>6217.3576435320019</v>
      </c>
      <c r="K14" s="241">
        <f>K10*Parameters!$L$10*Parameters!$L$12</f>
        <v>6528.2255257086017</v>
      </c>
      <c r="L14" s="241">
        <f>L10*Parameters!$L$10*Parameters!$L$12</f>
        <v>6854.6368019940319</v>
      </c>
      <c r="M14" s="237">
        <f>M10*Parameters!$L$10*Parameters!$L$12</f>
        <v>7197.3686420937347</v>
      </c>
      <c r="N14" s="237">
        <f>N10*Parameters!$L$10*Parameters!$L$12</f>
        <v>7557.2370741984214</v>
      </c>
      <c r="O14" s="237">
        <f>O10*Parameters!$L$10*Parameters!$L$12</f>
        <v>7935.0989279083424</v>
      </c>
      <c r="P14" s="237">
        <f>P10*Parameters!$L$10*Parameters!$L$12</f>
        <v>8331.8538743037607</v>
      </c>
      <c r="Q14" s="237">
        <f>Q10*Parameters!$L$10*Parameters!$L$12</f>
        <v>8748.4465680189478</v>
      </c>
      <c r="R14" s="237">
        <f>R10*Parameters!$L$10*Parameters!$L$12</f>
        <v>9185.8688964198973</v>
      </c>
      <c r="S14" s="237">
        <f>S10*Parameters!$L$10*Parameters!$L$12</f>
        <v>9645.1623412408917</v>
      </c>
      <c r="T14" s="237">
        <f>T10*Parameters!$L$10*Parameters!$L$12</f>
        <v>10127.420458302937</v>
      </c>
      <c r="U14" s="237">
        <f>U10*Parameters!$L$10*Parameters!$L$12</f>
        <v>10633.791481218084</v>
      </c>
      <c r="V14" s="237">
        <f>V10*Parameters!$L$10*Parameters!$L$12</f>
        <v>11165.481055278986</v>
      </c>
      <c r="W14" s="237">
        <f>W10*Parameters!$L$10*Parameters!$L$12</f>
        <v>11723.755108042937</v>
      </c>
      <c r="X14" s="242">
        <f t="shared" si="0"/>
        <v>134668.46990557967</v>
      </c>
    </row>
    <row r="15" spans="1:25">
      <c r="B15" s="240" t="s">
        <v>755</v>
      </c>
      <c r="C15" s="237">
        <f>C10*Parameters!$M$10*Parameters!$M$12</f>
        <v>4764.3672000000006</v>
      </c>
      <c r="D15" s="237">
        <f>D10*Parameters!$M$10*Parameters!$M$12</f>
        <v>4860.6912000000002</v>
      </c>
      <c r="E15" s="477">
        <f>E10*Parameters!$M$10*Parameters!$M$12</f>
        <v>5335.4112000000005</v>
      </c>
      <c r="F15" s="241">
        <f>F10*Parameters!$M$10*Parameters!$M$12</f>
        <v>5602.1817600000004</v>
      </c>
      <c r="G15" s="241">
        <f>G10*Parameters!$M$10*Parameters!$M$12</f>
        <v>5882.2908480000006</v>
      </c>
      <c r="H15" s="241">
        <f>H10*Parameters!$M$10*Parameters!$M$12</f>
        <v>6176.4053904000011</v>
      </c>
      <c r="I15" s="241">
        <f>I10*Parameters!$M$10*Parameters!$M$12</f>
        <v>6485.2256599200027</v>
      </c>
      <c r="J15" s="241">
        <f>J10*Parameters!$M$10*Parameters!$M$12</f>
        <v>6809.4869429160017</v>
      </c>
      <c r="K15" s="241">
        <f>K10*Parameters!$M$10*Parameters!$M$12</f>
        <v>7149.9612900618022</v>
      </c>
      <c r="L15" s="241">
        <f>L10*Parameters!$M$10*Parameters!$M$12</f>
        <v>7507.4593545648931</v>
      </c>
      <c r="M15" s="237">
        <f>M10*Parameters!$M$10*Parameters!$M$12</f>
        <v>7882.8323222931376</v>
      </c>
      <c r="N15" s="237">
        <f>N10*Parameters!$M$10*Parameters!$M$12</f>
        <v>8276.9739384077948</v>
      </c>
      <c r="O15" s="237">
        <f>O10*Parameters!$M$10*Parameters!$M$12</f>
        <v>8690.8226353281843</v>
      </c>
      <c r="P15" s="237">
        <f>P10*Parameters!$M$10*Parameters!$M$12</f>
        <v>9125.3637670945936</v>
      </c>
      <c r="Q15" s="237">
        <f>Q10*Parameters!$M$10*Parameters!$M$12</f>
        <v>9581.6319554493239</v>
      </c>
      <c r="R15" s="237">
        <f>R10*Parameters!$M$10*Parameters!$M$12</f>
        <v>10060.713553221791</v>
      </c>
      <c r="S15" s="237">
        <f>S10*Parameters!$M$10*Parameters!$M$12</f>
        <v>10563.749230882881</v>
      </c>
      <c r="T15" s="237">
        <f>T10*Parameters!$M$10*Parameters!$M$12</f>
        <v>11091.936692427025</v>
      </c>
      <c r="U15" s="237">
        <f>U10*Parameters!$M$10*Parameters!$M$12</f>
        <v>11646.533527048376</v>
      </c>
      <c r="V15" s="237">
        <f>V10*Parameters!$M$10*Parameters!$M$12</f>
        <v>12228.860203400796</v>
      </c>
      <c r="W15" s="237">
        <f>W10*Parameters!$M$10*Parameters!$M$12</f>
        <v>12840.303213570836</v>
      </c>
      <c r="X15" s="242">
        <f t="shared" si="0"/>
        <v>147494.03846801579</v>
      </c>
    </row>
    <row r="16" spans="1:25" ht="18" thickBot="1">
      <c r="B16" s="243" t="s">
        <v>756</v>
      </c>
      <c r="C16" s="244">
        <f>C10*Parameters!$N$10*Parameters!$N$12</f>
        <v>0</v>
      </c>
      <c r="D16" s="244">
        <f>D10*Parameters!$N$10*Parameters!$N$12</f>
        <v>0</v>
      </c>
      <c r="E16" s="477">
        <f>E10*Parameters!$N$10*Parameters!$N$12</f>
        <v>0</v>
      </c>
      <c r="F16" s="245">
        <f>F10*Parameters!$N$10*Parameters!$N$12</f>
        <v>0</v>
      </c>
      <c r="G16" s="245">
        <f>G10*Parameters!$N$10*Parameters!$N$12</f>
        <v>0</v>
      </c>
      <c r="H16" s="245">
        <f>H10*Parameters!$N$10*Parameters!$N$12</f>
        <v>0</v>
      </c>
      <c r="I16" s="245">
        <f>I10*Parameters!$N$10*Parameters!$N$12</f>
        <v>0</v>
      </c>
      <c r="J16" s="245">
        <f>J10*Parameters!$N$10*Parameters!$N$12</f>
        <v>0</v>
      </c>
      <c r="K16" s="245">
        <f>K10*Parameters!$N$10*Parameters!$N$12</f>
        <v>0</v>
      </c>
      <c r="L16" s="245">
        <f>L10*Parameters!$N$10*Parameters!$N$12</f>
        <v>0</v>
      </c>
      <c r="M16" s="246">
        <f>M10*Parameters!$N$10*Parameters!$N$12</f>
        <v>0</v>
      </c>
      <c r="N16" s="244">
        <f>N10*Parameters!$N$10*Parameters!$N$12</f>
        <v>0</v>
      </c>
      <c r="O16" s="244">
        <f>O10*Parameters!$N$10*Parameters!$N$12</f>
        <v>0</v>
      </c>
      <c r="P16" s="244">
        <f>P10*Parameters!$N$10*Parameters!$N$12</f>
        <v>0</v>
      </c>
      <c r="Q16" s="244">
        <f>Q10*Parameters!$N$10*Parameters!$N$12</f>
        <v>0</v>
      </c>
      <c r="R16" s="244">
        <f>R10*Parameters!$N$10*Parameters!$N$12</f>
        <v>0</v>
      </c>
      <c r="S16" s="244">
        <f>S10*Parameters!$N$10*Parameters!$N$12</f>
        <v>0</v>
      </c>
      <c r="T16" s="244">
        <f>T10*Parameters!$N$10*Parameters!$N$12</f>
        <v>0</v>
      </c>
      <c r="U16" s="244">
        <f>U10*Parameters!$N$10*Parameters!$N$12</f>
        <v>0</v>
      </c>
      <c r="V16" s="244">
        <f>V10*Parameters!$N$10*Parameters!$N$12</f>
        <v>0</v>
      </c>
      <c r="W16" s="244">
        <f>W10*Parameters!$N$10*Parameters!$N$12</f>
        <v>0</v>
      </c>
      <c r="X16" s="247">
        <f t="shared" si="0"/>
        <v>0</v>
      </c>
    </row>
    <row r="17" spans="1:24">
      <c r="B17" s="248"/>
      <c r="C17" s="237"/>
      <c r="D17" s="237"/>
      <c r="E17" s="237"/>
      <c r="F17" s="478" t="s">
        <v>795</v>
      </c>
      <c r="G17" s="237"/>
      <c r="H17" s="237"/>
      <c r="I17" s="237"/>
      <c r="J17" s="237"/>
      <c r="K17" s="237"/>
      <c r="L17" s="249" t="s">
        <v>795</v>
      </c>
      <c r="M17" s="237"/>
      <c r="N17" s="237"/>
      <c r="O17" s="237"/>
      <c r="P17" s="237"/>
      <c r="Q17" s="237"/>
      <c r="R17" s="237"/>
      <c r="S17" s="237"/>
      <c r="T17" s="237"/>
      <c r="U17" s="237"/>
      <c r="V17" s="237"/>
      <c r="W17" s="237"/>
      <c r="X17" s="237"/>
    </row>
    <row r="18" spans="1:24">
      <c r="B18" s="248"/>
      <c r="C18" s="237"/>
      <c r="D18" s="237"/>
      <c r="E18" s="250">
        <v>258985</v>
      </c>
      <c r="F18" s="478">
        <f>304466*119/365</f>
        <v>99264.257534246572</v>
      </c>
      <c r="G18" s="237"/>
      <c r="H18" s="237"/>
      <c r="I18" s="237"/>
      <c r="J18" s="237"/>
      <c r="K18" s="237"/>
      <c r="L18" s="249">
        <f>408014*39/365</f>
        <v>43596.016438356164</v>
      </c>
      <c r="M18" s="237"/>
      <c r="N18" s="237"/>
      <c r="O18" s="237"/>
      <c r="P18" s="237"/>
      <c r="Q18" s="237"/>
      <c r="R18" s="237"/>
      <c r="S18" s="237"/>
      <c r="T18" s="237"/>
      <c r="U18" s="237"/>
      <c r="V18" s="237"/>
      <c r="W18" s="237"/>
      <c r="X18" s="237"/>
    </row>
    <row r="19" spans="1:24">
      <c r="B19" s="248"/>
      <c r="C19" s="237"/>
      <c r="D19" s="237"/>
      <c r="E19" s="237"/>
      <c r="F19" s="479" t="s">
        <v>819</v>
      </c>
      <c r="G19" s="237"/>
      <c r="H19" s="237"/>
      <c r="I19" s="237"/>
      <c r="J19" s="237"/>
      <c r="K19" s="237"/>
      <c r="L19" s="237"/>
      <c r="M19" s="237"/>
      <c r="N19" s="237"/>
      <c r="O19" s="237"/>
      <c r="P19" s="237"/>
      <c r="Q19" s="237"/>
      <c r="R19" s="237"/>
      <c r="S19" s="237"/>
      <c r="T19" s="237"/>
      <c r="U19" s="237"/>
      <c r="V19" s="237"/>
      <c r="W19" s="237"/>
      <c r="X19" s="237"/>
    </row>
    <row r="20" spans="1:24" ht="18" thickBot="1"/>
    <row r="21" spans="1:24" ht="45.75" customHeight="1">
      <c r="A21" s="251" t="s">
        <v>805</v>
      </c>
      <c r="B21" s="252" t="s">
        <v>757</v>
      </c>
      <c r="C21" s="253" t="s">
        <v>749</v>
      </c>
      <c r="D21" s="254"/>
      <c r="E21" s="254"/>
      <c r="F21" s="254"/>
      <c r="G21" s="254"/>
      <c r="H21" s="254"/>
      <c r="I21" s="254"/>
      <c r="J21" s="254"/>
      <c r="K21" s="254"/>
      <c r="L21" s="254"/>
      <c r="M21" s="254"/>
      <c r="N21" s="254"/>
      <c r="O21" s="254"/>
      <c r="P21" s="254"/>
      <c r="Q21" s="254"/>
      <c r="R21" s="254"/>
      <c r="S21" s="255"/>
      <c r="T21" s="255"/>
      <c r="U21" s="255"/>
      <c r="V21" s="255"/>
      <c r="W21" s="255"/>
      <c r="X21" s="256"/>
    </row>
    <row r="22" spans="1:24">
      <c r="A22" s="257">
        <f>SUM(D22:S22)*Parameters!$C$13</f>
        <v>17793.910568887113</v>
      </c>
      <c r="B22" s="258">
        <v>1</v>
      </c>
      <c r="C22" s="258">
        <v>2016</v>
      </c>
      <c r="D22" s="182">
        <f>$H$5*(C$11*EXP(-Parameters!$I$11*($B22-C$8))*(1-EXP(-Parameters!$I$11))+C$12*EXP(-Parameters!$J$11*($B22-C$8))*(1-EXP(-Parameters!$J$11))+C$13*EXP(-Parameters!$K$11*($B22-C$8))*(1-EXP(-Parameters!$K$11))+C$14*EXP(-Parameters!$L$11*($B22-C$8))*(1-EXP(-Parameters!$L$11))+C$15*EXP(-Parameters!$M$11*($B22-C$8))*(1-EXP(-Parameters!$M$11))+C$16*EXP(-Parameters!$N$11*($B22-C$8))*(1-EXP(-Parameters!$N$11)))</f>
        <v>25419.872241267309</v>
      </c>
      <c r="E22" s="259"/>
      <c r="F22" s="259"/>
      <c r="G22" s="259"/>
      <c r="H22" s="259"/>
      <c r="I22" s="259"/>
      <c r="J22" s="259"/>
      <c r="K22" s="259"/>
      <c r="L22" s="259"/>
      <c r="M22" s="259"/>
      <c r="N22" s="259"/>
      <c r="O22" s="259"/>
      <c r="P22" s="259"/>
      <c r="Q22" s="259"/>
      <c r="R22" s="259"/>
      <c r="S22" s="260"/>
      <c r="T22" s="260"/>
      <c r="U22" s="260"/>
      <c r="V22" s="260"/>
      <c r="W22" s="260"/>
      <c r="X22" s="261"/>
    </row>
    <row r="23" spans="1:24">
      <c r="A23" s="257">
        <f>SUM(D23:S23)*Parameters!$C$13</f>
        <v>33760.972237109585</v>
      </c>
      <c r="B23" s="258">
        <v>2</v>
      </c>
      <c r="C23" s="258">
        <v>2017</v>
      </c>
      <c r="D23" s="182">
        <f>$H$5*(C$11*EXP(-Parameters!$I$11*($B23-C$8))*(1-EXP(-Parameters!$I$11))+C$12*EXP(-Parameters!$J$11*($B23-C$8))*(1-EXP(-Parameters!$J$11))+C$13*EXP(-Parameters!$K$11*($B23-C$8))*(1-EXP(-Parameters!$K$11))+C$14*EXP(-Parameters!$L$11*($B23-C$8))*(1-EXP(-Parameters!$L$11))+C$15*EXP(-Parameters!$M$11*($B23-C$8))*(1-EXP(-Parameters!$M$11))+C$16*EXP(-Parameters!$N$11*($B23-C$8))*(1-EXP(-Parameters!$N$11)))</f>
        <v>22296.15966352975</v>
      </c>
      <c r="E23" s="182">
        <f>$H$5*(D$11*EXP(-Parameters!$I$11*($B23-D$8))*(1-EXP(-Parameters!$I$11))+D$12*EXP(-Parameters!$J$11*($B23-D$8))*(1-EXP(-Parameters!$J$11))+D$13*EXP(-Parameters!$K$11*($B23-D$8))*(1-EXP(-Parameters!$K$11))+D$14*EXP(-Parameters!$L$11*($B23-D$8))*(1-EXP(-Parameters!$L$11))+D$15*EXP(-Parameters!$M$11*($B23-D$8))*(1-EXP(-Parameters!$M$11))+D$16*EXP(-Parameters!$N$11*($B23-D$8))*(1-EXP(-Parameters!$N$11)))</f>
        <v>25933.800675198228</v>
      </c>
      <c r="F23" s="259"/>
      <c r="G23" s="259"/>
      <c r="H23" s="259"/>
      <c r="I23" s="259"/>
      <c r="J23" s="259"/>
      <c r="K23" s="259"/>
      <c r="L23" s="259"/>
      <c r="M23" s="259"/>
      <c r="N23" s="259"/>
      <c r="O23" s="259"/>
      <c r="P23" s="259"/>
      <c r="R23" s="259"/>
      <c r="S23" s="260"/>
      <c r="T23" s="260"/>
      <c r="U23" s="260"/>
      <c r="V23" s="260"/>
      <c r="W23" s="260"/>
      <c r="X23" s="261"/>
    </row>
    <row r="24" spans="1:24">
      <c r="A24" s="262">
        <f>SUM(D24:S24)*Parameters!$C$13</f>
        <v>49593.188707578178</v>
      </c>
      <c r="B24" s="263">
        <v>3</v>
      </c>
      <c r="C24" s="263">
        <v>2018</v>
      </c>
      <c r="D24" s="264">
        <f>$H$5*(C$11*EXP(-Parameters!$I$11*($B24-C$8))*(1-EXP(-Parameters!$I$11))+C$12*EXP(-Parameters!$J$11*($B24-C$8))*(1-EXP(-Parameters!$J$11))+C$13*EXP(-Parameters!$K$11*($B24-C$8))*(1-EXP(-Parameters!$K$11))+C$14*EXP(-Parameters!$L$11*($B24-C$8))*(1-EXP(-Parameters!$L$11))+C$15*EXP(-Parameters!$M$11*($B24-C$8))*(1-EXP(-Parameters!$M$11))+C$16*EXP(-Parameters!$N$11*($B24-C$8))*(1-EXP(-Parameters!$N$11)))</f>
        <v>19633.849780133714</v>
      </c>
      <c r="E24" s="264">
        <f>$H$5*(D$11*EXP(-Parameters!$I$11*($B24-D$8))*(1-EXP(-Parameters!$I$11))+D$12*EXP(-Parameters!$J$11*($B24-D$8))*(1-EXP(-Parameters!$J$11))+D$13*EXP(-Parameters!$K$11*($B24-D$8))*(1-EXP(-Parameters!$K$11))+D$14*EXP(-Parameters!$L$11*($B24-D$8))*(1-EXP(-Parameters!$L$11))+D$15*EXP(-Parameters!$M$11*($B24-D$8))*(1-EXP(-Parameters!$M$11))+D$16*EXP(-Parameters!$N$11*($B24-D$8))*(1-EXP(-Parameters!$N$11)))</f>
        <v>22746.934172142319</v>
      </c>
      <c r="F24" s="264">
        <f>$H$5*(E$11*EXP(-Parameters!$I$11*($B24-E$8))*(1-EXP(-Parameters!$I$11))+E$12*EXP(-Parameters!$J$11*($B24-E$8))*(1-EXP(-Parameters!$J$11))+E$13*EXP(-Parameters!$K$11*($B24-E$8))*(1-EXP(-Parameters!$K$11))+E$14*EXP(-Parameters!$L$11*($B24-E$8))*(1-EXP(-Parameters!$L$11))+E$15*EXP(-Parameters!$M$11*($B24-E$8))*(1-EXP(-Parameters!$M$11))+E$16*EXP(-Parameters!$N$11*($B24-E$8))*(1-EXP(-Parameters!$N$11)))</f>
        <v>28466.628487121368</v>
      </c>
      <c r="G24" s="259"/>
      <c r="H24" s="259"/>
      <c r="I24" s="259"/>
      <c r="J24" s="259"/>
      <c r="K24" s="259"/>
      <c r="L24" s="259"/>
      <c r="M24" s="259"/>
      <c r="N24" s="259"/>
      <c r="O24" s="259"/>
      <c r="P24" s="259"/>
      <c r="R24" s="259"/>
      <c r="S24" s="260"/>
      <c r="T24" s="260"/>
      <c r="U24" s="260"/>
      <c r="V24" s="260"/>
      <c r="W24" s="260"/>
      <c r="X24" s="261"/>
    </row>
    <row r="25" spans="1:24">
      <c r="A25" s="262">
        <f>SUM(D25:S25)*Parameters!$C$13</f>
        <v>64573.97874559644</v>
      </c>
      <c r="B25" s="263">
        <v>4</v>
      </c>
      <c r="C25" s="263">
        <v>2019</v>
      </c>
      <c r="D25" s="264">
        <f>$H$5*(C$11*EXP(-Parameters!$I$11*($B25-C$8))*(1-EXP(-Parameters!$I$11))+C$12*EXP(-Parameters!$J$11*($B25-C$8))*(1-EXP(-Parameters!$J$11))+C$13*EXP(-Parameters!$K$11*($B25-C$8))*(1-EXP(-Parameters!$K$11))+C$14*EXP(-Parameters!$L$11*($B25-C$8))*(1-EXP(-Parameters!$L$11))+C$15*EXP(-Parameters!$M$11*($B25-C$8))*(1-EXP(-Parameters!$M$11))+C$16*EXP(-Parameters!$N$11*($B25-C$8))*(1-EXP(-Parameters!$N$11)))</f>
        <v>17359.266064302261</v>
      </c>
      <c r="E25" s="264">
        <f>$H$5*(D$11*EXP(-Parameters!$I$11*($B25-D$8))*(1-EXP(-Parameters!$I$11))+D$12*EXP(-Parameters!$J$11*($B25-D$8))*(1-EXP(-Parameters!$J$11))+D$13*EXP(-Parameters!$K$11*($B25-D$8))*(1-EXP(-Parameters!$K$11))+D$14*EXP(-Parameters!$L$11*($B25-D$8))*(1-EXP(-Parameters!$L$11))+D$15*EXP(-Parameters!$M$11*($B25-D$8))*(1-EXP(-Parameters!$M$11))+D$16*EXP(-Parameters!$N$11*($B25-D$8))*(1-EXP(-Parameters!$N$11)))</f>
        <v>20030.798811732617</v>
      </c>
      <c r="F25" s="264">
        <f>$H$5*(E$11*EXP(-Parameters!$I$11*($B25-E$8))*(1-EXP(-Parameters!$I$11))+E$12*EXP(-Parameters!$J$11*($B25-E$8))*(1-EXP(-Parameters!$J$11))+E$13*EXP(-Parameters!$K$11*($B25-E$8))*(1-EXP(-Parameters!$K$11))+E$14*EXP(-Parameters!$L$11*($B25-E$8))*(1-EXP(-Parameters!$L$11))+E$15*EXP(-Parameters!$M$11*($B25-E$8))*(1-EXP(-Parameters!$M$11))+E$16*EXP(-Parameters!$N$11*($B25-E$8))*(1-EXP(-Parameters!$N$11)))</f>
        <v>24968.516277625466</v>
      </c>
      <c r="G25" s="264">
        <f>$H$5*(F$11*EXP(-Parameters!$I$11*($B25-F$8))*(1-EXP(-Parameters!$I$11))+F$12*EXP(-Parameters!$J$11*($B25-F$8))*(1-EXP(-Parameters!$J$11))+F$13*EXP(-Parameters!$K$11*($B25-F$8))*(1-EXP(-Parameters!$K$11))+F$14*EXP(-Parameters!$L$11*($B25-F$8))*(1-EXP(-Parameters!$L$11))+F$15*EXP(-Parameters!$M$11*($B25-F$8))*(1-EXP(-Parameters!$M$11))+F$16*EXP(-Parameters!$N$11*($B25-F$8))*(1-EXP(-Parameters!$N$11)))</f>
        <v>29889.959911477436</v>
      </c>
      <c r="H25" s="259"/>
      <c r="I25" s="259"/>
      <c r="J25" s="259"/>
      <c r="K25" s="259"/>
      <c r="L25" s="259"/>
      <c r="M25" s="259"/>
      <c r="N25" s="259"/>
      <c r="O25" s="259"/>
      <c r="P25" s="259"/>
      <c r="Q25" s="259"/>
      <c r="R25" s="259"/>
      <c r="S25" s="260"/>
      <c r="T25" s="260"/>
      <c r="U25" s="260"/>
      <c r="V25" s="260"/>
      <c r="W25" s="260"/>
      <c r="X25" s="261"/>
    </row>
    <row r="26" spans="1:24">
      <c r="A26" s="262">
        <f>SUM(D26:S26)*Parameters!$C$13</f>
        <v>78896.7274185157</v>
      </c>
      <c r="B26" s="263">
        <v>5</v>
      </c>
      <c r="C26" s="263">
        <v>2020</v>
      </c>
      <c r="D26" s="264">
        <f>$H$5*(C$11*EXP(-Parameters!$I$11*($B26-C$8))*(1-EXP(-Parameters!$I$11))+C$12*EXP(-Parameters!$J$11*($B26-C$8))*(1-EXP(-Parameters!$J$11))+C$13*EXP(-Parameters!$K$11*($B26-C$8))*(1-EXP(-Parameters!$K$11))+C$14*EXP(-Parameters!$L$11*($B26-C$8))*(1-EXP(-Parameters!$L$11))+C$15*EXP(-Parameters!$M$11*($B26-C$8))*(1-EXP(-Parameters!$M$11))+C$16*EXP(-Parameters!$N$11*($B26-C$8))*(1-EXP(-Parameters!$N$11)))</f>
        <v>15410.872868246657</v>
      </c>
      <c r="E26" s="264">
        <f>$H$5*(D$11*EXP(-Parameters!$I$11*($B26-D$8))*(1-EXP(-Parameters!$I$11))+D$12*EXP(-Parameters!$J$11*($B26-D$8))*(1-EXP(-Parameters!$J$11))+D$13*EXP(-Parameters!$K$11*($B26-D$8))*(1-EXP(-Parameters!$K$11))+D$14*EXP(-Parameters!$L$11*($B26-D$8))*(1-EXP(-Parameters!$L$11))+D$15*EXP(-Parameters!$M$11*($B26-D$8))*(1-EXP(-Parameters!$M$11))+D$16*EXP(-Parameters!$N$11*($B26-D$8))*(1-EXP(-Parameters!$N$11)))</f>
        <v>17710.228505731593</v>
      </c>
      <c r="F26" s="264">
        <f>$H$5*(E$11*EXP(-Parameters!$I$11*($B26-E$8))*(1-EXP(-Parameters!$I$11))+E$12*EXP(-Parameters!$J$11*($B26-E$8))*(1-EXP(-Parameters!$J$11))+E$13*EXP(-Parameters!$K$11*($B26-E$8))*(1-EXP(-Parameters!$K$11))+E$14*EXP(-Parameters!$L$11*($B26-E$8))*(1-EXP(-Parameters!$L$11))+E$15*EXP(-Parameters!$M$11*($B26-E$8))*(1-EXP(-Parameters!$M$11))+E$16*EXP(-Parameters!$N$11*($B26-E$8))*(1-EXP(-Parameters!$N$11)))</f>
        <v>21987.109225343276</v>
      </c>
      <c r="G26" s="264">
        <f>$H$5*(F$11*EXP(-Parameters!$I$11*($B26-F$8))*(1-EXP(-Parameters!$I$11))+F$12*EXP(-Parameters!$J$11*($B26-F$8))*(1-EXP(-Parameters!$J$11))+F$13*EXP(-Parameters!$K$11*($B26-F$8))*(1-EXP(-Parameters!$K$11))+F$14*EXP(-Parameters!$L$11*($B26-F$8))*(1-EXP(-Parameters!$L$11))+F$15*EXP(-Parameters!$M$11*($B26-F$8))*(1-EXP(-Parameters!$M$11))+F$16*EXP(-Parameters!$N$11*($B26-F$8))*(1-EXP(-Parameters!$N$11)))</f>
        <v>26216.942091506742</v>
      </c>
      <c r="H26" s="264">
        <f>$H$5*(G$11*EXP(-Parameters!$I$11*($B26-G$8))*(1-EXP(-Parameters!$I$11))+G$12*EXP(-Parameters!$J$11*($B26-G$8))*(1-EXP(-Parameters!$J$11))+G$13*EXP(-Parameters!$K$11*($B26-G$8))*(1-EXP(-Parameters!$K$11))+G$14*EXP(-Parameters!$L$11*($B26-G$8))*(1-EXP(-Parameters!$L$11))+G$15*EXP(-Parameters!$M$11*($B26-G$8))*(1-EXP(-Parameters!$M$11))+G$16*EXP(-Parameters!$N$11*($B26-G$8))*(1-EXP(-Parameters!$N$11)))</f>
        <v>31384.457907051314</v>
      </c>
      <c r="I26" s="259"/>
      <c r="J26" s="259"/>
      <c r="K26" s="259"/>
      <c r="L26" s="259"/>
      <c r="M26" s="259"/>
      <c r="N26" s="259"/>
      <c r="O26" s="259"/>
      <c r="P26" s="259"/>
      <c r="Q26" s="259"/>
      <c r="R26" s="259"/>
      <c r="S26" s="260"/>
      <c r="T26" s="260"/>
      <c r="U26" s="260"/>
      <c r="V26" s="260"/>
      <c r="W26" s="260"/>
      <c r="X26" s="261"/>
    </row>
    <row r="27" spans="1:24">
      <c r="A27" s="262">
        <f>SUM(D27:S27)*Parameters!$C$13</f>
        <v>92727.268615639594</v>
      </c>
      <c r="B27" s="263">
        <v>6</v>
      </c>
      <c r="C27" s="263">
        <v>2021</v>
      </c>
      <c r="D27" s="264">
        <f>$H$5*(C$11*EXP(-Parameters!$I$11*($B27-C$8))*(1-EXP(-Parameters!$I$11))+C$12*EXP(-Parameters!$J$11*($B27-C$8))*(1-EXP(-Parameters!$J$11))+C$13*EXP(-Parameters!$K$11*($B27-C$8))*(1-EXP(-Parameters!$K$11))+C$14*EXP(-Parameters!$L$11*($B27-C$8))*(1-EXP(-Parameters!$L$11))+C$15*EXP(-Parameters!$M$11*($B27-C$8))*(1-EXP(-Parameters!$M$11))+C$16*EXP(-Parameters!$N$11*($B27-C$8))*(1-EXP(-Parameters!$N$11)))</f>
        <v>13737.248267683995</v>
      </c>
      <c r="E27" s="264">
        <f>$H$5*(D$11*EXP(-Parameters!$I$11*($B27-D$8))*(1-EXP(-Parameters!$I$11))+D$12*EXP(-Parameters!$J$11*($B27-D$8))*(1-EXP(-Parameters!$J$11))+D$13*EXP(-Parameters!$K$11*($B27-D$8))*(1-EXP(-Parameters!$K$11))+D$14*EXP(-Parameters!$L$11*($B27-D$8))*(1-EXP(-Parameters!$L$11))+D$15*EXP(-Parameters!$M$11*($B27-D$8))*(1-EXP(-Parameters!$M$11))+D$16*EXP(-Parameters!$N$11*($B27-D$8))*(1-EXP(-Parameters!$N$11)))</f>
        <v>15722.443504145793</v>
      </c>
      <c r="F27" s="264">
        <f>$H$5*(E$11*EXP(-Parameters!$I$11*($B27-E$8))*(1-EXP(-Parameters!$I$11))+E$12*EXP(-Parameters!$J$11*($B27-E$8))*(1-EXP(-Parameters!$J$11))+E$13*EXP(-Parameters!$K$11*($B27-E$8))*(1-EXP(-Parameters!$K$11))+E$14*EXP(-Parameters!$L$11*($B27-E$8))*(1-EXP(-Parameters!$L$11))+E$15*EXP(-Parameters!$M$11*($B27-E$8))*(1-EXP(-Parameters!$M$11))+E$16*EXP(-Parameters!$N$11*($B27-E$8))*(1-EXP(-Parameters!$N$11)))</f>
        <v>19439.900136844655</v>
      </c>
      <c r="G27" s="264">
        <f>$H$5*(F$11*EXP(-Parameters!$I$11*($B27-F$8))*(1-EXP(-Parameters!$I$11))+F$12*EXP(-Parameters!$J$11*($B27-F$8))*(1-EXP(-Parameters!$J$11))+F$13*EXP(-Parameters!$K$11*($B27-F$8))*(1-EXP(-Parameters!$K$11))+F$14*EXP(-Parameters!$L$11*($B27-F$8))*(1-EXP(-Parameters!$L$11))+F$15*EXP(-Parameters!$M$11*($B27-F$8))*(1-EXP(-Parameters!$M$11))+F$16*EXP(-Parameters!$N$11*($B27-F$8))*(1-EXP(-Parameters!$N$11)))</f>
        <v>23086.464686610441</v>
      </c>
      <c r="H27" s="264">
        <f>$H$5*(G$11*EXP(-Parameters!$I$11*($B27-G$8))*(1-EXP(-Parameters!$I$11))+G$12*EXP(-Parameters!$J$11*($B27-G$8))*(1-EXP(-Parameters!$J$11))+G$13*EXP(-Parameters!$K$11*($B27-G$8))*(1-EXP(-Parameters!$K$11))+G$14*EXP(-Parameters!$L$11*($B27-G$8))*(1-EXP(-Parameters!$L$11))+G$15*EXP(-Parameters!$M$11*($B27-G$8))*(1-EXP(-Parameters!$M$11))+G$16*EXP(-Parameters!$N$11*($B27-G$8))*(1-EXP(-Parameters!$N$11)))</f>
        <v>27527.789196082078</v>
      </c>
      <c r="I27" s="264">
        <f>$H$5*(H$11*EXP(-Parameters!$I$11*($B27-H$8))*(1-EXP(-Parameters!$I$11))+H$12*EXP(-Parameters!$J$11*($B27-H$8))*(1-EXP(-Parameters!$J$11))+H$13*EXP(-Parameters!$K$11*($B27-H$8))*(1-EXP(-Parameters!$K$11))+H$14*EXP(-Parameters!$L$11*($B27-H$8))*(1-EXP(-Parameters!$L$11))+H$15*EXP(-Parameters!$M$11*($B27-H$8))*(1-EXP(-Parameters!$M$11))+H$16*EXP(-Parameters!$N$11*($B27-H$8))*(1-EXP(-Parameters!$N$11)))</f>
        <v>32953.680802403884</v>
      </c>
      <c r="J27" s="259"/>
      <c r="K27" s="259"/>
      <c r="L27" s="259"/>
      <c r="M27" s="259"/>
      <c r="N27" s="259"/>
      <c r="O27" s="259"/>
      <c r="P27" s="259"/>
      <c r="Q27" s="259"/>
      <c r="R27" s="259"/>
      <c r="S27" s="260"/>
      <c r="T27" s="260"/>
      <c r="U27" s="260"/>
      <c r="V27" s="260"/>
      <c r="W27" s="260"/>
      <c r="X27" s="261"/>
    </row>
    <row r="28" spans="1:24">
      <c r="A28" s="262">
        <f>SUM(D28:S28)*Parameters!$C$13</f>
        <v>106208.60883385401</v>
      </c>
      <c r="B28" s="263">
        <v>7</v>
      </c>
      <c r="C28" s="263">
        <v>2022</v>
      </c>
      <c r="D28" s="264">
        <f>$H$5*(C$11*EXP(-Parameters!$I$11*($B28-C$8))*(1-EXP(-Parameters!$I$11))+C$12*EXP(-Parameters!$J$11*($B28-C$8))*(1-EXP(-Parameters!$J$11))+C$13*EXP(-Parameters!$K$11*($B28-C$8))*(1-EXP(-Parameters!$K$11))+C$14*EXP(-Parameters!$L$11*($B28-C$8))*(1-EXP(-Parameters!$L$11))+C$15*EXP(-Parameters!$M$11*($B28-C$8))*(1-EXP(-Parameters!$M$11))+C$16*EXP(-Parameters!$N$11*($B28-C$8))*(1-EXP(-Parameters!$N$11)))</f>
        <v>12295.397359588404</v>
      </c>
      <c r="E28" s="264">
        <f>$H$5*(D$11*EXP(-Parameters!$I$11*($B28-D$8))*(1-EXP(-Parameters!$I$11))+D$12*EXP(-Parameters!$J$11*($B28-D$8))*(1-EXP(-Parameters!$J$11))+D$13*EXP(-Parameters!$K$11*($B28-D$8))*(1-EXP(-Parameters!$K$11))+D$14*EXP(-Parameters!$L$11*($B28-D$8))*(1-EXP(-Parameters!$L$11))+D$15*EXP(-Parameters!$M$11*($B28-D$8))*(1-EXP(-Parameters!$M$11))+D$16*EXP(-Parameters!$N$11*($B28-D$8))*(1-EXP(-Parameters!$N$11)))</f>
        <v>14014.982255554707</v>
      </c>
      <c r="F28" s="264">
        <f>$H$5*(E$11*EXP(-Parameters!$I$11*($B28-E$8))*(1-EXP(-Parameters!$I$11))+E$12*EXP(-Parameters!$J$11*($B28-E$8))*(1-EXP(-Parameters!$J$11))+E$13*EXP(-Parameters!$K$11*($B28-E$8))*(1-EXP(-Parameters!$K$11))+E$14*EXP(-Parameters!$L$11*($B28-E$8))*(1-EXP(-Parameters!$L$11))+E$15*EXP(-Parameters!$M$11*($B28-E$8))*(1-EXP(-Parameters!$M$11))+E$16*EXP(-Parameters!$N$11*($B28-E$8))*(1-EXP(-Parameters!$N$11)))</f>
        <v>17257.977870181658</v>
      </c>
      <c r="G28" s="264">
        <f>$H$5*(F$11*EXP(-Parameters!$I$11*($B28-F$8))*(1-EXP(-Parameters!$I$11))+F$12*EXP(-Parameters!$J$11*($B28-F$8))*(1-EXP(-Parameters!$J$11))+F$13*EXP(-Parameters!$K$11*($B28-F$8))*(1-EXP(-Parameters!$K$11))+F$14*EXP(-Parameters!$L$11*($B28-F$8))*(1-EXP(-Parameters!$L$11))+F$15*EXP(-Parameters!$M$11*($B28-F$8))*(1-EXP(-Parameters!$M$11))+F$16*EXP(-Parameters!$N$11*($B28-F$8))*(1-EXP(-Parameters!$N$11)))</f>
        <v>20411.895143686885</v>
      </c>
      <c r="H28" s="264">
        <f>$H$5*(G$11*EXP(-Parameters!$I$11*($B28-G$8))*(1-EXP(-Parameters!$I$11))+G$12*EXP(-Parameters!$J$11*($B28-G$8))*(1-EXP(-Parameters!$J$11))+G$13*EXP(-Parameters!$K$11*($B28-G$8))*(1-EXP(-Parameters!$K$11))+G$14*EXP(-Parameters!$L$11*($B28-G$8))*(1-EXP(-Parameters!$L$11))+G$15*EXP(-Parameters!$M$11*($B28-G$8))*(1-EXP(-Parameters!$M$11))+G$16*EXP(-Parameters!$N$11*($B28-G$8))*(1-EXP(-Parameters!$N$11)))</f>
        <v>24240.787920940969</v>
      </c>
      <c r="I28" s="264">
        <f>$H$5*(H$11*EXP(-Parameters!$I$11*($B28-H$8))*(1-EXP(-Parameters!$I$11))+H$12*EXP(-Parameters!$J$11*($B28-H$8))*(1-EXP(-Parameters!$J$11))+H$13*EXP(-Parameters!$K$11*($B28-H$8))*(1-EXP(-Parameters!$K$11))+H$14*EXP(-Parameters!$L$11*($B28-H$8))*(1-EXP(-Parameters!$L$11))+H$15*EXP(-Parameters!$M$11*($B28-H$8))*(1-EXP(-Parameters!$M$11))+H$16*EXP(-Parameters!$N$11*($B28-H$8))*(1-EXP(-Parameters!$N$11)))</f>
        <v>28904.17865588619</v>
      </c>
      <c r="J28" s="264">
        <f>$H$5*(I$11*EXP(-Parameters!$I$11*($B28-I$8))*(1-EXP(-Parameters!$I$11))+I$12*EXP(-Parameters!$J$11*($B28-I$8))*(1-EXP(-Parameters!$J$11))+I$13*EXP(-Parameters!$K$11*($B28-I$8))*(1-EXP(-Parameters!$K$11))+I$14*EXP(-Parameters!$L$11*($B28-I$8))*(1-EXP(-Parameters!$L$11))+I$15*EXP(-Parameters!$M$11*($B28-I$8))*(1-EXP(-Parameters!$M$11))+I$16*EXP(-Parameters!$N$11*($B28-I$8))*(1-EXP(-Parameters!$N$11)))</f>
        <v>34601.364842524075</v>
      </c>
      <c r="K28" s="259"/>
      <c r="L28" s="259"/>
      <c r="M28" s="259"/>
      <c r="N28" s="259"/>
      <c r="O28" s="259"/>
      <c r="P28" s="259"/>
      <c r="Q28" s="259"/>
      <c r="R28" s="259"/>
      <c r="S28" s="260"/>
      <c r="T28" s="260"/>
      <c r="U28" s="260"/>
      <c r="V28" s="260"/>
      <c r="W28" s="260"/>
      <c r="X28" s="261"/>
    </row>
    <row r="29" spans="1:24">
      <c r="A29" s="262">
        <f>SUM(D29:S29)*Parameters!$C$13</f>
        <v>119464.87080286999</v>
      </c>
      <c r="B29" s="263">
        <v>8</v>
      </c>
      <c r="C29" s="263">
        <v>2023</v>
      </c>
      <c r="D29" s="264">
        <f>$H$5*(C$11*EXP(-Parameters!$I$11*($B29-C$8))*(1-EXP(-Parameters!$I$11))+C$12*EXP(-Parameters!$J$11*($B29-C$8))*(1-EXP(-Parameters!$J$11))+C$13*EXP(-Parameters!$K$11*($B29-C$8))*(1-EXP(-Parameters!$K$11))+C$14*EXP(-Parameters!$L$11*($B29-C$8))*(1-EXP(-Parameters!$L$11))+C$15*EXP(-Parameters!$M$11*($B29-C$8))*(1-EXP(-Parameters!$M$11))+C$16*EXP(-Parameters!$N$11*($B29-C$8))*(1-EXP(-Parameters!$N$11)))</f>
        <v>11049.34867815717</v>
      </c>
      <c r="E29" s="264">
        <f>$H$5*(D$11*EXP(-Parameters!$I$11*($B29-D$8))*(1-EXP(-Parameters!$I$11))+D$12*EXP(-Parameters!$J$11*($B29-D$8))*(1-EXP(-Parameters!$J$11))+D$13*EXP(-Parameters!$K$11*($B29-D$8))*(1-EXP(-Parameters!$K$11))+D$14*EXP(-Parameters!$L$11*($B29-D$8))*(1-EXP(-Parameters!$L$11))+D$15*EXP(-Parameters!$M$11*($B29-D$8))*(1-EXP(-Parameters!$M$11))+D$16*EXP(-Parameters!$N$11*($B29-D$8))*(1-EXP(-Parameters!$N$11)))</f>
        <v>12543.980603815464</v>
      </c>
      <c r="F29" s="264">
        <f>$H$5*(E$11*EXP(-Parameters!$I$11*($B29-E$8))*(1-EXP(-Parameters!$I$11))+E$12*EXP(-Parameters!$J$11*($B29-E$8))*(1-EXP(-Parameters!$J$11))+E$13*EXP(-Parameters!$K$11*($B29-E$8))*(1-EXP(-Parameters!$K$11))+E$14*EXP(-Parameters!$L$11*($B29-E$8))*(1-EXP(-Parameters!$L$11))+E$15*EXP(-Parameters!$M$11*($B29-E$8))*(1-EXP(-Parameters!$M$11))+E$16*EXP(-Parameters!$N$11*($B29-E$8))*(1-EXP(-Parameters!$N$11)))</f>
        <v>15383.757210103748</v>
      </c>
      <c r="G29" s="264">
        <f>$H$5*(F$11*EXP(-Parameters!$I$11*($B29-F$8))*(1-EXP(-Parameters!$I$11))+F$12*EXP(-Parameters!$J$11*($B29-F$8))*(1-EXP(-Parameters!$J$11))+F$13*EXP(-Parameters!$K$11*($B29-F$8))*(1-EXP(-Parameters!$K$11))+F$14*EXP(-Parameters!$L$11*($B29-F$8))*(1-EXP(-Parameters!$L$11))+F$15*EXP(-Parameters!$M$11*($B29-F$8))*(1-EXP(-Parameters!$M$11))+F$16*EXP(-Parameters!$N$11*($B29-F$8))*(1-EXP(-Parameters!$N$11)))</f>
        <v>18120.876763690736</v>
      </c>
      <c r="H29" s="264">
        <f>$H$5*(G$11*EXP(-Parameters!$I$11*($B29-G$8))*(1-EXP(-Parameters!$I$11))+G$12*EXP(-Parameters!$J$11*($B29-G$8))*(1-EXP(-Parameters!$J$11))+G$13*EXP(-Parameters!$K$11*($B29-G$8))*(1-EXP(-Parameters!$K$11))+G$14*EXP(-Parameters!$L$11*($B29-G$8))*(1-EXP(-Parameters!$L$11))+G$15*EXP(-Parameters!$M$11*($B29-G$8))*(1-EXP(-Parameters!$M$11))+G$16*EXP(-Parameters!$N$11*($B29-G$8))*(1-EXP(-Parameters!$N$11)))</f>
        <v>21432.489900871231</v>
      </c>
      <c r="I29" s="264">
        <f>$H$5*(H$11*EXP(-Parameters!$I$11*($B29-H$8))*(1-EXP(-Parameters!$I$11))+H$12*EXP(-Parameters!$J$11*($B29-H$8))*(1-EXP(-Parameters!$J$11))+H$13*EXP(-Parameters!$K$11*($B29-H$8))*(1-EXP(-Parameters!$K$11))+H$14*EXP(-Parameters!$L$11*($B29-H$8))*(1-EXP(-Parameters!$L$11))+H$15*EXP(-Parameters!$M$11*($B29-H$8))*(1-EXP(-Parameters!$M$11))+H$16*EXP(-Parameters!$N$11*($B29-H$8))*(1-EXP(-Parameters!$N$11)))</f>
        <v>25452.827316988016</v>
      </c>
      <c r="J29" s="264">
        <f>$H$5*(I$11*EXP(-Parameters!$I$11*($B29-I$8))*(1-EXP(-Parameters!$I$11))+I$12*EXP(-Parameters!$J$11*($B29-I$8))*(1-EXP(-Parameters!$J$11))+I$13*EXP(-Parameters!$K$11*($B29-I$8))*(1-EXP(-Parameters!$K$11))+I$14*EXP(-Parameters!$L$11*($B29-I$8))*(1-EXP(-Parameters!$L$11))+I$15*EXP(-Parameters!$M$11*($B29-I$8))*(1-EXP(-Parameters!$M$11))+I$16*EXP(-Parameters!$N$11*($B29-I$8))*(1-EXP(-Parameters!$N$11)))</f>
        <v>30349.387588680496</v>
      </c>
      <c r="K29" s="264">
        <f>$H$5*(J$11*EXP(-Parameters!$I$11*($B29-J$8))*(1-EXP(-Parameters!$I$11))+J$12*EXP(-Parameters!$J$11*($B29-J$8))*(1-EXP(-Parameters!$J$11))+J$13*EXP(-Parameters!$K$11*($B29-J$8))*(1-EXP(-Parameters!$K$11))+J$14*EXP(-Parameters!$L$11*($B29-J$8))*(1-EXP(-Parameters!$L$11))+J$15*EXP(-Parameters!$M$11*($B29-J$8))*(1-EXP(-Parameters!$M$11))+J$16*EXP(-Parameters!$N$11*($B29-J$8))*(1-EXP(-Parameters!$N$11)))</f>
        <v>36331.433084650285</v>
      </c>
      <c r="L29" s="259"/>
      <c r="M29" s="259"/>
      <c r="N29" s="259"/>
      <c r="O29" s="259"/>
      <c r="P29" s="259"/>
      <c r="Q29" s="259"/>
      <c r="R29" s="259"/>
      <c r="S29" s="260"/>
      <c r="T29" s="260"/>
      <c r="U29" s="260"/>
      <c r="V29" s="260"/>
      <c r="W29" s="260"/>
      <c r="X29" s="261"/>
    </row>
    <row r="30" spans="1:24">
      <c r="A30" s="262">
        <f>SUM(D30:S30)*Parameters!$C$13</f>
        <v>132604.58844518973</v>
      </c>
      <c r="B30" s="263">
        <v>9</v>
      </c>
      <c r="C30" s="263">
        <v>2024</v>
      </c>
      <c r="D30" s="264">
        <f>$H$5*(C$11*EXP(-Parameters!$I$11*($B30-C$8))*(1-EXP(-Parameters!$I$11))+C$12*EXP(-Parameters!$J$11*($B30-C$8))*(1-EXP(-Parameters!$J$11))+C$13*EXP(-Parameters!$K$11*($B30-C$8))*(1-EXP(-Parameters!$K$11))+C$14*EXP(-Parameters!$L$11*($B30-C$8))*(1-EXP(-Parameters!$L$11))+C$15*EXP(-Parameters!$M$11*($B30-C$8))*(1-EXP(-Parameters!$M$11))+C$16*EXP(-Parameters!$N$11*($B30-C$8))*(1-EXP(-Parameters!$N$11)))</f>
        <v>9968.986062789756</v>
      </c>
      <c r="E30" s="264">
        <f>$H$5*(D$11*EXP(-Parameters!$I$11*($B30-D$8))*(1-EXP(-Parameters!$I$11))+D$12*EXP(-Parameters!$J$11*($B30-D$8))*(1-EXP(-Parameters!$J$11))+D$13*EXP(-Parameters!$K$11*($B30-D$8))*(1-EXP(-Parameters!$K$11))+D$14*EXP(-Parameters!$L$11*($B30-D$8))*(1-EXP(-Parameters!$L$11))+D$15*EXP(-Parameters!$M$11*($B30-D$8))*(1-EXP(-Parameters!$M$11))+D$16*EXP(-Parameters!$N$11*($B30-D$8))*(1-EXP(-Parameters!$N$11)))</f>
        <v>11272.739826949146</v>
      </c>
      <c r="F30" s="264">
        <f>$H$5*(E$11*EXP(-Parameters!$I$11*($B30-E$8))*(1-EXP(-Parameters!$I$11))+E$12*EXP(-Parameters!$J$11*($B30-E$8))*(1-EXP(-Parameters!$J$11))+E$13*EXP(-Parameters!$K$11*($B30-E$8))*(1-EXP(-Parameters!$K$11))+E$14*EXP(-Parameters!$L$11*($B30-E$8))*(1-EXP(-Parameters!$L$11))+E$15*EXP(-Parameters!$M$11*($B30-E$8))*(1-EXP(-Parameters!$M$11))+E$16*EXP(-Parameters!$N$11*($B30-E$8))*(1-EXP(-Parameters!$N$11)))</f>
        <v>13769.090002298399</v>
      </c>
      <c r="G30" s="264">
        <f>$H$5*(F$11*EXP(-Parameters!$I$11*($B30-F$8))*(1-EXP(-Parameters!$I$11))+F$12*EXP(-Parameters!$J$11*($B30-F$8))*(1-EXP(-Parameters!$J$11))+F$13*EXP(-Parameters!$K$11*($B30-F$8))*(1-EXP(-Parameters!$K$11))+F$14*EXP(-Parameters!$L$11*($B30-F$8))*(1-EXP(-Parameters!$L$11))+F$15*EXP(-Parameters!$M$11*($B30-F$8))*(1-EXP(-Parameters!$M$11))+F$16*EXP(-Parameters!$N$11*($B30-F$8))*(1-EXP(-Parameters!$N$11)))</f>
        <v>16152.945070608936</v>
      </c>
      <c r="H30" s="264">
        <f>$H$5*(G$11*EXP(-Parameters!$I$11*($B30-G$8))*(1-EXP(-Parameters!$I$11))+G$12*EXP(-Parameters!$J$11*($B30-G$8))*(1-EXP(-Parameters!$J$11))+G$13*EXP(-Parameters!$K$11*($B30-G$8))*(1-EXP(-Parameters!$K$11))+G$14*EXP(-Parameters!$L$11*($B30-G$8))*(1-EXP(-Parameters!$L$11))+G$15*EXP(-Parameters!$M$11*($B30-G$8))*(1-EXP(-Parameters!$M$11))+G$16*EXP(-Parameters!$N$11*($B30-G$8))*(1-EXP(-Parameters!$N$11)))</f>
        <v>19026.920601875277</v>
      </c>
      <c r="I30" s="264">
        <f>$H$5*(H$11*EXP(-Parameters!$I$11*($B30-H$8))*(1-EXP(-Parameters!$I$11))+H$12*EXP(-Parameters!$J$11*($B30-H$8))*(1-EXP(-Parameters!$J$11))+H$13*EXP(-Parameters!$K$11*($B30-H$8))*(1-EXP(-Parameters!$K$11))+H$14*EXP(-Parameters!$L$11*($B30-H$8))*(1-EXP(-Parameters!$L$11))+H$15*EXP(-Parameters!$M$11*($B30-H$8))*(1-EXP(-Parameters!$M$11))+H$16*EXP(-Parameters!$N$11*($B30-H$8))*(1-EXP(-Parameters!$N$11)))</f>
        <v>22504.114395914796</v>
      </c>
      <c r="J30" s="264">
        <f>$H$5*(I$11*EXP(-Parameters!$I$11*($B30-I$8))*(1-EXP(-Parameters!$I$11))+I$12*EXP(-Parameters!$J$11*($B30-I$8))*(1-EXP(-Parameters!$J$11))+I$13*EXP(-Parameters!$K$11*($B30-I$8))*(1-EXP(-Parameters!$K$11))+I$14*EXP(-Parameters!$L$11*($B30-I$8))*(1-EXP(-Parameters!$L$11))+I$15*EXP(-Parameters!$M$11*($B30-I$8))*(1-EXP(-Parameters!$M$11))+I$16*EXP(-Parameters!$N$11*($B30-I$8))*(1-EXP(-Parameters!$N$11)))</f>
        <v>26725.468682837418</v>
      </c>
      <c r="K30" s="264">
        <f>$H$5*(J$11*EXP(-Parameters!$I$11*($B30-J$8))*(1-EXP(-Parameters!$I$11))+J$12*EXP(-Parameters!$J$11*($B30-J$8))*(1-EXP(-Parameters!$J$11))+J$13*EXP(-Parameters!$K$11*($B30-J$8))*(1-EXP(-Parameters!$K$11))+J$14*EXP(-Parameters!$L$11*($B30-J$8))*(1-EXP(-Parameters!$L$11))+J$15*EXP(-Parameters!$M$11*($B30-J$8))*(1-EXP(-Parameters!$M$11))+J$16*EXP(-Parameters!$N$11*($B30-J$8))*(1-EXP(-Parameters!$N$11)))</f>
        <v>31866.856968114524</v>
      </c>
      <c r="L30" s="264">
        <f>$H$5*(K$11*EXP(-Parameters!$I$11*($B30-K$8))*(1-EXP(-Parameters!$I$11))+K$12*EXP(-Parameters!$J$11*($B30-K$8))*(1-EXP(-Parameters!$J$11))+K$13*EXP(-Parameters!$K$11*($B30-K$8))*(1-EXP(-Parameters!$K$11))+K$14*EXP(-Parameters!$L$11*($B30-K$8))*(1-EXP(-Parameters!$L$11))+K$15*EXP(-Parameters!$M$11*($B30-K$8))*(1-EXP(-Parameters!$M$11))+K$16*EXP(-Parameters!$N$11*($B30-K$8))*(1-EXP(-Parameters!$N$11)))</f>
        <v>38148.004738882795</v>
      </c>
      <c r="M30" s="259"/>
      <c r="N30" s="259"/>
      <c r="O30" s="259"/>
      <c r="P30" s="259"/>
      <c r="Q30" s="259"/>
      <c r="R30" s="259"/>
      <c r="S30" s="260"/>
      <c r="T30" s="260"/>
      <c r="U30" s="260"/>
      <c r="V30" s="260"/>
      <c r="W30" s="260"/>
      <c r="X30" s="261"/>
    </row>
    <row r="31" spans="1:24">
      <c r="A31" s="262">
        <f>SUM(D31:S31)*Parameters!$C$13</f>
        <v>145723.46254236135</v>
      </c>
      <c r="B31" s="263">
        <v>10</v>
      </c>
      <c r="C31" s="263">
        <v>2025</v>
      </c>
      <c r="D31" s="264">
        <f>$H$5*(C$11*EXP(-Parameters!$I$11*($B31-C$8))*(1-EXP(-Parameters!$I$11))+C$12*EXP(-Parameters!$J$11*($B31-C$8))*(1-EXP(-Parameters!$J$11))+C$13*EXP(-Parameters!$K$11*($B31-C$8))*(1-EXP(-Parameters!$K$11))+C$14*EXP(-Parameters!$L$11*($B31-C$8))*(1-EXP(-Parameters!$L$11))+C$15*EXP(-Parameters!$M$11*($B31-C$8))*(1-EXP(-Parameters!$M$11))+C$16*EXP(-Parameters!$N$11*($B31-C$8))*(1-EXP(-Parameters!$N$11)))</f>
        <v>9029.0763490261688</v>
      </c>
      <c r="E31" s="264">
        <f>$H$5*(D$11*EXP(-Parameters!$I$11*($B31-D$8))*(1-EXP(-Parameters!$I$11))+D$12*EXP(-Parameters!$J$11*($B31-D$8))*(1-EXP(-Parameters!$J$11))+D$13*EXP(-Parameters!$K$11*($B31-D$8))*(1-EXP(-Parameters!$K$11))+D$14*EXP(-Parameters!$L$11*($B31-D$8))*(1-EXP(-Parameters!$L$11))+D$15*EXP(-Parameters!$M$11*($B31-D$8))*(1-EXP(-Parameters!$M$11))+D$16*EXP(-Parameters!$N$11*($B31-D$8))*(1-EXP(-Parameters!$N$11)))</f>
        <v>10170.534888311047</v>
      </c>
      <c r="F31" s="264">
        <f>$H$5*(E$11*EXP(-Parameters!$I$11*($B31-E$8))*(1-EXP(-Parameters!$I$11))+E$12*EXP(-Parameters!$J$11*($B31-E$8))*(1-EXP(-Parameters!$J$11))+E$13*EXP(-Parameters!$K$11*($B31-E$8))*(1-EXP(-Parameters!$K$11))+E$14*EXP(-Parameters!$L$11*($B31-E$8))*(1-EXP(-Parameters!$L$11))+E$15*EXP(-Parameters!$M$11*($B31-E$8))*(1-EXP(-Parameters!$M$11))+E$16*EXP(-Parameters!$N$11*($B31-E$8))*(1-EXP(-Parameters!$N$11)))</f>
        <v>12373.6933396202</v>
      </c>
      <c r="G31" s="264">
        <f>$H$5*(F$11*EXP(-Parameters!$I$11*($B31-F$8))*(1-EXP(-Parameters!$I$11))+F$12*EXP(-Parameters!$J$11*($B31-F$8))*(1-EXP(-Parameters!$J$11))+F$13*EXP(-Parameters!$K$11*($B31-F$8))*(1-EXP(-Parameters!$K$11))+F$14*EXP(-Parameters!$L$11*($B31-F$8))*(1-EXP(-Parameters!$L$11))+F$15*EXP(-Parameters!$M$11*($B31-F$8))*(1-EXP(-Parameters!$M$11))+F$16*EXP(-Parameters!$N$11*($B31-F$8))*(1-EXP(-Parameters!$N$11)))</f>
        <v>14457.544502413313</v>
      </c>
      <c r="H31" s="264">
        <f>$H$5*(G$11*EXP(-Parameters!$I$11*($B31-G$8))*(1-EXP(-Parameters!$I$11))+G$12*EXP(-Parameters!$J$11*($B31-G$8))*(1-EXP(-Parameters!$J$11))+G$13*EXP(-Parameters!$K$11*($B31-G$8))*(1-EXP(-Parameters!$K$11))+G$14*EXP(-Parameters!$L$11*($B31-G$8))*(1-EXP(-Parameters!$L$11))+G$15*EXP(-Parameters!$M$11*($B31-G$8))*(1-EXP(-Parameters!$M$11))+G$16*EXP(-Parameters!$N$11*($B31-G$8))*(1-EXP(-Parameters!$N$11)))</f>
        <v>16960.592324139383</v>
      </c>
      <c r="I31" s="264">
        <f>$H$5*(H$11*EXP(-Parameters!$I$11*($B31-H$8))*(1-EXP(-Parameters!$I$11))+H$12*EXP(-Parameters!$J$11*($B31-H$8))*(1-EXP(-Parameters!$J$11))+H$13*EXP(-Parameters!$K$11*($B31-H$8))*(1-EXP(-Parameters!$K$11))+H$14*EXP(-Parameters!$L$11*($B31-H$8))*(1-EXP(-Parameters!$L$11))+H$15*EXP(-Parameters!$M$11*($B31-H$8))*(1-EXP(-Parameters!$M$11))+H$16*EXP(-Parameters!$N$11*($B31-H$8))*(1-EXP(-Parameters!$N$11)))</f>
        <v>19978.26663196904</v>
      </c>
      <c r="J31" s="264">
        <f>$H$5*(I$11*EXP(-Parameters!$I$11*($B31-I$8))*(1-EXP(-Parameters!$I$11))+I$12*EXP(-Parameters!$J$11*($B31-I$8))*(1-EXP(-Parameters!$J$11))+I$13*EXP(-Parameters!$K$11*($B31-I$8))*(1-EXP(-Parameters!$K$11))+I$14*EXP(-Parameters!$L$11*($B31-I$8))*(1-EXP(-Parameters!$L$11))+I$15*EXP(-Parameters!$M$11*($B31-I$8))*(1-EXP(-Parameters!$M$11))+I$16*EXP(-Parameters!$N$11*($B31-I$8))*(1-EXP(-Parameters!$N$11)))</f>
        <v>23629.320115710543</v>
      </c>
      <c r="K31" s="264">
        <f>$H$5*(J$11*EXP(-Parameters!$I$11*($B31-J$8))*(1-EXP(-Parameters!$I$11))+J$12*EXP(-Parameters!$J$11*($B31-J$8))*(1-EXP(-Parameters!$J$11))+J$13*EXP(-Parameters!$K$11*($B31-J$8))*(1-EXP(-Parameters!$K$11))+J$14*EXP(-Parameters!$L$11*($B31-J$8))*(1-EXP(-Parameters!$L$11))+J$15*EXP(-Parameters!$M$11*($B31-J$8))*(1-EXP(-Parameters!$M$11))+J$16*EXP(-Parameters!$N$11*($B31-J$8))*(1-EXP(-Parameters!$N$11)))</f>
        <v>28061.742116979291</v>
      </c>
      <c r="L31" s="264">
        <f>$H$5*(K$11*EXP(-Parameters!$I$11*($B31-K$8))*(1-EXP(-Parameters!$I$11))+K$12*EXP(-Parameters!$J$11*($B31-K$8))*(1-EXP(-Parameters!$J$11))+K$13*EXP(-Parameters!$K$11*($B31-K$8))*(1-EXP(-Parameters!$K$11))+K$14*EXP(-Parameters!$L$11*($B31-K$8))*(1-EXP(-Parameters!$L$11))+K$15*EXP(-Parameters!$M$11*($B31-K$8))*(1-EXP(-Parameters!$M$11))+K$16*EXP(-Parameters!$N$11*($B31-K$8))*(1-EXP(-Parameters!$N$11)))</f>
        <v>33460.199816520253</v>
      </c>
      <c r="M31" s="264">
        <f>$H$5*(L$11*EXP(-Parameters!$I$11*($B31-L$8))*(1-EXP(-Parameters!$I$11))+L$12*EXP(-Parameters!$J$11*($B31-L$8))*(1-EXP(-Parameters!$J$11))+L$13*EXP(-Parameters!$K$11*($B31-L$8))*(1-EXP(-Parameters!$K$11))+L$14*EXP(-Parameters!$L$11*($B31-L$8))*(1-EXP(-Parameters!$L$11))+L$15*EXP(-Parameters!$M$11*($B31-L$8))*(1-EXP(-Parameters!$M$11))+L$16*EXP(-Parameters!$N$11*($B31-L$8))*(1-EXP(-Parameters!$N$11)))</f>
        <v>40055.404975826939</v>
      </c>
      <c r="N31" s="259"/>
      <c r="O31" s="259"/>
      <c r="P31" s="259"/>
      <c r="Q31" s="259"/>
      <c r="R31" s="259"/>
      <c r="S31" s="260"/>
      <c r="T31" s="260"/>
      <c r="U31" s="260"/>
      <c r="V31" s="260"/>
      <c r="W31" s="260"/>
      <c r="X31" s="261"/>
    </row>
    <row r="32" spans="1:24">
      <c r="A32" s="257">
        <f>SUM(D32:S32)*Parameters!$C$13</f>
        <v>158906.66808759386</v>
      </c>
      <c r="B32" s="258">
        <v>11</v>
      </c>
      <c r="C32" s="258">
        <v>2026</v>
      </c>
      <c r="D32" s="265">
        <f>$H$5*(C$11*EXP(-Parameters!$I$11*($B32-C$8))*(1-EXP(-Parameters!$I$11))+C$12*EXP(-Parameters!$J$11*($B32-C$8))*(1-EXP(-Parameters!$J$11))+C$13*EXP(-Parameters!$K$11*($B32-C$8))*(1-EXP(-Parameters!$K$11))+C$14*EXP(-Parameters!$L$11*($B32-C$8))*(1-EXP(-Parameters!$L$11))+C$15*EXP(-Parameters!$M$11*($B32-C$8))*(1-EXP(-Parameters!$M$11))+C$16*EXP(-Parameters!$N$11*($B32-C$8))*(1-EXP(-Parameters!$N$11)))</f>
        <v>8208.4599343280588</v>
      </c>
      <c r="E32" s="265">
        <f>$H$5*(D$11*EXP(-Parameters!$I$11*($B32-D$8))*(1-EXP(-Parameters!$I$11))+D$12*EXP(-Parameters!$J$11*($B32-D$8))*(1-EXP(-Parameters!$J$11))+D$13*EXP(-Parameters!$K$11*($B32-D$8))*(1-EXP(-Parameters!$K$11))+D$14*EXP(-Parameters!$L$11*($B32-D$8))*(1-EXP(-Parameters!$L$11))+D$15*EXP(-Parameters!$M$11*($B32-D$8))*(1-EXP(-Parameters!$M$11))+D$16*EXP(-Parameters!$N$11*($B32-D$8))*(1-EXP(-Parameters!$N$11)))</f>
        <v>9211.6224697877242</v>
      </c>
      <c r="F32" s="265">
        <f>$H$5*(E$11*EXP(-Parameters!$I$11*($B32-E$8))*(1-EXP(-Parameters!$I$11))+E$12*EXP(-Parameters!$J$11*($B32-E$8))*(1-EXP(-Parameters!$J$11))+E$13*EXP(-Parameters!$K$11*($B32-E$8))*(1-EXP(-Parameters!$K$11))+E$14*EXP(-Parameters!$L$11*($B32-E$8))*(1-EXP(-Parameters!$L$11))+E$15*EXP(-Parameters!$M$11*($B32-E$8))*(1-EXP(-Parameters!$M$11))+E$16*EXP(-Parameters!$N$11*($B32-E$8))*(1-EXP(-Parameters!$N$11)))</f>
        <v>11163.841420966119</v>
      </c>
      <c r="G32" s="265">
        <f>$H$5*(F$11*EXP(-Parameters!$I$11*($B32-F$8))*(1-EXP(-Parameters!$I$11))+F$12*EXP(-Parameters!$J$11*($B32-F$8))*(1-EXP(-Parameters!$J$11))+F$13*EXP(-Parameters!$K$11*($B32-F$8))*(1-EXP(-Parameters!$K$11))+F$14*EXP(-Parameters!$L$11*($B32-F$8))*(1-EXP(-Parameters!$L$11))+F$15*EXP(-Parameters!$M$11*($B32-F$8))*(1-EXP(-Parameters!$M$11))+F$16*EXP(-Parameters!$N$11*($B32-F$8))*(1-EXP(-Parameters!$N$11)))</f>
        <v>12992.378006601211</v>
      </c>
      <c r="H32" s="265">
        <f>$H$5*(G$11*EXP(-Parameters!$I$11*($B32-G$8))*(1-EXP(-Parameters!$I$11))+G$12*EXP(-Parameters!$J$11*($B32-G$8))*(1-EXP(-Parameters!$J$11))+G$13*EXP(-Parameters!$K$11*($B32-G$8))*(1-EXP(-Parameters!$K$11))+G$14*EXP(-Parameters!$L$11*($B32-G$8))*(1-EXP(-Parameters!$L$11))+G$15*EXP(-Parameters!$M$11*($B32-G$8))*(1-EXP(-Parameters!$M$11))+G$16*EXP(-Parameters!$N$11*($B32-G$8))*(1-EXP(-Parameters!$N$11)))</f>
        <v>15180.421727533982</v>
      </c>
      <c r="I32" s="265">
        <f>$H$5*(H$11*EXP(-Parameters!$I$11*($B32-H$8))*(1-EXP(-Parameters!$I$11))+H$12*EXP(-Parameters!$J$11*($B32-H$8))*(1-EXP(-Parameters!$J$11))+H$13*EXP(-Parameters!$K$11*($B32-H$8))*(1-EXP(-Parameters!$K$11))+H$14*EXP(-Parameters!$L$11*($B32-H$8))*(1-EXP(-Parameters!$L$11))+H$15*EXP(-Parameters!$M$11*($B32-H$8))*(1-EXP(-Parameters!$M$11))+H$16*EXP(-Parameters!$N$11*($B32-H$8))*(1-EXP(-Parameters!$N$11)))</f>
        <v>17808.621940346351</v>
      </c>
      <c r="J32" s="265">
        <f>$H$5*(I$11*EXP(-Parameters!$I$11*($B32-I$8))*(1-EXP(-Parameters!$I$11))+I$12*EXP(-Parameters!$J$11*($B32-I$8))*(1-EXP(-Parameters!$J$11))+I$13*EXP(-Parameters!$K$11*($B32-I$8))*(1-EXP(-Parameters!$K$11))+I$14*EXP(-Parameters!$L$11*($B32-I$8))*(1-EXP(-Parameters!$L$11))+I$15*EXP(-Parameters!$M$11*($B32-I$8))*(1-EXP(-Parameters!$M$11))+I$16*EXP(-Parameters!$N$11*($B32-I$8))*(1-EXP(-Parameters!$N$11)))</f>
        <v>20977.179963567498</v>
      </c>
      <c r="K32" s="265">
        <f>$H$5*(J$11*EXP(-Parameters!$I$11*($B32-J$8))*(1-EXP(-Parameters!$I$11))+J$12*EXP(-Parameters!$J$11*($B32-J$8))*(1-EXP(-Parameters!$J$11))+J$13*EXP(-Parameters!$K$11*($B32-J$8))*(1-EXP(-Parameters!$K$11))+J$14*EXP(-Parameters!$L$11*($B32-J$8))*(1-EXP(-Parameters!$L$11))+J$15*EXP(-Parameters!$M$11*($B32-J$8))*(1-EXP(-Parameters!$M$11))+J$16*EXP(-Parameters!$N$11*($B32-J$8))*(1-EXP(-Parameters!$N$11)))</f>
        <v>24810.786121496069</v>
      </c>
      <c r="L32" s="265">
        <f>$H$5*(K$11*EXP(-Parameters!$I$11*($B32-K$8))*(1-EXP(-Parameters!$I$11))+K$12*EXP(-Parameters!$J$11*($B32-K$8))*(1-EXP(-Parameters!$J$11))+K$13*EXP(-Parameters!$K$11*($B32-K$8))*(1-EXP(-Parameters!$K$11))+K$14*EXP(-Parameters!$L$11*($B32-K$8))*(1-EXP(-Parameters!$L$11))+K$15*EXP(-Parameters!$M$11*($B32-K$8))*(1-EXP(-Parameters!$M$11))+K$16*EXP(-Parameters!$N$11*($B32-K$8))*(1-EXP(-Parameters!$N$11)))</f>
        <v>29464.829222828248</v>
      </c>
      <c r="M32" s="265">
        <f>$H$5*(L$11*EXP(-Parameters!$I$11*($B32-L$8))*(1-EXP(-Parameters!$I$11))+L$12*EXP(-Parameters!$J$11*($B32-L$8))*(1-EXP(-Parameters!$J$11))+L$13*EXP(-Parameters!$K$11*($B32-L$8))*(1-EXP(-Parameters!$K$11))+L$14*EXP(-Parameters!$L$11*($B32-L$8))*(1-EXP(-Parameters!$L$11))+L$15*EXP(-Parameters!$M$11*($B32-L$8))*(1-EXP(-Parameters!$M$11))+L$16*EXP(-Parameters!$N$11*($B32-L$8))*(1-EXP(-Parameters!$N$11)))</f>
        <v>35133.209807346262</v>
      </c>
      <c r="N32" s="265">
        <f>$H$5*(M$11*EXP(-Parameters!$I$11*($B32-M$8))*(1-EXP(-Parameters!$I$11))+M$12*EXP(-Parameters!$J$11*($B32-M$8))*(1-EXP(-Parameters!$J$11))+M$13*EXP(-Parameters!$K$11*($B32-M$8))*(1-EXP(-Parameters!$K$11))+M$14*EXP(-Parameters!$L$11*($B32-M$8))*(1-EXP(-Parameters!$L$11))+M$15*EXP(-Parameters!$M$11*($B32-M$8))*(1-EXP(-Parameters!$M$11))+M$16*EXP(-Parameters!$N$11*($B32-M$8))*(1-EXP(-Parameters!$N$11)))</f>
        <v>42058.175224618295</v>
      </c>
      <c r="O32" s="259"/>
      <c r="P32" s="259"/>
      <c r="Q32" s="259"/>
      <c r="R32" s="259"/>
      <c r="S32" s="260"/>
      <c r="T32" s="260"/>
      <c r="U32" s="260"/>
      <c r="V32" s="260"/>
      <c r="W32" s="260"/>
      <c r="X32" s="261"/>
    </row>
    <row r="33" spans="1:24">
      <c r="A33" s="257">
        <f>SUM(D33:S33)*Parameters!$C$13</f>
        <v>172230.78901560782</v>
      </c>
      <c r="B33" s="258">
        <v>12</v>
      </c>
      <c r="C33" s="258">
        <v>2027</v>
      </c>
      <c r="D33" s="265">
        <f>$H$5*(C$11*EXP(-Parameters!$I$11*($B33-C$8))*(1-EXP(-Parameters!$I$11))+C$12*EXP(-Parameters!$J$11*($B33-C$8))*(1-EXP(-Parameters!$J$11))+C$13*EXP(-Parameters!$K$11*($B33-C$8))*(1-EXP(-Parameters!$K$11))+C$14*EXP(-Parameters!$L$11*($B33-C$8))*(1-EXP(-Parameters!$L$11))+C$15*EXP(-Parameters!$M$11*($B33-C$8))*(1-EXP(-Parameters!$M$11))+C$16*EXP(-Parameters!$N$11*($B33-C$8))*(1-EXP(-Parameters!$N$11)))</f>
        <v>7489.3768242557435</v>
      </c>
      <c r="E33" s="265">
        <f>$H$5*(D$11*EXP(-Parameters!$I$11*($B33-D$8))*(1-EXP(-Parameters!$I$11))+D$12*EXP(-Parameters!$J$11*($B33-D$8))*(1-EXP(-Parameters!$J$11))+D$13*EXP(-Parameters!$K$11*($B33-D$8))*(1-EXP(-Parameters!$K$11))+D$14*EXP(-Parameters!$L$11*($B33-D$8))*(1-EXP(-Parameters!$L$11))+D$15*EXP(-Parameters!$M$11*($B33-D$8))*(1-EXP(-Parameters!$M$11))+D$16*EXP(-Parameters!$N$11*($B33-D$8))*(1-EXP(-Parameters!$N$11)))</f>
        <v>8374.4151727727822</v>
      </c>
      <c r="F33" s="265">
        <f>$H$5*(E$11*EXP(-Parameters!$I$11*($B33-E$8))*(1-EXP(-Parameters!$I$11))+E$12*EXP(-Parameters!$J$11*($B33-E$8))*(1-EXP(-Parameters!$J$11))+E$13*EXP(-Parameters!$K$11*($B33-E$8))*(1-EXP(-Parameters!$K$11))+E$14*EXP(-Parameters!$L$11*($B33-E$8))*(1-EXP(-Parameters!$L$11))+E$15*EXP(-Parameters!$M$11*($B33-E$8))*(1-EXP(-Parameters!$M$11))+E$16*EXP(-Parameters!$N$11*($B33-E$8))*(1-EXP(-Parameters!$N$11)))</f>
        <v>10111.276703913443</v>
      </c>
      <c r="G33" s="265">
        <f>$H$5*(F$11*EXP(-Parameters!$I$11*($B33-F$8))*(1-EXP(-Parameters!$I$11))+F$12*EXP(-Parameters!$J$11*($B33-F$8))*(1-EXP(-Parameters!$J$11))+F$13*EXP(-Parameters!$K$11*($B33-F$8))*(1-EXP(-Parameters!$K$11))+F$14*EXP(-Parameters!$L$11*($B33-F$8))*(1-EXP(-Parameters!$L$11))+F$15*EXP(-Parameters!$M$11*($B33-F$8))*(1-EXP(-Parameters!$M$11))+F$16*EXP(-Parameters!$N$11*($B33-F$8))*(1-EXP(-Parameters!$N$11)))</f>
        <v>11722.033492014425</v>
      </c>
      <c r="H33" s="265">
        <f>$H$5*(G$11*EXP(-Parameters!$I$11*($B33-G$8))*(1-EXP(-Parameters!$I$11))+G$12*EXP(-Parameters!$J$11*($B33-G$8))*(1-EXP(-Parameters!$J$11))+G$13*EXP(-Parameters!$K$11*($B33-G$8))*(1-EXP(-Parameters!$K$11))+G$14*EXP(-Parameters!$L$11*($B33-G$8))*(1-EXP(-Parameters!$L$11))+G$15*EXP(-Parameters!$M$11*($B33-G$8))*(1-EXP(-Parameters!$M$11))+G$16*EXP(-Parameters!$N$11*($B33-G$8))*(1-EXP(-Parameters!$N$11)))</f>
        <v>13641.996906931274</v>
      </c>
      <c r="I33" s="265">
        <f>$H$5*(H$11*EXP(-Parameters!$I$11*($B33-H$8))*(1-EXP(-Parameters!$I$11))+H$12*EXP(-Parameters!$J$11*($B33-H$8))*(1-EXP(-Parameters!$J$11))+H$13*EXP(-Parameters!$K$11*($B33-H$8))*(1-EXP(-Parameters!$K$11))+H$14*EXP(-Parameters!$L$11*($B33-H$8))*(1-EXP(-Parameters!$L$11))+H$15*EXP(-Parameters!$M$11*($B33-H$8))*(1-EXP(-Parameters!$M$11))+H$16*EXP(-Parameters!$N$11*($B33-H$8))*(1-EXP(-Parameters!$N$11)))</f>
        <v>15939.442813910682</v>
      </c>
      <c r="J33" s="265">
        <f>$H$5*(I$11*EXP(-Parameters!$I$11*($B33-I$8))*(1-EXP(-Parameters!$I$11))+I$12*EXP(-Parameters!$J$11*($B33-I$8))*(1-EXP(-Parameters!$J$11))+I$13*EXP(-Parameters!$K$11*($B33-I$8))*(1-EXP(-Parameters!$K$11))+I$14*EXP(-Parameters!$L$11*($B33-I$8))*(1-EXP(-Parameters!$L$11))+I$15*EXP(-Parameters!$M$11*($B33-I$8))*(1-EXP(-Parameters!$M$11))+I$16*EXP(-Parameters!$N$11*($B33-I$8))*(1-EXP(-Parameters!$N$11)))</f>
        <v>18699.053037363672</v>
      </c>
      <c r="K33" s="265">
        <f>$H$5*(J$11*EXP(-Parameters!$I$11*($B33-J$8))*(1-EXP(-Parameters!$I$11))+J$12*EXP(-Parameters!$J$11*($B33-J$8))*(1-EXP(-Parameters!$J$11))+J$13*EXP(-Parameters!$K$11*($B33-J$8))*(1-EXP(-Parameters!$K$11))+J$14*EXP(-Parameters!$L$11*($B33-J$8))*(1-EXP(-Parameters!$L$11))+J$15*EXP(-Parameters!$M$11*($B33-J$8))*(1-EXP(-Parameters!$M$11))+J$16*EXP(-Parameters!$N$11*($B33-J$8))*(1-EXP(-Parameters!$N$11)))</f>
        <v>22026.038961745871</v>
      </c>
      <c r="L33" s="265">
        <f>$H$5*(K$11*EXP(-Parameters!$I$11*($B33-K$8))*(1-EXP(-Parameters!$I$11))+K$12*EXP(-Parameters!$J$11*($B33-K$8))*(1-EXP(-Parameters!$J$11))+K$13*EXP(-Parameters!$K$11*($B33-K$8))*(1-EXP(-Parameters!$K$11))+K$14*EXP(-Parameters!$L$11*($B33-K$8))*(1-EXP(-Parameters!$L$11))+K$15*EXP(-Parameters!$M$11*($B33-K$8))*(1-EXP(-Parameters!$M$11))+K$16*EXP(-Parameters!$N$11*($B33-K$8))*(1-EXP(-Parameters!$N$11)))</f>
        <v>26051.325427570864</v>
      </c>
      <c r="M33" s="265">
        <f>$H$5*(L$11*EXP(-Parameters!$I$11*($B33-L$8))*(1-EXP(-Parameters!$I$11))+L$12*EXP(-Parameters!$J$11*($B33-L$8))*(1-EXP(-Parameters!$J$11))+L$13*EXP(-Parameters!$K$11*($B33-L$8))*(1-EXP(-Parameters!$K$11))+L$14*EXP(-Parameters!$L$11*($B33-L$8))*(1-EXP(-Parameters!$L$11))+L$15*EXP(-Parameters!$M$11*($B33-L$8))*(1-EXP(-Parameters!$M$11))+L$16*EXP(-Parameters!$N$11*($B33-L$8))*(1-EXP(-Parameters!$N$11)))</f>
        <v>30938.070683969665</v>
      </c>
      <c r="N33" s="265">
        <f>$H$5*(M$11*EXP(-Parameters!$I$11*($B33-M$8))*(1-EXP(-Parameters!$I$11))+M$12*EXP(-Parameters!$J$11*($B33-M$8))*(1-EXP(-Parameters!$J$11))+M$13*EXP(-Parameters!$K$11*($B33-M$8))*(1-EXP(-Parameters!$K$11))+M$14*EXP(-Parameters!$L$11*($B33-M$8))*(1-EXP(-Parameters!$L$11))+M$15*EXP(-Parameters!$M$11*($B33-M$8))*(1-EXP(-Parameters!$M$11))+M$16*EXP(-Parameters!$N$11*($B33-M$8))*(1-EXP(-Parameters!$N$11)))</f>
        <v>36889.870297713576</v>
      </c>
      <c r="O33" s="265">
        <f>$H$5*(N$11*EXP(-Parameters!$I$11*($B33-N$8))*(1-EXP(-Parameters!$I$11))+N$12*EXP(-Parameters!$J$11*($B33-N$8))*(1-EXP(-Parameters!$J$11))+N$13*EXP(-Parameters!$K$11*($B33-N$8))*(1-EXP(-Parameters!$K$11))+N$14*EXP(-Parameters!$L$11*($B33-N$8))*(1-EXP(-Parameters!$L$11))+N$15*EXP(-Parameters!$M$11*($B33-N$8))*(1-EXP(-Parameters!$M$11))+N$16*EXP(-Parameters!$N$11*($B33-N$8))*(1-EXP(-Parameters!$N$11)))</f>
        <v>44161.083985849204</v>
      </c>
      <c r="P33" s="259"/>
      <c r="Q33" s="259"/>
      <c r="R33" s="259"/>
      <c r="S33" s="260"/>
      <c r="T33" s="260"/>
      <c r="U33" s="260"/>
      <c r="V33" s="260"/>
      <c r="W33" s="260"/>
      <c r="X33" s="261"/>
    </row>
    <row r="34" spans="1:24">
      <c r="A34" s="257">
        <f>SUM(D34:S34)*Parameters!$C$13</f>
        <v>185765.44329026181</v>
      </c>
      <c r="B34" s="258">
        <v>13</v>
      </c>
      <c r="C34" s="258">
        <v>2028</v>
      </c>
      <c r="D34" s="265">
        <f>$H$5*(C$11*EXP(-Parameters!$I$11*($B34-C$8))*(1-EXP(-Parameters!$I$11))+C$12*EXP(-Parameters!$J$11*($B34-C$8))*(1-EXP(-Parameters!$J$11))+C$13*EXP(-Parameters!$K$11*($B34-C$8))*(1-EXP(-Parameters!$K$11))+C$14*EXP(-Parameters!$L$11*($B34-C$8))*(1-EXP(-Parameters!$L$11))+C$15*EXP(-Parameters!$M$11*($B34-C$8))*(1-EXP(-Parameters!$M$11))+C$16*EXP(-Parameters!$N$11*($B34-C$8))*(1-EXP(-Parameters!$N$11)))</f>
        <v>6856.9053812841858</v>
      </c>
      <c r="E34" s="265">
        <f>$H$5*(D$11*EXP(-Parameters!$I$11*($B34-D$8))*(1-EXP(-Parameters!$I$11))+D$12*EXP(-Parameters!$J$11*($B34-D$8))*(1-EXP(-Parameters!$J$11))+D$13*EXP(-Parameters!$K$11*($B34-D$8))*(1-EXP(-Parameters!$K$11))+D$14*EXP(-Parameters!$L$11*($B34-D$8))*(1-EXP(-Parameters!$L$11))+D$15*EXP(-Parameters!$M$11*($B34-D$8))*(1-EXP(-Parameters!$M$11))+D$16*EXP(-Parameters!$N$11*($B34-D$8))*(1-EXP(-Parameters!$N$11)))</f>
        <v>7640.7939386250164</v>
      </c>
      <c r="F34" s="265">
        <f>$H$5*(E$11*EXP(-Parameters!$I$11*($B34-E$8))*(1-EXP(-Parameters!$I$11))+E$12*EXP(-Parameters!$J$11*($B34-E$8))*(1-EXP(-Parameters!$J$11))+E$13*EXP(-Parameters!$K$11*($B34-E$8))*(1-EXP(-Parameters!$K$11))+E$14*EXP(-Parameters!$L$11*($B34-E$8))*(1-EXP(-Parameters!$L$11))+E$15*EXP(-Parameters!$M$11*($B34-E$8))*(1-EXP(-Parameters!$M$11))+E$16*EXP(-Parameters!$N$11*($B34-E$8))*(1-EXP(-Parameters!$N$11)))</f>
        <v>9192.3034539330201</v>
      </c>
      <c r="G34" s="265">
        <f>$H$5*(F$11*EXP(-Parameters!$I$11*($B34-F$8))*(1-EXP(-Parameters!$I$11))+F$12*EXP(-Parameters!$J$11*($B34-F$8))*(1-EXP(-Parameters!$J$11))+F$13*EXP(-Parameters!$K$11*($B34-F$8))*(1-EXP(-Parameters!$K$11))+F$14*EXP(-Parameters!$L$11*($B34-F$8))*(1-EXP(-Parameters!$L$11))+F$15*EXP(-Parameters!$M$11*($B34-F$8))*(1-EXP(-Parameters!$M$11))+F$16*EXP(-Parameters!$N$11*($B34-F$8))*(1-EXP(-Parameters!$N$11)))</f>
        <v>10616.840539109115</v>
      </c>
      <c r="H34" s="265">
        <f>$H$5*(G$11*EXP(-Parameters!$I$11*($B34-G$8))*(1-EXP(-Parameters!$I$11))+G$12*EXP(-Parameters!$J$11*($B34-G$8))*(1-EXP(-Parameters!$J$11))+G$13*EXP(-Parameters!$K$11*($B34-G$8))*(1-EXP(-Parameters!$K$11))+G$14*EXP(-Parameters!$L$11*($B34-G$8))*(1-EXP(-Parameters!$L$11))+G$15*EXP(-Parameters!$M$11*($B34-G$8))*(1-EXP(-Parameters!$M$11))+G$16*EXP(-Parameters!$N$11*($B34-G$8))*(1-EXP(-Parameters!$N$11)))</f>
        <v>12308.135166615148</v>
      </c>
      <c r="I34" s="265">
        <f>$H$5*(H$11*EXP(-Parameters!$I$11*($B34-H$8))*(1-EXP(-Parameters!$I$11))+H$12*EXP(-Parameters!$J$11*($B34-H$8))*(1-EXP(-Parameters!$J$11))+H$13*EXP(-Parameters!$K$11*($B34-H$8))*(1-EXP(-Parameters!$K$11))+H$14*EXP(-Parameters!$L$11*($B34-H$8))*(1-EXP(-Parameters!$L$11))+H$15*EXP(-Parameters!$M$11*($B34-H$8))*(1-EXP(-Parameters!$M$11))+H$16*EXP(-Parameters!$N$11*($B34-H$8))*(1-EXP(-Parameters!$N$11)))</f>
        <v>14324.096752277839</v>
      </c>
      <c r="J34" s="265">
        <f>$H$5*(I$11*EXP(-Parameters!$I$11*($B34-I$8))*(1-EXP(-Parameters!$I$11))+I$12*EXP(-Parameters!$J$11*($B34-I$8))*(1-EXP(-Parameters!$J$11))+I$13*EXP(-Parameters!$K$11*($B34-I$8))*(1-EXP(-Parameters!$K$11))+I$14*EXP(-Parameters!$L$11*($B34-I$8))*(1-EXP(-Parameters!$L$11))+I$15*EXP(-Parameters!$M$11*($B34-I$8))*(1-EXP(-Parameters!$M$11))+I$16*EXP(-Parameters!$N$11*($B34-I$8))*(1-EXP(-Parameters!$N$11)))</f>
        <v>16736.414954606218</v>
      </c>
      <c r="K34" s="265">
        <f>$H$5*(J$11*EXP(-Parameters!$I$11*($B34-J$8))*(1-EXP(-Parameters!$I$11))+J$12*EXP(-Parameters!$J$11*($B34-J$8))*(1-EXP(-Parameters!$J$11))+J$13*EXP(-Parameters!$K$11*($B34-J$8))*(1-EXP(-Parameters!$K$11))+J$14*EXP(-Parameters!$L$11*($B34-J$8))*(1-EXP(-Parameters!$L$11))+J$15*EXP(-Parameters!$M$11*($B34-J$8))*(1-EXP(-Parameters!$M$11))+J$16*EXP(-Parameters!$N$11*($B34-J$8))*(1-EXP(-Parameters!$N$11)))</f>
        <v>19634.005689231853</v>
      </c>
      <c r="L34" s="265">
        <f>$H$5*(K$11*EXP(-Parameters!$I$11*($B34-K$8))*(1-EXP(-Parameters!$I$11))+K$12*EXP(-Parameters!$J$11*($B34-K$8))*(1-EXP(-Parameters!$J$11))+K$13*EXP(-Parameters!$K$11*($B34-K$8))*(1-EXP(-Parameters!$K$11))+K$14*EXP(-Parameters!$L$11*($B34-K$8))*(1-EXP(-Parameters!$L$11))+K$15*EXP(-Parameters!$M$11*($B34-K$8))*(1-EXP(-Parameters!$M$11))+K$16*EXP(-Parameters!$N$11*($B34-K$8))*(1-EXP(-Parameters!$N$11)))</f>
        <v>23127.340909833165</v>
      </c>
      <c r="M34" s="265">
        <f>$H$5*(L$11*EXP(-Parameters!$I$11*($B34-L$8))*(1-EXP(-Parameters!$I$11))+L$12*EXP(-Parameters!$J$11*($B34-L$8))*(1-EXP(-Parameters!$J$11))+L$13*EXP(-Parameters!$K$11*($B34-L$8))*(1-EXP(-Parameters!$K$11))+L$14*EXP(-Parameters!$L$11*($B34-L$8))*(1-EXP(-Parameters!$L$11))+L$15*EXP(-Parameters!$M$11*($B34-L$8))*(1-EXP(-Parameters!$M$11))+L$16*EXP(-Parameters!$N$11*($B34-L$8))*(1-EXP(-Parameters!$N$11)))</f>
        <v>27353.89169894941</v>
      </c>
      <c r="N34" s="265">
        <f>$H$5*(M$11*EXP(-Parameters!$I$11*($B34-M$8))*(1-EXP(-Parameters!$I$11))+M$12*EXP(-Parameters!$J$11*($B34-M$8))*(1-EXP(-Parameters!$J$11))+M$13*EXP(-Parameters!$K$11*($B34-M$8))*(1-EXP(-Parameters!$K$11))+M$14*EXP(-Parameters!$L$11*($B34-M$8))*(1-EXP(-Parameters!$L$11))+M$15*EXP(-Parameters!$M$11*($B34-M$8))*(1-EXP(-Parameters!$M$11))+M$16*EXP(-Parameters!$N$11*($B34-M$8))*(1-EXP(-Parameters!$N$11)))</f>
        <v>32484.974218168158</v>
      </c>
      <c r="O34" s="265">
        <f>$H$5*(N$11*EXP(-Parameters!$I$11*($B34-N$8))*(1-EXP(-Parameters!$I$11))+N$12*EXP(-Parameters!$J$11*($B34-N$8))*(1-EXP(-Parameters!$J$11))+N$13*EXP(-Parameters!$K$11*($B34-N$8))*(1-EXP(-Parameters!$K$11))+N$14*EXP(-Parameters!$L$11*($B34-N$8))*(1-EXP(-Parameters!$L$11))+N$15*EXP(-Parameters!$M$11*($B34-N$8))*(1-EXP(-Parameters!$M$11))+N$16*EXP(-Parameters!$N$11*($B34-N$8))*(1-EXP(-Parameters!$N$11)))</f>
        <v>38734.363812599258</v>
      </c>
      <c r="P34" s="265">
        <f>$H$5*(O$11*EXP(-Parameters!$I$11*($B34-O$8))*(1-EXP(-Parameters!$I$11))+O$12*EXP(-Parameters!$J$11*($B34-O$8))*(1-EXP(-Parameters!$J$11))+O$13*EXP(-Parameters!$K$11*($B34-O$8))*(1-EXP(-Parameters!$K$11))+O$14*EXP(-Parameters!$L$11*($B34-O$8))*(1-EXP(-Parameters!$L$11))+O$15*EXP(-Parameters!$M$11*($B34-O$8))*(1-EXP(-Parameters!$M$11))+O$16*EXP(-Parameters!$N$11*($B34-O$8))*(1-EXP(-Parameters!$N$11)))</f>
        <v>46369.138185141659</v>
      </c>
      <c r="Q34" s="259"/>
      <c r="R34" s="259"/>
      <c r="S34" s="260"/>
      <c r="T34" s="260"/>
      <c r="U34" s="260"/>
      <c r="V34" s="260"/>
      <c r="W34" s="260"/>
      <c r="X34" s="261"/>
    </row>
    <row r="35" spans="1:24">
      <c r="A35" s="257">
        <f>SUM(D35:S35)*Parameters!$C$13</f>
        <v>199574.65076395427</v>
      </c>
      <c r="B35" s="258">
        <v>14</v>
      </c>
      <c r="C35" s="258">
        <v>2029</v>
      </c>
      <c r="D35" s="265">
        <f>$H$5*(C$11*EXP(-Parameters!$I$11*($B35-C$8))*(1-EXP(-Parameters!$I$11))+C$12*EXP(-Parameters!$J$11*($B35-C$8))*(1-EXP(-Parameters!$J$11))+C$13*EXP(-Parameters!$K$11*($B35-C$8))*(1-EXP(-Parameters!$K$11))+C$14*EXP(-Parameters!$L$11*($B35-C$8))*(1-EXP(-Parameters!$L$11))+C$15*EXP(-Parameters!$M$11*($B35-C$8))*(1-EXP(-Parameters!$M$11))+C$16*EXP(-Parameters!$N$11*($B35-C$8))*(1-EXP(-Parameters!$N$11)))</f>
        <v>6298.4948363698395</v>
      </c>
      <c r="E35" s="265">
        <f>$H$5*(D$11*EXP(-Parameters!$I$11*($B35-D$8))*(1-EXP(-Parameters!$I$11))+D$12*EXP(-Parameters!$J$11*($B35-D$8))*(1-EXP(-Parameters!$J$11))+D$13*EXP(-Parameters!$K$11*($B35-D$8))*(1-EXP(-Parameters!$K$11))+D$14*EXP(-Parameters!$L$11*($B35-D$8))*(1-EXP(-Parameters!$L$11))+D$15*EXP(-Parameters!$M$11*($B35-D$8))*(1-EXP(-Parameters!$M$11))+D$16*EXP(-Parameters!$N$11*($B35-D$8))*(1-EXP(-Parameters!$N$11)))</f>
        <v>6995.535450340748</v>
      </c>
      <c r="F35" s="265">
        <f>$H$5*(E$11*EXP(-Parameters!$I$11*($B35-E$8))*(1-EXP(-Parameters!$I$11))+E$12*EXP(-Parameters!$J$11*($B35-E$8))*(1-EXP(-Parameters!$J$11))+E$13*EXP(-Parameters!$K$11*($B35-E$8))*(1-EXP(-Parameters!$K$11))+E$14*EXP(-Parameters!$L$11*($B35-E$8))*(1-EXP(-Parameters!$L$11))+E$15*EXP(-Parameters!$M$11*($B35-E$8))*(1-EXP(-Parameters!$M$11))+E$16*EXP(-Parameters!$N$11*($B35-E$8))*(1-EXP(-Parameters!$N$11)))</f>
        <v>8387.0330123073891</v>
      </c>
      <c r="G35" s="265">
        <f>$H$5*(F$11*EXP(-Parameters!$I$11*($B35-F$8))*(1-EXP(-Parameters!$I$11))+F$12*EXP(-Parameters!$J$11*($B35-F$8))*(1-EXP(-Parameters!$J$11))+F$13*EXP(-Parameters!$K$11*($B35-F$8))*(1-EXP(-Parameters!$K$11))+F$14*EXP(-Parameters!$L$11*($B35-F$8))*(1-EXP(-Parameters!$L$11))+F$15*EXP(-Parameters!$M$11*($B35-F$8))*(1-EXP(-Parameters!$M$11))+F$16*EXP(-Parameters!$N$11*($B35-F$8))*(1-EXP(-Parameters!$N$11)))</f>
        <v>9651.9186266296711</v>
      </c>
      <c r="H35" s="265">
        <f>$H$5*(G$11*EXP(-Parameters!$I$11*($B35-G$8))*(1-EXP(-Parameters!$I$11))+G$12*EXP(-Parameters!$J$11*($B35-G$8))*(1-EXP(-Parameters!$J$11))+G$13*EXP(-Parameters!$K$11*($B35-G$8))*(1-EXP(-Parameters!$K$11))+G$14*EXP(-Parameters!$L$11*($B35-G$8))*(1-EXP(-Parameters!$L$11))+G$15*EXP(-Parameters!$M$11*($B35-G$8))*(1-EXP(-Parameters!$M$11))+G$16*EXP(-Parameters!$N$11*($B35-G$8))*(1-EXP(-Parameters!$N$11)))</f>
        <v>11147.682566064572</v>
      </c>
      <c r="I35" s="265">
        <f>$H$5*(H$11*EXP(-Parameters!$I$11*($B35-H$8))*(1-EXP(-Parameters!$I$11))+H$12*EXP(-Parameters!$J$11*($B35-H$8))*(1-EXP(-Parameters!$J$11))+H$13*EXP(-Parameters!$K$11*($B35-H$8))*(1-EXP(-Parameters!$K$11))+H$14*EXP(-Parameters!$L$11*($B35-H$8))*(1-EXP(-Parameters!$L$11))+H$15*EXP(-Parameters!$M$11*($B35-H$8))*(1-EXP(-Parameters!$M$11))+H$16*EXP(-Parameters!$N$11*($B35-H$8))*(1-EXP(-Parameters!$N$11)))</f>
        <v>12923.541924945905</v>
      </c>
      <c r="J35" s="265">
        <f>$H$5*(I$11*EXP(-Parameters!$I$11*($B35-I$8))*(1-EXP(-Parameters!$I$11))+I$12*EXP(-Parameters!$J$11*($B35-I$8))*(1-EXP(-Parameters!$J$11))+I$13*EXP(-Parameters!$K$11*($B35-I$8))*(1-EXP(-Parameters!$K$11))+I$14*EXP(-Parameters!$L$11*($B35-I$8))*(1-EXP(-Parameters!$L$11))+I$15*EXP(-Parameters!$M$11*($B35-I$8))*(1-EXP(-Parameters!$M$11))+I$16*EXP(-Parameters!$N$11*($B35-I$8))*(1-EXP(-Parameters!$N$11)))</f>
        <v>15040.301589891733</v>
      </c>
      <c r="K35" s="265">
        <f>$H$5*(J$11*EXP(-Parameters!$I$11*($B35-J$8))*(1-EXP(-Parameters!$I$11))+J$12*EXP(-Parameters!$J$11*($B35-J$8))*(1-EXP(-Parameters!$J$11))+J$13*EXP(-Parameters!$K$11*($B35-J$8))*(1-EXP(-Parameters!$K$11))+J$14*EXP(-Parameters!$L$11*($B35-J$8))*(1-EXP(-Parameters!$L$11))+J$15*EXP(-Parameters!$M$11*($B35-J$8))*(1-EXP(-Parameters!$M$11))+J$16*EXP(-Parameters!$N$11*($B35-J$8))*(1-EXP(-Parameters!$N$11)))</f>
        <v>17573.235702336529</v>
      </c>
      <c r="L35" s="265">
        <f>$H$5*(K$11*EXP(-Parameters!$I$11*($B35-K$8))*(1-EXP(-Parameters!$I$11))+K$12*EXP(-Parameters!$J$11*($B35-K$8))*(1-EXP(-Parameters!$J$11))+K$13*EXP(-Parameters!$K$11*($B35-K$8))*(1-EXP(-Parameters!$K$11))+K$14*EXP(-Parameters!$L$11*($B35-K$8))*(1-EXP(-Parameters!$L$11))+K$15*EXP(-Parameters!$M$11*($B35-K$8))*(1-EXP(-Parameters!$M$11))+K$16*EXP(-Parameters!$N$11*($B35-K$8))*(1-EXP(-Parameters!$N$11)))</f>
        <v>20615.705973693446</v>
      </c>
      <c r="M35" s="265">
        <f>$H$5*(L$11*EXP(-Parameters!$I$11*($B35-L$8))*(1-EXP(-Parameters!$I$11))+L$12*EXP(-Parameters!$J$11*($B35-L$8))*(1-EXP(-Parameters!$J$11))+L$13*EXP(-Parameters!$K$11*($B35-L$8))*(1-EXP(-Parameters!$K$11))+L$14*EXP(-Parameters!$L$11*($B35-L$8))*(1-EXP(-Parameters!$L$11))+L$15*EXP(-Parameters!$M$11*($B35-L$8))*(1-EXP(-Parameters!$M$11))+L$16*EXP(-Parameters!$N$11*($B35-L$8))*(1-EXP(-Parameters!$N$11)))</f>
        <v>24283.707955324826</v>
      </c>
      <c r="N35" s="265">
        <f>$H$5*(M$11*EXP(-Parameters!$I$11*($B35-M$8))*(1-EXP(-Parameters!$I$11))+M$12*EXP(-Parameters!$J$11*($B35-M$8))*(1-EXP(-Parameters!$J$11))+M$13*EXP(-Parameters!$K$11*($B35-M$8))*(1-EXP(-Parameters!$K$11))+M$14*EXP(-Parameters!$L$11*($B35-M$8))*(1-EXP(-Parameters!$L$11))+M$15*EXP(-Parameters!$M$11*($B35-M$8))*(1-EXP(-Parameters!$M$11))+M$16*EXP(-Parameters!$N$11*($B35-M$8))*(1-EXP(-Parameters!$N$11)))</f>
        <v>28721.586283896886</v>
      </c>
      <c r="O35" s="265">
        <f>$H$5*(N$11*EXP(-Parameters!$I$11*($B35-N$8))*(1-EXP(-Parameters!$I$11))+N$12*EXP(-Parameters!$J$11*($B35-N$8))*(1-EXP(-Parameters!$J$11))+N$13*EXP(-Parameters!$K$11*($B35-N$8))*(1-EXP(-Parameters!$K$11))+N$14*EXP(-Parameters!$L$11*($B35-N$8))*(1-EXP(-Parameters!$L$11))+N$15*EXP(-Parameters!$M$11*($B35-N$8))*(1-EXP(-Parameters!$M$11))+N$16*EXP(-Parameters!$N$11*($B35-N$8))*(1-EXP(-Parameters!$N$11)))</f>
        <v>34109.222929076561</v>
      </c>
      <c r="P35" s="265">
        <f>$H$5*(O$11*EXP(-Parameters!$I$11*($B35-O$8))*(1-EXP(-Parameters!$I$11))+O$12*EXP(-Parameters!$J$11*($B35-O$8))*(1-EXP(-Parameters!$J$11))+O$13*EXP(-Parameters!$K$11*($B35-O$8))*(1-EXP(-Parameters!$K$11))+O$14*EXP(-Parameters!$L$11*($B35-O$8))*(1-EXP(-Parameters!$L$11))+O$15*EXP(-Parameters!$M$11*($B35-O$8))*(1-EXP(-Parameters!$M$11))+O$16*EXP(-Parameters!$N$11*($B35-O$8))*(1-EXP(-Parameters!$N$11)))</f>
        <v>40671.082003229225</v>
      </c>
      <c r="Q35" s="265">
        <f>$H$5*(P$11*EXP(-Parameters!$I$11*($B35-P$8))*(1-EXP(-Parameters!$I$11))+P$12*EXP(-Parameters!$J$11*($B35-P$8))*(1-EXP(-Parameters!$J$11))+P$13*EXP(-Parameters!$K$11*($B35-P$8))*(1-EXP(-Parameters!$K$11))+P$14*EXP(-Parameters!$L$11*($B35-P$8))*(1-EXP(-Parameters!$L$11))+P$15*EXP(-Parameters!$M$11*($B35-P$8))*(1-EXP(-Parameters!$M$11))+P$16*EXP(-Parameters!$N$11*($B35-P$8))*(1-EXP(-Parameters!$N$11)))</f>
        <v>48687.595094398755</v>
      </c>
      <c r="R35" s="259"/>
      <c r="S35" s="260"/>
      <c r="T35" s="260"/>
      <c r="U35" s="260"/>
      <c r="V35" s="260"/>
      <c r="W35" s="260"/>
      <c r="X35" s="261"/>
    </row>
    <row r="36" spans="1:24">
      <c r="A36" s="257">
        <f>SUM(D36:S36)*Parameters!$C$13</f>
        <v>213717.98743842301</v>
      </c>
      <c r="B36" s="258">
        <v>15</v>
      </c>
      <c r="C36" s="258">
        <v>2030</v>
      </c>
      <c r="D36" s="265">
        <f>$H$5*(C$11*EXP(-Parameters!$I$11*($B36-C$8))*(1-EXP(-Parameters!$I$11))+C$12*EXP(-Parameters!$J$11*($B36-C$8))*(1-EXP(-Parameters!$J$11))+C$13*EXP(-Parameters!$K$11*($B36-C$8))*(1-EXP(-Parameters!$K$11))+C$14*EXP(-Parameters!$L$11*($B36-C$8))*(1-EXP(-Parameters!$L$11))+C$15*EXP(-Parameters!$M$11*($B36-C$8))*(1-EXP(-Parameters!$M$11))+C$16*EXP(-Parameters!$N$11*($B36-C$8))*(1-EXP(-Parameters!$N$11)))</f>
        <v>5803.575813882394</v>
      </c>
      <c r="E36" s="265">
        <f>$H$5*(D$11*EXP(-Parameters!$I$11*($B36-D$8))*(1-EXP(-Parameters!$I$11))+D$12*EXP(-Parameters!$J$11*($B36-D$8))*(1-EXP(-Parameters!$J$11))+D$13*EXP(-Parameters!$K$11*($B36-D$8))*(1-EXP(-Parameters!$K$11))+D$14*EXP(-Parameters!$L$11*($B36-D$8))*(1-EXP(-Parameters!$L$11))+D$15*EXP(-Parameters!$M$11*($B36-D$8))*(1-EXP(-Parameters!$M$11))+D$16*EXP(-Parameters!$N$11*($B36-D$8))*(1-EXP(-Parameters!$N$11)))</f>
        <v>6425.8351926334144</v>
      </c>
      <c r="F36" s="265">
        <f>$H$5*(E$11*EXP(-Parameters!$I$11*($B36-E$8))*(1-EXP(-Parameters!$I$11))+E$12*EXP(-Parameters!$J$11*($B36-E$8))*(1-EXP(-Parameters!$J$11))+E$13*EXP(-Parameters!$K$11*($B36-E$8))*(1-EXP(-Parameters!$K$11))+E$14*EXP(-Parameters!$L$11*($B36-E$8))*(1-EXP(-Parameters!$L$11))+E$15*EXP(-Parameters!$M$11*($B36-E$8))*(1-EXP(-Parameters!$M$11))+E$16*EXP(-Parameters!$N$11*($B36-E$8))*(1-EXP(-Parameters!$N$11)))</f>
        <v>7678.7552749174974</v>
      </c>
      <c r="G36" s="265">
        <f>$H$5*(F$11*EXP(-Parameters!$I$11*($B36-F$8))*(1-EXP(-Parameters!$I$11))+F$12*EXP(-Parameters!$J$11*($B36-F$8))*(1-EXP(-Parameters!$J$11))+F$13*EXP(-Parameters!$K$11*($B36-F$8))*(1-EXP(-Parameters!$K$11))+F$14*EXP(-Parameters!$L$11*($B36-F$8))*(1-EXP(-Parameters!$L$11))+F$15*EXP(-Parameters!$M$11*($B36-F$8))*(1-EXP(-Parameters!$M$11))+F$16*EXP(-Parameters!$N$11*($B36-F$8))*(1-EXP(-Parameters!$N$11)))</f>
        <v>8806.3846629227592</v>
      </c>
      <c r="H36" s="265">
        <f>$H$5*(G$11*EXP(-Parameters!$I$11*($B36-G$8))*(1-EXP(-Parameters!$I$11))+G$12*EXP(-Parameters!$J$11*($B36-G$8))*(1-EXP(-Parameters!$J$11))+G$13*EXP(-Parameters!$K$11*($B36-G$8))*(1-EXP(-Parameters!$K$11))+G$14*EXP(-Parameters!$L$11*($B36-G$8))*(1-EXP(-Parameters!$L$11))+G$15*EXP(-Parameters!$M$11*($B36-G$8))*(1-EXP(-Parameters!$M$11))+G$16*EXP(-Parameters!$N$11*($B36-G$8))*(1-EXP(-Parameters!$N$11)))</f>
        <v>10134.514557961153</v>
      </c>
      <c r="I36" s="265">
        <f>$H$5*(H$11*EXP(-Parameters!$I$11*($B36-H$8))*(1-EXP(-Parameters!$I$11))+H$12*EXP(-Parameters!$J$11*($B36-H$8))*(1-EXP(-Parameters!$J$11))+H$13*EXP(-Parameters!$K$11*($B36-H$8))*(1-EXP(-Parameters!$K$11))+H$14*EXP(-Parameters!$L$11*($B36-H$8))*(1-EXP(-Parameters!$L$11))+H$15*EXP(-Parameters!$M$11*($B36-H$8))*(1-EXP(-Parameters!$M$11))+H$16*EXP(-Parameters!$N$11*($B36-H$8))*(1-EXP(-Parameters!$N$11)))</f>
        <v>11705.066694367801</v>
      </c>
      <c r="J36" s="265">
        <f>$H$5*(I$11*EXP(-Parameters!$I$11*($B36-I$8))*(1-EXP(-Parameters!$I$11))+I$12*EXP(-Parameters!$J$11*($B36-I$8))*(1-EXP(-Parameters!$J$11))+I$13*EXP(-Parameters!$K$11*($B36-I$8))*(1-EXP(-Parameters!$K$11))+I$14*EXP(-Parameters!$L$11*($B36-I$8))*(1-EXP(-Parameters!$L$11))+I$15*EXP(-Parameters!$M$11*($B36-I$8))*(1-EXP(-Parameters!$M$11))+I$16*EXP(-Parameters!$N$11*($B36-I$8))*(1-EXP(-Parameters!$N$11)))</f>
        <v>13569.719021193201</v>
      </c>
      <c r="K36" s="265">
        <f>$H$5*(J$11*EXP(-Parameters!$I$11*($B36-J$8))*(1-EXP(-Parameters!$I$11))+J$12*EXP(-Parameters!$J$11*($B36-J$8))*(1-EXP(-Parameters!$J$11))+J$13*EXP(-Parameters!$K$11*($B36-J$8))*(1-EXP(-Parameters!$K$11))+J$14*EXP(-Parameters!$L$11*($B36-J$8))*(1-EXP(-Parameters!$L$11))+J$15*EXP(-Parameters!$M$11*($B36-J$8))*(1-EXP(-Parameters!$M$11))+J$16*EXP(-Parameters!$N$11*($B36-J$8))*(1-EXP(-Parameters!$N$11)))</f>
        <v>15792.316669386319</v>
      </c>
      <c r="L36" s="265">
        <f>$H$5*(K$11*EXP(-Parameters!$I$11*($B36-K$8))*(1-EXP(-Parameters!$I$11))+K$12*EXP(-Parameters!$J$11*($B36-K$8))*(1-EXP(-Parameters!$J$11))+K$13*EXP(-Parameters!$K$11*($B36-K$8))*(1-EXP(-Parameters!$K$11))+K$14*EXP(-Parameters!$L$11*($B36-K$8))*(1-EXP(-Parameters!$L$11))+K$15*EXP(-Parameters!$M$11*($B36-K$8))*(1-EXP(-Parameters!$M$11))+K$16*EXP(-Parameters!$N$11*($B36-K$8))*(1-EXP(-Parameters!$N$11)))</f>
        <v>18451.897487453356</v>
      </c>
      <c r="M36" s="265">
        <f>$H$5*(L$11*EXP(-Parameters!$I$11*($B36-L$8))*(1-EXP(-Parameters!$I$11))+L$12*EXP(-Parameters!$J$11*($B36-L$8))*(1-EXP(-Parameters!$J$11))+L$13*EXP(-Parameters!$K$11*($B36-L$8))*(1-EXP(-Parameters!$K$11))+L$14*EXP(-Parameters!$L$11*($B36-L$8))*(1-EXP(-Parameters!$L$11))+L$15*EXP(-Parameters!$M$11*($B36-L$8))*(1-EXP(-Parameters!$M$11))+L$16*EXP(-Parameters!$N$11*($B36-L$8))*(1-EXP(-Parameters!$N$11)))</f>
        <v>21646.49127237812</v>
      </c>
      <c r="N36" s="265">
        <f>$H$5*(M$11*EXP(-Parameters!$I$11*($B36-M$8))*(1-EXP(-Parameters!$I$11))+M$12*EXP(-Parameters!$J$11*($B36-M$8))*(1-EXP(-Parameters!$J$11))+M$13*EXP(-Parameters!$K$11*($B36-M$8))*(1-EXP(-Parameters!$K$11))+M$14*EXP(-Parameters!$L$11*($B36-M$8))*(1-EXP(-Parameters!$L$11))+M$15*EXP(-Parameters!$M$11*($B36-M$8))*(1-EXP(-Parameters!$M$11))+M$16*EXP(-Parameters!$N$11*($B36-M$8))*(1-EXP(-Parameters!$N$11)))</f>
        <v>25497.893353091065</v>
      </c>
      <c r="O36" s="265">
        <f>$H$5*(N$11*EXP(-Parameters!$I$11*($B36-N$8))*(1-EXP(-Parameters!$I$11))+N$12*EXP(-Parameters!$J$11*($B36-N$8))*(1-EXP(-Parameters!$J$11))+N$13*EXP(-Parameters!$K$11*($B36-N$8))*(1-EXP(-Parameters!$K$11))+N$14*EXP(-Parameters!$L$11*($B36-N$8))*(1-EXP(-Parameters!$L$11))+N$15*EXP(-Parameters!$M$11*($B36-N$8))*(1-EXP(-Parameters!$M$11))+N$16*EXP(-Parameters!$N$11*($B36-N$8))*(1-EXP(-Parameters!$N$11)))</f>
        <v>30157.665598091731</v>
      </c>
      <c r="P36" s="265">
        <f>$H$5*(O$11*EXP(-Parameters!$I$11*($B36-O$8))*(1-EXP(-Parameters!$I$11))+O$12*EXP(-Parameters!$J$11*($B36-O$8))*(1-EXP(-Parameters!$J$11))+O$13*EXP(-Parameters!$K$11*($B36-O$8))*(1-EXP(-Parameters!$K$11))+O$14*EXP(-Parameters!$L$11*($B36-O$8))*(1-EXP(-Parameters!$L$11))+O$15*EXP(-Parameters!$M$11*($B36-O$8))*(1-EXP(-Parameters!$M$11))+O$16*EXP(-Parameters!$N$11*($B36-O$8))*(1-EXP(-Parameters!$N$11)))</f>
        <v>35814.684075530386</v>
      </c>
      <c r="Q36" s="265">
        <f>$H$5*(P$11*EXP(-Parameters!$I$11*($B36-P$8))*(1-EXP(-Parameters!$I$11))+P$12*EXP(-Parameters!$J$11*($B36-P$8))*(1-EXP(-Parameters!$J$11))+P$13*EXP(-Parameters!$K$11*($B36-P$8))*(1-EXP(-Parameters!$K$11))+P$14*EXP(-Parameters!$L$11*($B36-P$8))*(1-EXP(-Parameters!$L$11))+P$15*EXP(-Parameters!$M$11*($B36-P$8))*(1-EXP(-Parameters!$M$11))+P$16*EXP(-Parameters!$N$11*($B36-P$8))*(1-EXP(-Parameters!$N$11)))</f>
        <v>42704.636103390687</v>
      </c>
      <c r="R36" s="265">
        <f>$H$5*(Q$11*EXP(-Parameters!$I$11*($B36-Q$8))*(1-EXP(-Parameters!$I$11))+Q$12*EXP(-Parameters!$J$11*($B36-Q$8))*(1-EXP(-Parameters!$J$11))+Q$13*EXP(-Parameters!$K$11*($B36-Q$8))*(1-EXP(-Parameters!$K$11))+Q$14*EXP(-Parameters!$L$11*($B36-Q$8))*(1-EXP(-Parameters!$L$11))+Q$15*EXP(-Parameters!$M$11*($B36-Q$8))*(1-EXP(-Parameters!$M$11))+Q$16*EXP(-Parameters!$N$11*($B36-Q$8))*(1-EXP(-Parameters!$N$11)))</f>
        <v>51121.974849118684</v>
      </c>
      <c r="S36" s="260"/>
      <c r="T36" s="260"/>
      <c r="U36" s="260"/>
      <c r="V36" s="260"/>
      <c r="W36" s="260"/>
      <c r="X36" s="261"/>
    </row>
    <row r="37" spans="1:24">
      <c r="A37" s="257">
        <f>SUM(D37:S37)*Parameters!$C$13</f>
        <v>228251.56245377587</v>
      </c>
      <c r="B37" s="258">
        <v>16</v>
      </c>
      <c r="C37" s="258">
        <v>2031</v>
      </c>
      <c r="D37" s="265">
        <f>$H$5*(C$11*EXP(-Parameters!$I$11*($B37-C$8))*(1-EXP(-Parameters!$I$11))+C$12*EXP(-Parameters!$J$11*($B37-C$8))*(1-EXP(-Parameters!$J$11))+C$13*EXP(-Parameters!$K$11*($B37-C$8))*(1-EXP(-Parameters!$K$11))+C$14*EXP(-Parameters!$L$11*($B37-C$8))*(1-EXP(-Parameters!$L$11))+C$15*EXP(-Parameters!$M$11*($B37-C$8))*(1-EXP(-Parameters!$M$11))+C$16*EXP(-Parameters!$N$11*($B37-C$8))*(1-EXP(-Parameters!$N$11)))</f>
        <v>5363.2357729117384</v>
      </c>
      <c r="E37" s="265">
        <f>$H$5*(D$11*EXP(-Parameters!$I$11*($B37-D$8))*(1-EXP(-Parameters!$I$11))+D$12*EXP(-Parameters!$J$11*($B37-D$8))*(1-EXP(-Parameters!$J$11))+D$13*EXP(-Parameters!$K$11*($B37-D$8))*(1-EXP(-Parameters!$K$11))+D$14*EXP(-Parameters!$L$11*($B37-D$8))*(1-EXP(-Parameters!$L$11))+D$15*EXP(-Parameters!$M$11*($B37-D$8))*(1-EXP(-Parameters!$M$11))+D$16*EXP(-Parameters!$N$11*($B37-D$8))*(1-EXP(-Parameters!$N$11)))</f>
        <v>5920.9101026199232</v>
      </c>
      <c r="F37" s="265">
        <f>$H$5*(E$11*EXP(-Parameters!$I$11*($B37-E$8))*(1-EXP(-Parameters!$I$11))+E$12*EXP(-Parameters!$J$11*($B37-E$8))*(1-EXP(-Parameters!$J$11))+E$13*EXP(-Parameters!$K$11*($B37-E$8))*(1-EXP(-Parameters!$K$11))+E$14*EXP(-Parameters!$L$11*($B37-E$8))*(1-EXP(-Parameters!$L$11))+E$15*EXP(-Parameters!$M$11*($B37-E$8))*(1-EXP(-Parameters!$M$11))+E$16*EXP(-Parameters!$N$11*($B37-E$8))*(1-EXP(-Parameters!$N$11)))</f>
        <v>7053.4151719266738</v>
      </c>
      <c r="G37" s="265">
        <f>$H$5*(F$11*EXP(-Parameters!$I$11*($B37-F$8))*(1-EXP(-Parameters!$I$11))+F$12*EXP(-Parameters!$J$11*($B37-F$8))*(1-EXP(-Parameters!$J$11))+F$13*EXP(-Parameters!$K$11*($B37-F$8))*(1-EXP(-Parameters!$K$11))+F$14*EXP(-Parameters!$L$11*($B37-F$8))*(1-EXP(-Parameters!$L$11))+F$15*EXP(-Parameters!$M$11*($B37-F$8))*(1-EXP(-Parameters!$M$11))+F$16*EXP(-Parameters!$N$11*($B37-F$8))*(1-EXP(-Parameters!$N$11)))</f>
        <v>8062.693038663373</v>
      </c>
      <c r="H37" s="265">
        <f>$H$5*(G$11*EXP(-Parameters!$I$11*($B37-G$8))*(1-EXP(-Parameters!$I$11))+G$12*EXP(-Parameters!$J$11*($B37-G$8))*(1-EXP(-Parameters!$J$11))+G$13*EXP(-Parameters!$K$11*($B37-G$8))*(1-EXP(-Parameters!$K$11))+G$14*EXP(-Parameters!$L$11*($B37-G$8))*(1-EXP(-Parameters!$L$11))+G$15*EXP(-Parameters!$M$11*($B37-G$8))*(1-EXP(-Parameters!$M$11))+G$16*EXP(-Parameters!$N$11*($B37-G$8))*(1-EXP(-Parameters!$N$11)))</f>
        <v>9246.7038960688988</v>
      </c>
      <c r="I37" s="265">
        <f>$H$5*(H$11*EXP(-Parameters!$I$11*($B37-H$8))*(1-EXP(-Parameters!$I$11))+H$12*EXP(-Parameters!$J$11*($B37-H$8))*(1-EXP(-Parameters!$J$11))+H$13*EXP(-Parameters!$K$11*($B37-H$8))*(1-EXP(-Parameters!$K$11))+H$14*EXP(-Parameters!$L$11*($B37-H$8))*(1-EXP(-Parameters!$L$11))+H$15*EXP(-Parameters!$M$11*($B37-H$8))*(1-EXP(-Parameters!$M$11))+H$16*EXP(-Parameters!$N$11*($B37-H$8))*(1-EXP(-Parameters!$N$11)))</f>
        <v>10641.240285859212</v>
      </c>
      <c r="J37" s="265">
        <f>$H$5*(I$11*EXP(-Parameters!$I$11*($B37-I$8))*(1-EXP(-Parameters!$I$11))+I$12*EXP(-Parameters!$J$11*($B37-I$8))*(1-EXP(-Parameters!$J$11))+I$13*EXP(-Parameters!$K$11*($B37-I$8))*(1-EXP(-Parameters!$K$11))+I$14*EXP(-Parameters!$L$11*($B37-I$8))*(1-EXP(-Parameters!$L$11))+I$15*EXP(-Parameters!$M$11*($B37-I$8))*(1-EXP(-Parameters!$M$11))+I$16*EXP(-Parameters!$N$11*($B37-I$8))*(1-EXP(-Parameters!$N$11)))</f>
        <v>12290.320029086195</v>
      </c>
      <c r="K37" s="265">
        <f>$H$5*(J$11*EXP(-Parameters!$I$11*($B37-J$8))*(1-EXP(-Parameters!$I$11))+J$12*EXP(-Parameters!$J$11*($B37-J$8))*(1-EXP(-Parameters!$J$11))+J$13*EXP(-Parameters!$K$11*($B37-J$8))*(1-EXP(-Parameters!$K$11))+J$14*EXP(-Parameters!$L$11*($B37-J$8))*(1-EXP(-Parameters!$L$11))+J$15*EXP(-Parameters!$M$11*($B37-J$8))*(1-EXP(-Parameters!$M$11))+J$16*EXP(-Parameters!$N$11*($B37-J$8))*(1-EXP(-Parameters!$N$11)))</f>
        <v>14248.204972252861</v>
      </c>
      <c r="L37" s="265">
        <f>$H$5*(K$11*EXP(-Parameters!$I$11*($B37-K$8))*(1-EXP(-Parameters!$I$11))+K$12*EXP(-Parameters!$J$11*($B37-K$8))*(1-EXP(-Parameters!$J$11))+K$13*EXP(-Parameters!$K$11*($B37-K$8))*(1-EXP(-Parameters!$K$11))+K$14*EXP(-Parameters!$L$11*($B37-K$8))*(1-EXP(-Parameters!$L$11))+K$15*EXP(-Parameters!$M$11*($B37-K$8))*(1-EXP(-Parameters!$M$11))+K$16*EXP(-Parameters!$N$11*($B37-K$8))*(1-EXP(-Parameters!$N$11)))</f>
        <v>16581.93250285563</v>
      </c>
      <c r="M37" s="265">
        <f>$H$5*(L$11*EXP(-Parameters!$I$11*($B37-L$8))*(1-EXP(-Parameters!$I$11))+L$12*EXP(-Parameters!$J$11*($B37-L$8))*(1-EXP(-Parameters!$J$11))+L$13*EXP(-Parameters!$K$11*($B37-L$8))*(1-EXP(-Parameters!$K$11))+L$14*EXP(-Parameters!$L$11*($B37-L$8))*(1-EXP(-Parameters!$L$11))+L$15*EXP(-Parameters!$M$11*($B37-L$8))*(1-EXP(-Parameters!$M$11))+L$16*EXP(-Parameters!$N$11*($B37-L$8))*(1-EXP(-Parameters!$N$11)))</f>
        <v>19374.492361826022</v>
      </c>
      <c r="N37" s="265">
        <f>$H$5*(M$11*EXP(-Parameters!$I$11*($B37-M$8))*(1-EXP(-Parameters!$I$11))+M$12*EXP(-Parameters!$J$11*($B37-M$8))*(1-EXP(-Parameters!$J$11))+M$13*EXP(-Parameters!$K$11*($B37-M$8))*(1-EXP(-Parameters!$K$11))+M$14*EXP(-Parameters!$L$11*($B37-M$8))*(1-EXP(-Parameters!$L$11))+M$15*EXP(-Parameters!$M$11*($B37-M$8))*(1-EXP(-Parameters!$M$11))+M$16*EXP(-Parameters!$N$11*($B37-M$8))*(1-EXP(-Parameters!$N$11)))</f>
        <v>22728.815835997029</v>
      </c>
      <c r="O37" s="265">
        <f>$H$5*(N$11*EXP(-Parameters!$I$11*($B37-N$8))*(1-EXP(-Parameters!$I$11))+N$12*EXP(-Parameters!$J$11*($B37-N$8))*(1-EXP(-Parameters!$J$11))+N$13*EXP(-Parameters!$K$11*($B37-N$8))*(1-EXP(-Parameters!$K$11))+N$14*EXP(-Parameters!$L$11*($B37-N$8))*(1-EXP(-Parameters!$L$11))+N$15*EXP(-Parameters!$M$11*($B37-N$8))*(1-EXP(-Parameters!$M$11))+N$16*EXP(-Parameters!$N$11*($B37-N$8))*(1-EXP(-Parameters!$N$11)))</f>
        <v>26772.788020745618</v>
      </c>
      <c r="P37" s="265">
        <f>$H$5*(O$11*EXP(-Parameters!$I$11*($B37-O$8))*(1-EXP(-Parameters!$I$11))+O$12*EXP(-Parameters!$J$11*($B37-O$8))*(1-EXP(-Parameters!$J$11))+O$13*EXP(-Parameters!$K$11*($B37-O$8))*(1-EXP(-Parameters!$K$11))+O$14*EXP(-Parameters!$L$11*($B37-O$8))*(1-EXP(-Parameters!$L$11))+O$15*EXP(-Parameters!$M$11*($B37-O$8))*(1-EXP(-Parameters!$M$11))+O$16*EXP(-Parameters!$N$11*($B37-O$8))*(1-EXP(-Parameters!$N$11)))</f>
        <v>31665.548877996316</v>
      </c>
      <c r="Q37" s="265">
        <f>$H$5*(P$11*EXP(-Parameters!$I$11*($B37-P$8))*(1-EXP(-Parameters!$I$11))+P$12*EXP(-Parameters!$J$11*($B37-P$8))*(1-EXP(-Parameters!$J$11))+P$13*EXP(-Parameters!$K$11*($B37-P$8))*(1-EXP(-Parameters!$K$11))+P$14*EXP(-Parameters!$L$11*($B37-P$8))*(1-EXP(-Parameters!$L$11))+P$15*EXP(-Parameters!$M$11*($B37-P$8))*(1-EXP(-Parameters!$M$11))+P$16*EXP(-Parameters!$N$11*($B37-P$8))*(1-EXP(-Parameters!$N$11)))</f>
        <v>37605.418279306912</v>
      </c>
      <c r="R37" s="265">
        <f>$H$5*(Q$11*EXP(-Parameters!$I$11*($B37-Q$8))*(1-EXP(-Parameters!$I$11))+Q$12*EXP(-Parameters!$J$11*($B37-Q$8))*(1-EXP(-Parameters!$J$11))+Q$13*EXP(-Parameters!$K$11*($B37-Q$8))*(1-EXP(-Parameters!$K$11))+Q$14*EXP(-Parameters!$L$11*($B37-Q$8))*(1-EXP(-Parameters!$L$11))+Q$15*EXP(-Parameters!$M$11*($B37-Q$8))*(1-EXP(-Parameters!$M$11))+Q$16*EXP(-Parameters!$N$11*($B37-Q$8))*(1-EXP(-Parameters!$N$11)))</f>
        <v>44839.86790856022</v>
      </c>
      <c r="S37" s="265">
        <f>$H$5*(R$11*EXP(-Parameters!$I$11*($B37-R$8))*(1-EXP(-Parameters!$I$11))+R$12*EXP(-Parameters!$J$11*($B37-R$8))*(1-EXP(-Parameters!$J$11))+R$13*EXP(-Parameters!$K$11*($B37-R$8))*(1-EXP(-Parameters!$K$11))+R$14*EXP(-Parameters!$L$11*($B37-R$8))*(1-EXP(-Parameters!$L$11))+R$15*EXP(-Parameters!$M$11*($B37-R$8))*(1-EXP(-Parameters!$M$11))+R$16*EXP(-Parameters!$N$11*($B37-R$8))*(1-EXP(-Parameters!$N$11)))</f>
        <v>53678.073591574626</v>
      </c>
      <c r="T37" s="260"/>
      <c r="U37" s="260"/>
      <c r="V37" s="260"/>
      <c r="W37" s="260"/>
      <c r="X37" s="261"/>
    </row>
    <row r="38" spans="1:24">
      <c r="A38" s="257">
        <f>SUM(D38:S38)*Parameters!$C$13</f>
        <v>203775.46397172965</v>
      </c>
      <c r="B38" s="184">
        <v>17</v>
      </c>
      <c r="C38" s="258">
        <v>2032</v>
      </c>
      <c r="D38" s="265">
        <f>$H$5*(C$11*EXP(-Parameters!$I$11*($B38-C$8))*(1-EXP(-Parameters!$I$11))+C$12*EXP(-Parameters!$J$11*($B38-C$8))*(1-EXP(-Parameters!$J$11))+C$13*EXP(-Parameters!$K$11*($B38-C$8))*(1-EXP(-Parameters!$K$11))+C$14*EXP(-Parameters!$L$11*($B38-C$8))*(1-EXP(-Parameters!$L$11))+C$15*EXP(-Parameters!$M$11*($B38-C$8))*(1-EXP(-Parameters!$M$11))+C$16*EXP(-Parameters!$N$11*($B38-C$8))*(1-EXP(-Parameters!$N$11)))</f>
        <v>4969.9484730650747</v>
      </c>
      <c r="E38" s="265">
        <f>$H$5*(D$11*EXP(-Parameters!$I$11*($B38-D$8))*(1-EXP(-Parameters!$I$11))+D$12*EXP(-Parameters!$J$11*($B38-D$8))*(1-EXP(-Parameters!$J$11))+D$13*EXP(-Parameters!$K$11*($B38-D$8))*(1-EXP(-Parameters!$K$11))+D$14*EXP(-Parameters!$L$11*($B38-D$8))*(1-EXP(-Parameters!$L$11))+D$15*EXP(-Parameters!$M$11*($B38-D$8))*(1-EXP(-Parameters!$M$11))+D$16*EXP(-Parameters!$N$11*($B38-D$8))*(1-EXP(-Parameters!$N$11)))</f>
        <v>5471.667449334569</v>
      </c>
      <c r="F38" s="265">
        <f>$H$5*(E$11*EXP(-Parameters!$I$11*($B38-E$8))*(1-EXP(-Parameters!$I$11))+E$12*EXP(-Parameters!$J$11*($B38-E$8))*(1-EXP(-Parameters!$J$11))+E$13*EXP(-Parameters!$K$11*($B38-E$8))*(1-EXP(-Parameters!$K$11))+E$14*EXP(-Parameters!$L$11*($B38-E$8))*(1-EXP(-Parameters!$L$11))+E$15*EXP(-Parameters!$M$11*($B38-E$8))*(1-EXP(-Parameters!$M$11))+E$16*EXP(-Parameters!$N$11*($B38-E$8))*(1-EXP(-Parameters!$N$11)))</f>
        <v>6499.17651129771</v>
      </c>
      <c r="G38" s="265">
        <f>$H$5*(F$11*EXP(-Parameters!$I$11*($B38-F$8))*(1-EXP(-Parameters!$I$11))+F$12*EXP(-Parameters!$J$11*($B38-F$8))*(1-EXP(-Parameters!$J$11))+F$13*EXP(-Parameters!$K$11*($B38-F$8))*(1-EXP(-Parameters!$K$11))+F$14*EXP(-Parameters!$L$11*($B38-F$8))*(1-EXP(-Parameters!$L$11))+F$15*EXP(-Parameters!$M$11*($B38-F$8))*(1-EXP(-Parameters!$M$11))+F$16*EXP(-Parameters!$N$11*($B38-F$8))*(1-EXP(-Parameters!$N$11)))</f>
        <v>7406.0859305230088</v>
      </c>
      <c r="H38" s="265">
        <f>$H$5*(G$11*EXP(-Parameters!$I$11*($B38-G$8))*(1-EXP(-Parameters!$I$11))+G$12*EXP(-Parameters!$J$11*($B38-G$8))*(1-EXP(-Parameters!$J$11))+G$13*EXP(-Parameters!$K$11*($B38-G$8))*(1-EXP(-Parameters!$K$11))+G$14*EXP(-Parameters!$L$11*($B38-G$8))*(1-EXP(-Parameters!$L$11))+G$15*EXP(-Parameters!$M$11*($B38-G$8))*(1-EXP(-Parameters!$M$11))+G$16*EXP(-Parameters!$N$11*($B38-G$8))*(1-EXP(-Parameters!$N$11)))</f>
        <v>8465.8276905965431</v>
      </c>
      <c r="I38" s="265">
        <f>$H$5*(H$11*EXP(-Parameters!$I$11*($B38-H$8))*(1-EXP(-Parameters!$I$11))+H$12*EXP(-Parameters!$J$11*($B38-H$8))*(1-EXP(-Parameters!$J$11))+H$13*EXP(-Parameters!$K$11*($B38-H$8))*(1-EXP(-Parameters!$K$11))+H$14*EXP(-Parameters!$L$11*($B38-H$8))*(1-EXP(-Parameters!$L$11))+H$15*EXP(-Parameters!$M$11*($B38-H$8))*(1-EXP(-Parameters!$M$11))+H$16*EXP(-Parameters!$N$11*($B38-H$8))*(1-EXP(-Parameters!$N$11)))</f>
        <v>9709.0390908723439</v>
      </c>
      <c r="J38" s="265">
        <f>$H$5*(I$11*EXP(-Parameters!$I$11*($B38-I$8))*(1-EXP(-Parameters!$I$11))+I$12*EXP(-Parameters!$J$11*($B38-I$8))*(1-EXP(-Parameters!$J$11))+I$13*EXP(-Parameters!$K$11*($B38-I$8))*(1-EXP(-Parameters!$K$11))+I$14*EXP(-Parameters!$L$11*($B38-I$8))*(1-EXP(-Parameters!$L$11))+I$15*EXP(-Parameters!$M$11*($B38-I$8))*(1-EXP(-Parameters!$M$11))+I$16*EXP(-Parameters!$N$11*($B38-I$8))*(1-EXP(-Parameters!$N$11)))</f>
        <v>11173.302300152174</v>
      </c>
      <c r="K38" s="265">
        <f>$H$5*(J$11*EXP(-Parameters!$I$11*($B38-J$8))*(1-EXP(-Parameters!$I$11))+J$12*EXP(-Parameters!$J$11*($B38-J$8))*(1-EXP(-Parameters!$J$11))+J$13*EXP(-Parameters!$K$11*($B38-J$8))*(1-EXP(-Parameters!$K$11))+J$14*EXP(-Parameters!$L$11*($B38-J$8))*(1-EXP(-Parameters!$L$11))+J$15*EXP(-Parameters!$M$11*($B38-J$8))*(1-EXP(-Parameters!$M$11))+J$16*EXP(-Parameters!$N$11*($B38-J$8))*(1-EXP(-Parameters!$N$11)))</f>
        <v>12904.8360305405</v>
      </c>
      <c r="L38" s="265">
        <f>$H$5*(K$11*EXP(-Parameters!$I$11*($B38-K$8))*(1-EXP(-Parameters!$I$11))+K$12*EXP(-Parameters!$J$11*($B38-K$8))*(1-EXP(-Parameters!$J$11))+K$13*EXP(-Parameters!$K$11*($B38-K$8))*(1-EXP(-Parameters!$K$11))+K$14*EXP(-Parameters!$L$11*($B38-K$8))*(1-EXP(-Parameters!$L$11))+K$15*EXP(-Parameters!$M$11*($B38-K$8))*(1-EXP(-Parameters!$M$11))+K$16*EXP(-Parameters!$N$11*($B38-K$8))*(1-EXP(-Parameters!$N$11)))</f>
        <v>14960.615220865508</v>
      </c>
      <c r="M38" s="265">
        <f>$H$5*(L$11*EXP(-Parameters!$I$11*($B38-L$8))*(1-EXP(-Parameters!$I$11))+L$12*EXP(-Parameters!$J$11*($B38-L$8))*(1-EXP(-Parameters!$J$11))+L$13*EXP(-Parameters!$K$11*($B38-L$8))*(1-EXP(-Parameters!$K$11))+L$14*EXP(-Parameters!$L$11*($B38-L$8))*(1-EXP(-Parameters!$L$11))+L$15*EXP(-Parameters!$M$11*($B38-L$8))*(1-EXP(-Parameters!$M$11))+L$16*EXP(-Parameters!$N$11*($B38-L$8))*(1-EXP(-Parameters!$N$11)))</f>
        <v>17411.029127998416</v>
      </c>
      <c r="N38" s="265">
        <f>$H$5*(M$11*EXP(-Parameters!$I$11*($B38-M$8))*(1-EXP(-Parameters!$I$11))+M$12*EXP(-Parameters!$J$11*($B38-M$8))*(1-EXP(-Parameters!$J$11))+M$13*EXP(-Parameters!$K$11*($B38-M$8))*(1-EXP(-Parameters!$K$11))+M$14*EXP(-Parameters!$L$11*($B38-M$8))*(1-EXP(-Parameters!$L$11))+M$15*EXP(-Parameters!$M$11*($B38-M$8))*(1-EXP(-Parameters!$M$11))+M$16*EXP(-Parameters!$N$11*($B38-M$8))*(1-EXP(-Parameters!$N$11)))</f>
        <v>20343.216979917328</v>
      </c>
      <c r="O38" s="265">
        <f>$H$5*(N$11*EXP(-Parameters!$I$11*($B38-N$8))*(1-EXP(-Parameters!$I$11))+N$12*EXP(-Parameters!$J$11*($B38-N$8))*(1-EXP(-Parameters!$J$11))+N$13*EXP(-Parameters!$K$11*($B38-N$8))*(1-EXP(-Parameters!$K$11))+N$14*EXP(-Parameters!$L$11*($B38-N$8))*(1-EXP(-Parameters!$L$11))+N$15*EXP(-Parameters!$M$11*($B38-N$8))*(1-EXP(-Parameters!$M$11))+N$16*EXP(-Parameters!$N$11*($B38-N$8))*(1-EXP(-Parameters!$N$11)))</f>
        <v>23865.256627796884</v>
      </c>
      <c r="P38" s="265">
        <f>$H$5*(O$11*EXP(-Parameters!$I$11*($B38-O$8))*(1-EXP(-Parameters!$I$11))+O$12*EXP(-Parameters!$J$11*($B38-O$8))*(1-EXP(-Parameters!$J$11))+O$13*EXP(-Parameters!$K$11*($B38-O$8))*(1-EXP(-Parameters!$K$11))+O$14*EXP(-Parameters!$L$11*($B38-O$8))*(1-EXP(-Parameters!$L$11))+O$15*EXP(-Parameters!$M$11*($B38-O$8))*(1-EXP(-Parameters!$M$11))+O$16*EXP(-Parameters!$N$11*($B38-O$8))*(1-EXP(-Parameters!$N$11)))</f>
        <v>28111.427421782901</v>
      </c>
      <c r="Q38" s="265">
        <f>$H$5*(P$11*EXP(-Parameters!$I$11*($B38-P$8))*(1-EXP(-Parameters!$I$11))+P$12*EXP(-Parameters!$J$11*($B38-P$8))*(1-EXP(-Parameters!$J$11))+P$13*EXP(-Parameters!$K$11*($B38-P$8))*(1-EXP(-Parameters!$K$11))+P$14*EXP(-Parameters!$L$11*($B38-P$8))*(1-EXP(-Parameters!$L$11))+P$15*EXP(-Parameters!$M$11*($B38-P$8))*(1-EXP(-Parameters!$M$11))+P$16*EXP(-Parameters!$N$11*($B38-P$8))*(1-EXP(-Parameters!$N$11)))</f>
        <v>33248.826321896137</v>
      </c>
      <c r="R38" s="265">
        <f>$H$5*(Q$11*EXP(-Parameters!$I$11*($B38-Q$8))*(1-EXP(-Parameters!$I$11))+Q$12*EXP(-Parameters!$J$11*($B38-Q$8))*(1-EXP(-Parameters!$J$11))+Q$13*EXP(-Parameters!$K$11*($B38-Q$8))*(1-EXP(-Parameters!$K$11))+Q$14*EXP(-Parameters!$L$11*($B38-Q$8))*(1-EXP(-Parameters!$L$11))+Q$15*EXP(-Parameters!$M$11*($B38-Q$8))*(1-EXP(-Parameters!$M$11))+Q$16*EXP(-Parameters!$N$11*($B38-Q$8))*(1-EXP(-Parameters!$N$11)))</f>
        <v>39485.689193272265</v>
      </c>
      <c r="S38" s="265">
        <f>$H$5*(R$11*EXP(-Parameters!$I$11*($B38-R$8))*(1-EXP(-Parameters!$I$11))+R$12*EXP(-Parameters!$J$11*($B38-R$8))*(1-EXP(-Parameters!$J$11))+R$13*EXP(-Parameters!$K$11*($B38-R$8))*(1-EXP(-Parameters!$K$11))+R$14*EXP(-Parameters!$L$11*($B38-R$8))*(1-EXP(-Parameters!$L$11))+R$15*EXP(-Parameters!$M$11*($B38-R$8))*(1-EXP(-Parameters!$M$11))+R$16*EXP(-Parameters!$N$11*($B38-R$8))*(1-EXP(-Parameters!$N$11)))</f>
        <v>47081.861303988226</v>
      </c>
      <c r="T38" s="265">
        <f>$H$5*(S$11*EXP(-Parameters!$I$11*($B38-S$8))*(1-EXP(-Parameters!$I$11))+S$12*EXP(-Parameters!$J$11*($B38-S$8))*(1-EXP(-Parameters!$J$11))+S$13*EXP(-Parameters!$K$11*($B38-S$8))*(1-EXP(-Parameters!$K$11))+S$14*EXP(-Parameters!$L$11*($B38-S$8))*(1-EXP(-Parameters!$L$11))+S$15*EXP(-Parameters!$M$11*($B38-S$8))*(1-EXP(-Parameters!$M$11))+S$16*EXP(-Parameters!$N$11*($B38-S$8))*(1-EXP(-Parameters!$N$11)))</f>
        <v>56361.977271153359</v>
      </c>
      <c r="U38" s="260"/>
      <c r="V38" s="260"/>
      <c r="W38" s="260"/>
      <c r="X38" s="261"/>
    </row>
    <row r="39" spans="1:24">
      <c r="A39" s="257">
        <f>SUM(D39:S39)*Parameters!$C$13</f>
        <v>182670.16643778942</v>
      </c>
      <c r="B39" s="184">
        <v>18</v>
      </c>
      <c r="C39" s="258">
        <v>2033</v>
      </c>
      <c r="D39" s="265">
        <f>$H$5*(C$11*EXP(-Parameters!$I$11*($B39-C$8))*(1-EXP(-Parameters!$I$11))+C$12*EXP(-Parameters!$J$11*($B39-C$8))*(1-EXP(-Parameters!$J$11))+C$13*EXP(-Parameters!$K$11*($B39-C$8))*(1-EXP(-Parameters!$K$11))+C$14*EXP(-Parameters!$L$11*($B39-C$8))*(1-EXP(-Parameters!$L$11))+C$15*EXP(-Parameters!$M$11*($B39-C$8))*(1-EXP(-Parameters!$M$11))+C$16*EXP(-Parameters!$N$11*($B39-C$8))*(1-EXP(-Parameters!$N$11)))</f>
        <v>4617.348406164253</v>
      </c>
      <c r="E39" s="265">
        <f>$H$5*(D$11*EXP(-Parameters!$I$11*($B39-D$8))*(1-EXP(-Parameters!$I$11))+D$12*EXP(-Parameters!$J$11*($B39-D$8))*(1-EXP(-Parameters!$J$11))+D$13*EXP(-Parameters!$K$11*($B39-D$8))*(1-EXP(-Parameters!$K$11))+D$14*EXP(-Parameters!$L$11*($B39-D$8))*(1-EXP(-Parameters!$L$11))+D$15*EXP(-Parameters!$M$11*($B39-D$8))*(1-EXP(-Parameters!$M$11))+D$16*EXP(-Parameters!$N$11*($B39-D$8))*(1-EXP(-Parameters!$N$11)))</f>
        <v>5070.4288299778491</v>
      </c>
      <c r="F39" s="265">
        <f>$H$5*(E$11*EXP(-Parameters!$I$11*($B39-E$8))*(1-EXP(-Parameters!$I$11))+E$12*EXP(-Parameters!$J$11*($B39-E$8))*(1-EXP(-Parameters!$J$11))+E$13*EXP(-Parameters!$K$11*($B39-E$8))*(1-EXP(-Parameters!$K$11))+E$14*EXP(-Parameters!$L$11*($B39-E$8))*(1-EXP(-Parameters!$L$11))+E$15*EXP(-Parameters!$M$11*($B39-E$8))*(1-EXP(-Parameters!$M$11))+E$16*EXP(-Parameters!$N$11*($B39-E$8))*(1-EXP(-Parameters!$N$11)))</f>
        <v>6006.0585193840525</v>
      </c>
      <c r="G39" s="265">
        <f>$H$5*(F$11*EXP(-Parameters!$I$11*($B39-F$8))*(1-EXP(-Parameters!$I$11))+F$12*EXP(-Parameters!$J$11*($B39-F$8))*(1-EXP(-Parameters!$J$11))+F$13*EXP(-Parameters!$K$11*($B39-F$8))*(1-EXP(-Parameters!$K$11))+F$14*EXP(-Parameters!$L$11*($B39-F$8))*(1-EXP(-Parameters!$L$11))+F$15*EXP(-Parameters!$M$11*($B39-F$8))*(1-EXP(-Parameters!$M$11))+F$16*EXP(-Parameters!$N$11*($B39-F$8))*(1-EXP(-Parameters!$N$11)))</f>
        <v>6824.1353368625951</v>
      </c>
      <c r="H39" s="265">
        <f>$H$5*(G$11*EXP(-Parameters!$I$11*($B39-G$8))*(1-EXP(-Parameters!$I$11))+G$12*EXP(-Parameters!$J$11*($B39-G$8))*(1-EXP(-Parameters!$J$11))+G$13*EXP(-Parameters!$K$11*($B39-G$8))*(1-EXP(-Parameters!$K$11))+G$14*EXP(-Parameters!$L$11*($B39-G$8))*(1-EXP(-Parameters!$L$11))+G$15*EXP(-Parameters!$M$11*($B39-G$8))*(1-EXP(-Parameters!$M$11))+G$16*EXP(-Parameters!$N$11*($B39-G$8))*(1-EXP(-Parameters!$N$11)))</f>
        <v>7776.390227049159</v>
      </c>
      <c r="I39" s="265">
        <f>$H$5*(H$11*EXP(-Parameters!$I$11*($B39-H$8))*(1-EXP(-Parameters!$I$11))+H$12*EXP(-Parameters!$J$11*($B39-H$8))*(1-EXP(-Parameters!$J$11))+H$13*EXP(-Parameters!$K$11*($B39-H$8))*(1-EXP(-Parameters!$K$11))+H$14*EXP(-Parameters!$L$11*($B39-H$8))*(1-EXP(-Parameters!$L$11))+H$15*EXP(-Parameters!$M$11*($B39-H$8))*(1-EXP(-Parameters!$M$11))+H$16*EXP(-Parameters!$N$11*($B39-H$8))*(1-EXP(-Parameters!$N$11)))</f>
        <v>8889.1190751263694</v>
      </c>
      <c r="J39" s="265">
        <f>$H$5*(I$11*EXP(-Parameters!$I$11*($B39-I$8))*(1-EXP(-Parameters!$I$11))+I$12*EXP(-Parameters!$J$11*($B39-I$8))*(1-EXP(-Parameters!$J$11))+I$13*EXP(-Parameters!$K$11*($B39-I$8))*(1-EXP(-Parameters!$K$11))+I$14*EXP(-Parameters!$L$11*($B39-I$8))*(1-EXP(-Parameters!$L$11))+I$15*EXP(-Parameters!$M$11*($B39-I$8))*(1-EXP(-Parameters!$M$11))+I$16*EXP(-Parameters!$N$11*($B39-I$8))*(1-EXP(-Parameters!$N$11)))</f>
        <v>10194.491045415964</v>
      </c>
      <c r="K39" s="265">
        <f>$H$5*(J$11*EXP(-Parameters!$I$11*($B39-J$8))*(1-EXP(-Parameters!$I$11))+J$12*EXP(-Parameters!$J$11*($B39-J$8))*(1-EXP(-Parameters!$J$11))+J$13*EXP(-Parameters!$K$11*($B39-J$8))*(1-EXP(-Parameters!$K$11))+J$14*EXP(-Parameters!$L$11*($B39-J$8))*(1-EXP(-Parameters!$L$11))+J$15*EXP(-Parameters!$M$11*($B39-J$8))*(1-EXP(-Parameters!$M$11))+J$16*EXP(-Parameters!$N$11*($B39-J$8))*(1-EXP(-Parameters!$N$11)))</f>
        <v>11731.967415159783</v>
      </c>
      <c r="L39" s="265">
        <f>$H$5*(K$11*EXP(-Parameters!$I$11*($B39-K$8))*(1-EXP(-Parameters!$I$11))+K$12*EXP(-Parameters!$J$11*($B39-K$8))*(1-EXP(-Parameters!$J$11))+K$13*EXP(-Parameters!$K$11*($B39-K$8))*(1-EXP(-Parameters!$K$11))+K$14*EXP(-Parameters!$L$11*($B39-K$8))*(1-EXP(-Parameters!$L$11))+K$15*EXP(-Parameters!$M$11*($B39-K$8))*(1-EXP(-Parameters!$M$11))+K$16*EXP(-Parameters!$N$11*($B39-K$8))*(1-EXP(-Parameters!$N$11)))</f>
        <v>13550.077832067525</v>
      </c>
      <c r="M39" s="265">
        <f>$H$5*(L$11*EXP(-Parameters!$I$11*($B39-L$8))*(1-EXP(-Parameters!$I$11))+L$12*EXP(-Parameters!$J$11*($B39-L$8))*(1-EXP(-Parameters!$J$11))+L$13*EXP(-Parameters!$K$11*($B39-L$8))*(1-EXP(-Parameters!$K$11))+L$14*EXP(-Parameters!$L$11*($B39-L$8))*(1-EXP(-Parameters!$L$11))+L$15*EXP(-Parameters!$M$11*($B39-L$8))*(1-EXP(-Parameters!$M$11))+L$16*EXP(-Parameters!$N$11*($B39-L$8))*(1-EXP(-Parameters!$N$11)))</f>
        <v>15708.645981908783</v>
      </c>
      <c r="N39" s="265">
        <f>$H$5*(M$11*EXP(-Parameters!$I$11*($B39-M$8))*(1-EXP(-Parameters!$I$11))+M$12*EXP(-Parameters!$J$11*($B39-M$8))*(1-EXP(-Parameters!$J$11))+M$13*EXP(-Parameters!$K$11*($B39-M$8))*(1-EXP(-Parameters!$K$11))+M$14*EXP(-Parameters!$L$11*($B39-M$8))*(1-EXP(-Parameters!$L$11))+M$15*EXP(-Parameters!$M$11*($B39-M$8))*(1-EXP(-Parameters!$M$11))+M$16*EXP(-Parameters!$N$11*($B39-M$8))*(1-EXP(-Parameters!$N$11)))</f>
        <v>18281.58058439834</v>
      </c>
      <c r="O39" s="265">
        <f>$H$5*(N$11*EXP(-Parameters!$I$11*($B39-N$8))*(1-EXP(-Parameters!$I$11))+N$12*EXP(-Parameters!$J$11*($B39-N$8))*(1-EXP(-Parameters!$J$11))+N$13*EXP(-Parameters!$K$11*($B39-N$8))*(1-EXP(-Parameters!$K$11))+N$14*EXP(-Parameters!$L$11*($B39-N$8))*(1-EXP(-Parameters!$L$11))+N$15*EXP(-Parameters!$M$11*($B39-N$8))*(1-EXP(-Parameters!$M$11))+N$16*EXP(-Parameters!$N$11*($B39-N$8))*(1-EXP(-Parameters!$N$11)))</f>
        <v>21360.377828913195</v>
      </c>
      <c r="P39" s="265">
        <f>$H$5*(O$11*EXP(-Parameters!$I$11*($B39-O$8))*(1-EXP(-Parameters!$I$11))+O$12*EXP(-Parameters!$J$11*($B39-O$8))*(1-EXP(-Parameters!$J$11))+O$13*EXP(-Parameters!$K$11*($B39-O$8))*(1-EXP(-Parameters!$K$11))+O$14*EXP(-Parameters!$L$11*($B39-O$8))*(1-EXP(-Parameters!$L$11))+O$15*EXP(-Parameters!$M$11*($B39-O$8))*(1-EXP(-Parameters!$M$11))+O$16*EXP(-Parameters!$N$11*($B39-O$8))*(1-EXP(-Parameters!$N$11)))</f>
        <v>25058.519459186726</v>
      </c>
      <c r="Q39" s="265">
        <f>$H$5*(P$11*EXP(-Parameters!$I$11*($B39-P$8))*(1-EXP(-Parameters!$I$11))+P$12*EXP(-Parameters!$J$11*($B39-P$8))*(1-EXP(-Parameters!$J$11))+P$13*EXP(-Parameters!$K$11*($B39-P$8))*(1-EXP(-Parameters!$K$11))+P$14*EXP(-Parameters!$L$11*($B39-P$8))*(1-EXP(-Parameters!$L$11))+P$15*EXP(-Parameters!$M$11*($B39-P$8))*(1-EXP(-Parameters!$M$11))+P$16*EXP(-Parameters!$N$11*($B39-P$8))*(1-EXP(-Parameters!$N$11)))</f>
        <v>29516.998792872047</v>
      </c>
      <c r="R39" s="265">
        <f>$H$5*(Q$11*EXP(-Parameters!$I$11*($B39-Q$8))*(1-EXP(-Parameters!$I$11))+Q$12*EXP(-Parameters!$J$11*($B39-Q$8))*(1-EXP(-Parameters!$J$11))+Q$13*EXP(-Parameters!$K$11*($B39-Q$8))*(1-EXP(-Parameters!$K$11))+Q$14*EXP(-Parameters!$L$11*($B39-Q$8))*(1-EXP(-Parameters!$L$11))+Q$15*EXP(-Parameters!$M$11*($B39-Q$8))*(1-EXP(-Parameters!$M$11))+Q$16*EXP(-Parameters!$N$11*($B39-Q$8))*(1-EXP(-Parameters!$N$11)))</f>
        <v>34911.267637990946</v>
      </c>
      <c r="S39" s="265">
        <f>$H$5*(R$11*EXP(-Parameters!$I$11*($B39-R$8))*(1-EXP(-Parameters!$I$11))+R$12*EXP(-Parameters!$J$11*($B39-R$8))*(1-EXP(-Parameters!$J$11))+R$13*EXP(-Parameters!$K$11*($B39-R$8))*(1-EXP(-Parameters!$K$11))+R$14*EXP(-Parameters!$L$11*($B39-R$8))*(1-EXP(-Parameters!$L$11))+R$15*EXP(-Parameters!$M$11*($B39-R$8))*(1-EXP(-Parameters!$M$11))+R$16*EXP(-Parameters!$N$11*($B39-R$8))*(1-EXP(-Parameters!$N$11)))</f>
        <v>41459.973652935878</v>
      </c>
      <c r="T39" s="265">
        <f>$H$5*(S$11*EXP(-Parameters!$I$11*($B39-S$8))*(1-EXP(-Parameters!$I$11))+S$12*EXP(-Parameters!$J$11*($B39-S$8))*(1-EXP(-Parameters!$J$11))+S$13*EXP(-Parameters!$K$11*($B39-S$8))*(1-EXP(-Parameters!$K$11))+S$14*EXP(-Parameters!$L$11*($B39-S$8))*(1-EXP(-Parameters!$L$11))+S$15*EXP(-Parameters!$M$11*($B39-S$8))*(1-EXP(-Parameters!$M$11))+S$16*EXP(-Parameters!$N$11*($B39-S$8))*(1-EXP(-Parameters!$N$11)))</f>
        <v>49435.954369187639</v>
      </c>
      <c r="U39" s="265">
        <f>$H$5*(T$11*EXP(-Parameters!$I$11*($B39-T$8))*(1-EXP(-Parameters!$I$11))+T$12*EXP(-Parameters!$J$11*($B39-T$8))*(1-EXP(-Parameters!$J$11))+T$13*EXP(-Parameters!$K$11*($B39-T$8))*(1-EXP(-Parameters!$K$11))+T$14*EXP(-Parameters!$L$11*($B39-T$8))*(1-EXP(-Parameters!$L$11))+T$15*EXP(-Parameters!$M$11*($B39-T$8))*(1-EXP(-Parameters!$M$11))+T$16*EXP(-Parameters!$N$11*($B39-T$8))*(1-EXP(-Parameters!$N$11)))</f>
        <v>59180.076134711024</v>
      </c>
      <c r="V39" s="259"/>
      <c r="W39" s="259"/>
      <c r="X39" s="261"/>
    </row>
    <row r="40" spans="1:24">
      <c r="A40" s="257">
        <f>SUM(D40:V40)*Parameters!$C$13</f>
        <v>274719.40381879953</v>
      </c>
      <c r="B40" s="184">
        <v>19</v>
      </c>
      <c r="C40" s="258">
        <v>2034</v>
      </c>
      <c r="D40" s="265">
        <f>$H$5*(C$11*EXP(-Parameters!$I$11*($B40-C$8))*(1-EXP(-Parameters!$I$11))+C$12*EXP(-Parameters!$J$11*($B40-C$8))*(1-EXP(-Parameters!$J$11))+C$13*EXP(-Parameters!$K$11*($B40-C$8))*(1-EXP(-Parameters!$K$11))+C$14*EXP(-Parameters!$L$11*($B40-C$8))*(1-EXP(-Parameters!$L$11))+C$15*EXP(-Parameters!$M$11*($B40-C$8))*(1-EXP(-Parameters!$M$11))+C$16*EXP(-Parameters!$N$11*($B40-C$8))*(1-EXP(-Parameters!$N$11)))</f>
        <v>4300.0426594791033</v>
      </c>
      <c r="E40" s="265">
        <f>$H$5*(D$11*EXP(-Parameters!$I$11*($B40-D$8))*(1-EXP(-Parameters!$I$11))+D$12*EXP(-Parameters!$J$11*($B40-D$8))*(1-EXP(-Parameters!$J$11))+D$13*EXP(-Parameters!$K$11*($B40-D$8))*(1-EXP(-Parameters!$K$11))+D$14*EXP(-Parameters!$L$11*($B40-D$8))*(1-EXP(-Parameters!$L$11))+D$15*EXP(-Parameters!$M$11*($B40-D$8))*(1-EXP(-Parameters!$M$11))+D$16*EXP(-Parameters!$N$11*($B40-D$8))*(1-EXP(-Parameters!$N$11)))</f>
        <v>4710.7000411673998</v>
      </c>
      <c r="F40" s="265">
        <f>$H$5*(E$11*EXP(-Parameters!$I$11*($B40-E$8))*(1-EXP(-Parameters!$I$11))+E$12*EXP(-Parameters!$J$11*($B40-E$8))*(1-EXP(-Parameters!$J$11))+E$13*EXP(-Parameters!$K$11*($B40-E$8))*(1-EXP(-Parameters!$K$11))+E$14*EXP(-Parameters!$L$11*($B40-E$8))*(1-EXP(-Parameters!$L$11))+E$15*EXP(-Parameters!$M$11*($B40-E$8))*(1-EXP(-Parameters!$M$11))+E$16*EXP(-Parameters!$N$11*($B40-E$8))*(1-EXP(-Parameters!$N$11)))</f>
        <v>5565.6328812385182</v>
      </c>
      <c r="G40" s="265">
        <f>$H$5*(F$11*EXP(-Parameters!$I$11*($B40-F$8))*(1-EXP(-Parameters!$I$11))+F$12*EXP(-Parameters!$J$11*($B40-F$8))*(1-EXP(-Parameters!$J$11))+F$13*EXP(-Parameters!$K$11*($B40-F$8))*(1-EXP(-Parameters!$K$11))+F$14*EXP(-Parameters!$L$11*($B40-F$8))*(1-EXP(-Parameters!$L$11))+F$15*EXP(-Parameters!$M$11*($B40-F$8))*(1-EXP(-Parameters!$M$11))+F$16*EXP(-Parameters!$N$11*($B40-F$8))*(1-EXP(-Parameters!$N$11)))</f>
        <v>6306.3614453532555</v>
      </c>
      <c r="H40" s="265">
        <f>$H$5*(G$11*EXP(-Parameters!$I$11*($B40-G$8))*(1-EXP(-Parameters!$I$11))+G$12*EXP(-Parameters!$J$11*($B40-G$8))*(1-EXP(-Parameters!$J$11))+G$13*EXP(-Parameters!$K$11*($B40-G$8))*(1-EXP(-Parameters!$K$11))+G$14*EXP(-Parameters!$L$11*($B40-G$8))*(1-EXP(-Parameters!$L$11))+G$15*EXP(-Parameters!$M$11*($B40-G$8))*(1-EXP(-Parameters!$M$11))+G$16*EXP(-Parameters!$N$11*($B40-G$8))*(1-EXP(-Parameters!$N$11)))</f>
        <v>7165.342103705726</v>
      </c>
      <c r="I40" s="265">
        <f>$H$5*(H$11*EXP(-Parameters!$I$11*($B40-H$8))*(1-EXP(-Parameters!$I$11))+H$12*EXP(-Parameters!$J$11*($B40-H$8))*(1-EXP(-Parameters!$J$11))+H$13*EXP(-Parameters!$K$11*($B40-H$8))*(1-EXP(-Parameters!$K$11))+H$14*EXP(-Parameters!$L$11*($B40-H$8))*(1-EXP(-Parameters!$L$11))+H$15*EXP(-Parameters!$M$11*($B40-H$8))*(1-EXP(-Parameters!$M$11))+H$16*EXP(-Parameters!$N$11*($B40-H$8))*(1-EXP(-Parameters!$N$11)))</f>
        <v>8165.2097384016179</v>
      </c>
      <c r="J40" s="265">
        <f>$H$5*(I$11*EXP(-Parameters!$I$11*($B40-I$8))*(1-EXP(-Parameters!$I$11))+I$12*EXP(-Parameters!$J$11*($B40-I$8))*(1-EXP(-Parameters!$J$11))+I$13*EXP(-Parameters!$K$11*($B40-I$8))*(1-EXP(-Parameters!$K$11))+I$14*EXP(-Parameters!$L$11*($B40-I$8))*(1-EXP(-Parameters!$L$11))+I$15*EXP(-Parameters!$M$11*($B40-I$8))*(1-EXP(-Parameters!$M$11))+I$16*EXP(-Parameters!$N$11*($B40-I$8))*(1-EXP(-Parameters!$N$11)))</f>
        <v>9333.5750288826894</v>
      </c>
      <c r="K40" s="265">
        <f>$H$5*(J$11*EXP(-Parameters!$I$11*($B40-J$8))*(1-EXP(-Parameters!$I$11))+J$12*EXP(-Parameters!$J$11*($B40-J$8))*(1-EXP(-Parameters!$J$11))+J$13*EXP(-Parameters!$K$11*($B40-J$8))*(1-EXP(-Parameters!$K$11))+J$14*EXP(-Parameters!$L$11*($B40-J$8))*(1-EXP(-Parameters!$L$11))+J$15*EXP(-Parameters!$M$11*($B40-J$8))*(1-EXP(-Parameters!$M$11))+J$16*EXP(-Parameters!$N$11*($B40-J$8))*(1-EXP(-Parameters!$N$11)))</f>
        <v>10704.21559768676</v>
      </c>
      <c r="L40" s="265">
        <f>$H$5*(K$11*EXP(-Parameters!$I$11*($B40-K$8))*(1-EXP(-Parameters!$I$11))+K$12*EXP(-Parameters!$J$11*($B40-K$8))*(1-EXP(-Parameters!$J$11))+K$13*EXP(-Parameters!$K$11*($B40-K$8))*(1-EXP(-Parameters!$K$11))+K$14*EXP(-Parameters!$L$11*($B40-K$8))*(1-EXP(-Parameters!$L$11))+K$15*EXP(-Parameters!$M$11*($B40-K$8))*(1-EXP(-Parameters!$M$11))+K$16*EXP(-Parameters!$N$11*($B40-K$8))*(1-EXP(-Parameters!$N$11)))</f>
        <v>12318.56578591777</v>
      </c>
      <c r="M40" s="265">
        <f>$H$5*(L$11*EXP(-Parameters!$I$11*($B40-L$8))*(1-EXP(-Parameters!$I$11))+L$12*EXP(-Parameters!$J$11*($B40-L$8))*(1-EXP(-Parameters!$J$11))+L$13*EXP(-Parameters!$K$11*($B40-L$8))*(1-EXP(-Parameters!$K$11))+L$14*EXP(-Parameters!$L$11*($B40-L$8))*(1-EXP(-Parameters!$L$11))+L$15*EXP(-Parameters!$M$11*($B40-L$8))*(1-EXP(-Parameters!$M$11))+L$16*EXP(-Parameters!$N$11*($B40-L$8))*(1-EXP(-Parameters!$N$11)))</f>
        <v>14227.581723670906</v>
      </c>
      <c r="N40" s="265">
        <f>$H$5*(M$11*EXP(-Parameters!$I$11*($B40-M$8))*(1-EXP(-Parameters!$I$11))+M$12*EXP(-Parameters!$J$11*($B40-M$8))*(1-EXP(-Parameters!$J$11))+M$13*EXP(-Parameters!$K$11*($B40-M$8))*(1-EXP(-Parameters!$K$11))+M$14*EXP(-Parameters!$L$11*($B40-M$8))*(1-EXP(-Parameters!$L$11))+M$15*EXP(-Parameters!$M$11*($B40-M$8))*(1-EXP(-Parameters!$M$11))+M$16*EXP(-Parameters!$N$11*($B40-M$8))*(1-EXP(-Parameters!$N$11)))</f>
        <v>16494.078281004222</v>
      </c>
      <c r="O40" s="265">
        <f>$H$5*(N$11*EXP(-Parameters!$I$11*($B40-N$8))*(1-EXP(-Parameters!$I$11))+N$12*EXP(-Parameters!$J$11*($B40-N$8))*(1-EXP(-Parameters!$J$11))+N$13*EXP(-Parameters!$K$11*($B40-N$8))*(1-EXP(-Parameters!$K$11))+N$14*EXP(-Parameters!$L$11*($B40-N$8))*(1-EXP(-Parameters!$L$11))+N$15*EXP(-Parameters!$M$11*($B40-N$8))*(1-EXP(-Parameters!$M$11))+N$16*EXP(-Parameters!$N$11*($B40-N$8))*(1-EXP(-Parameters!$N$11)))</f>
        <v>19195.659613618252</v>
      </c>
      <c r="P40" s="265">
        <f>$H$5*(O$11*EXP(-Parameters!$I$11*($B40-O$8))*(1-EXP(-Parameters!$I$11))+O$12*EXP(-Parameters!$J$11*($B40-O$8))*(1-EXP(-Parameters!$J$11))+O$13*EXP(-Parameters!$K$11*($B40-O$8))*(1-EXP(-Parameters!$K$11))+O$14*EXP(-Parameters!$L$11*($B40-O$8))*(1-EXP(-Parameters!$L$11))+O$15*EXP(-Parameters!$M$11*($B40-O$8))*(1-EXP(-Parameters!$M$11))+O$16*EXP(-Parameters!$N$11*($B40-O$8))*(1-EXP(-Parameters!$N$11)))</f>
        <v>22428.396720358855</v>
      </c>
      <c r="Q40" s="265">
        <f>$H$5*(P$11*EXP(-Parameters!$I$11*($B40-P$8))*(1-EXP(-Parameters!$I$11))+P$12*EXP(-Parameters!$J$11*($B40-P$8))*(1-EXP(-Parameters!$J$11))+P$13*EXP(-Parameters!$K$11*($B40-P$8))*(1-EXP(-Parameters!$K$11))+P$14*EXP(-Parameters!$L$11*($B40-P$8))*(1-EXP(-Parameters!$L$11))+P$15*EXP(-Parameters!$M$11*($B40-P$8))*(1-EXP(-Parameters!$M$11))+P$16*EXP(-Parameters!$N$11*($B40-P$8))*(1-EXP(-Parameters!$N$11)))</f>
        <v>26311.445432146065</v>
      </c>
      <c r="R40" s="265">
        <f>$H$5*(Q$11*EXP(-Parameters!$I$11*($B40-Q$8))*(1-EXP(-Parameters!$I$11))+Q$12*EXP(-Parameters!$J$11*($B40-Q$8))*(1-EXP(-Parameters!$J$11))+Q$13*EXP(-Parameters!$K$11*($B40-Q$8))*(1-EXP(-Parameters!$K$11))+Q$14*EXP(-Parameters!$L$11*($B40-Q$8))*(1-EXP(-Parameters!$L$11))+Q$15*EXP(-Parameters!$M$11*($B40-Q$8))*(1-EXP(-Parameters!$M$11))+Q$16*EXP(-Parameters!$N$11*($B40-Q$8))*(1-EXP(-Parameters!$N$11)))</f>
        <v>30992.848732515646</v>
      </c>
      <c r="S40" s="265">
        <f>$H$5*(R$11*EXP(-Parameters!$I$11*($B40-R$8))*(1-EXP(-Parameters!$I$11))+R$12*EXP(-Parameters!$J$11*($B40-R$8))*(1-EXP(-Parameters!$J$11))+R$13*EXP(-Parameters!$K$11*($B40-R$8))*(1-EXP(-Parameters!$K$11))+R$14*EXP(-Parameters!$L$11*($B40-R$8))*(1-EXP(-Parameters!$L$11))+R$15*EXP(-Parameters!$M$11*($B40-R$8))*(1-EXP(-Parameters!$M$11))+R$16*EXP(-Parameters!$N$11*($B40-R$8))*(1-EXP(-Parameters!$N$11)))</f>
        <v>36656.831019890487</v>
      </c>
      <c r="T40" s="265">
        <f>$H$5*(S$11*EXP(-Parameters!$I$11*($B40-S$8))*(1-EXP(-Parameters!$I$11))+S$12*EXP(-Parameters!$J$11*($B40-S$8))*(1-EXP(-Parameters!$J$11))+S$13*EXP(-Parameters!$K$11*($B40-S$8))*(1-EXP(-Parameters!$K$11))+S$14*EXP(-Parameters!$L$11*($B40-S$8))*(1-EXP(-Parameters!$L$11))+S$15*EXP(-Parameters!$M$11*($B40-S$8))*(1-EXP(-Parameters!$M$11))+S$16*EXP(-Parameters!$N$11*($B40-S$8))*(1-EXP(-Parameters!$N$11)))</f>
        <v>43532.972335582679</v>
      </c>
      <c r="U40" s="265">
        <f>$H$5*(T$11*EXP(-Parameters!$I$11*($B40-T$8))*(1-EXP(-Parameters!$I$11))+T$12*EXP(-Parameters!$J$11*($B40-T$8))*(1-EXP(-Parameters!$J$11))+T$13*EXP(-Parameters!$K$11*($B40-T$8))*(1-EXP(-Parameters!$K$11))+T$14*EXP(-Parameters!$L$11*($B40-T$8))*(1-EXP(-Parameters!$L$11))+T$15*EXP(-Parameters!$M$11*($B40-T$8))*(1-EXP(-Parameters!$M$11))+T$16*EXP(-Parameters!$N$11*($B40-T$8))*(1-EXP(-Parameters!$N$11)))</f>
        <v>51907.752087647015</v>
      </c>
      <c r="V40" s="265">
        <f>$H$5*(U$11*EXP(-Parameters!$I$11*($B40-U$8))*(1-EXP(-Parameters!$I$11))+U$12*EXP(-Parameters!$J$11*($B40-U$8))*(1-EXP(-Parameters!$J$11))+U$13*EXP(-Parameters!$K$11*($B40-U$8))*(1-EXP(-Parameters!$K$11))+U$14*EXP(-Parameters!$L$11*($B40-U$8))*(1-EXP(-Parameters!$L$11))+U$15*EXP(-Parameters!$M$11*($B40-U$8))*(1-EXP(-Parameters!$M$11))+U$16*EXP(-Parameters!$N$11*($B40-U$8))*(1-EXP(-Parameters!$N$11)))</f>
        <v>62139.07994144658</v>
      </c>
      <c r="W40" s="260"/>
      <c r="X40" s="261"/>
    </row>
    <row r="41" spans="1:24">
      <c r="A41" s="257">
        <f>SUM(D41:W41)*Parameters!$C$13</f>
        <v>291332.32107753877</v>
      </c>
      <c r="B41" s="266">
        <v>20</v>
      </c>
      <c r="C41" s="267">
        <v>2035</v>
      </c>
      <c r="D41" s="265">
        <f>$H$5*(C$11*EXP(-Parameters!$I$11*($B41-C$8))*(1-EXP(-Parameters!$I$11))+C$12*EXP(-Parameters!$J$11*($B41-C$8))*(1-EXP(-Parameters!$J$11))+C$13*EXP(-Parameters!$K$11*($B41-C$8))*(1-EXP(-Parameters!$K$11))+C$14*EXP(-Parameters!$L$11*($B41-C$8))*(1-EXP(-Parameters!$L$11))+C$15*EXP(-Parameters!$M$11*($B41-C$8))*(1-EXP(-Parameters!$M$11))+C$16*EXP(-Parameters!$N$11*($B41-C$8))*(1-EXP(-Parameters!$N$11)))</f>
        <v>4013.4539434371609</v>
      </c>
      <c r="E41" s="265">
        <f>$H$5*(D$11*EXP(-Parameters!$I$11*($B41-D$8))*(1-EXP(-Parameters!$I$11))+D$12*EXP(-Parameters!$J$11*($B41-D$8))*(1-EXP(-Parameters!$J$11))+D$13*EXP(-Parameters!$K$11*($B41-D$8))*(1-EXP(-Parameters!$K$11))+D$14*EXP(-Parameters!$L$11*($B41-D$8))*(1-EXP(-Parameters!$L$11))+D$15*EXP(-Parameters!$M$11*($B41-D$8))*(1-EXP(-Parameters!$M$11))+D$16*EXP(-Parameters!$N$11*($B41-D$8))*(1-EXP(-Parameters!$N$11)))</f>
        <v>4386.9791385002145</v>
      </c>
      <c r="F41" s="265">
        <f>$H$5*(E$11*EXP(-Parameters!$I$11*($B41-E$8))*(1-EXP(-Parameters!$I$11))+E$12*EXP(-Parameters!$J$11*($B41-E$8))*(1-EXP(-Parameters!$J$11))+E$13*EXP(-Parameters!$K$11*($B41-E$8))*(1-EXP(-Parameters!$K$11))+E$14*EXP(-Parameters!$L$11*($B41-E$8))*(1-EXP(-Parameters!$L$11))+E$15*EXP(-Parameters!$M$11*($B41-E$8))*(1-EXP(-Parameters!$M$11))+E$16*EXP(-Parameters!$N$11*($B41-E$8))*(1-EXP(-Parameters!$N$11)))</f>
        <v>5170.7711363118497</v>
      </c>
      <c r="G41" s="265">
        <f>$H$5*(F$11*EXP(-Parameters!$I$11*($B41-F$8))*(1-EXP(-Parameters!$I$11))+F$12*EXP(-Parameters!$J$11*($B41-F$8))*(1-EXP(-Parameters!$J$11))+F$13*EXP(-Parameters!$K$11*($B41-F$8))*(1-EXP(-Parameters!$K$11))+F$14*EXP(-Parameters!$L$11*($B41-F$8))*(1-EXP(-Parameters!$L$11))+F$15*EXP(-Parameters!$M$11*($B41-F$8))*(1-EXP(-Parameters!$M$11))+F$16*EXP(-Parameters!$N$11*($B41-F$8))*(1-EXP(-Parameters!$N$11)))</f>
        <v>5843.9145253004444</v>
      </c>
      <c r="H41" s="265">
        <f>$H$5*(G$11*EXP(-Parameters!$I$11*($B41-G$8))*(1-EXP(-Parameters!$I$11))+G$12*EXP(-Parameters!$J$11*($B41-G$8))*(1-EXP(-Parameters!$J$11))+G$13*EXP(-Parameters!$K$11*($B41-G$8))*(1-EXP(-Parameters!$K$11))+G$14*EXP(-Parameters!$L$11*($B41-G$8))*(1-EXP(-Parameters!$L$11))+G$15*EXP(-Parameters!$M$11*($B41-G$8))*(1-EXP(-Parameters!$M$11))+G$16*EXP(-Parameters!$N$11*($B41-G$8))*(1-EXP(-Parameters!$N$11)))</f>
        <v>6621.679517620918</v>
      </c>
      <c r="I41" s="265">
        <f>$H$5*(H$11*EXP(-Parameters!$I$11*($B41-H$8))*(1-EXP(-Parameters!$I$11))+H$12*EXP(-Parameters!$J$11*($B41-H$8))*(1-EXP(-Parameters!$J$11))+H$13*EXP(-Parameters!$K$11*($B41-H$8))*(1-EXP(-Parameters!$K$11))+H$14*EXP(-Parameters!$L$11*($B41-H$8))*(1-EXP(-Parameters!$L$11))+H$15*EXP(-Parameters!$M$11*($B41-H$8))*(1-EXP(-Parameters!$M$11))+H$16*EXP(-Parameters!$N$11*($B41-H$8))*(1-EXP(-Parameters!$N$11)))</f>
        <v>7523.6092088910127</v>
      </c>
      <c r="J41" s="265">
        <f>$H$5*(I$11*EXP(-Parameters!$I$11*($B41-I$8))*(1-EXP(-Parameters!$I$11))+I$12*EXP(-Parameters!$J$11*($B41-I$8))*(1-EXP(-Parameters!$J$11))+I$13*EXP(-Parameters!$K$11*($B41-I$8))*(1-EXP(-Parameters!$K$11))+I$14*EXP(-Parameters!$L$11*($B41-I$8))*(1-EXP(-Parameters!$L$11))+I$15*EXP(-Parameters!$M$11*($B41-I$8))*(1-EXP(-Parameters!$M$11))+I$16*EXP(-Parameters!$N$11*($B41-I$8))*(1-EXP(-Parameters!$N$11)))</f>
        <v>8573.4702253217001</v>
      </c>
      <c r="K41" s="265">
        <f>$H$5*(J$11*EXP(-Parameters!$I$11*($B41-J$8))*(1-EXP(-Parameters!$I$11))+J$12*EXP(-Parameters!$J$11*($B41-J$8))*(1-EXP(-Parameters!$J$11))+J$13*EXP(-Parameters!$K$11*($B41-J$8))*(1-EXP(-Parameters!$K$11))+J$14*EXP(-Parameters!$L$11*($B41-J$8))*(1-EXP(-Parameters!$L$11))+J$15*EXP(-Parameters!$M$11*($B41-J$8))*(1-EXP(-Parameters!$M$11))+J$16*EXP(-Parameters!$N$11*($B41-J$8))*(1-EXP(-Parameters!$N$11)))</f>
        <v>9800.2537803268242</v>
      </c>
      <c r="L41" s="265">
        <f>$H$5*(K$11*EXP(-Parameters!$I$11*($B41-K$8))*(1-EXP(-Parameters!$I$11))+K$12*EXP(-Parameters!$J$11*($B41-K$8))*(1-EXP(-Parameters!$J$11))+K$13*EXP(-Parameters!$K$11*($B41-K$8))*(1-EXP(-Parameters!$K$11))+K$14*EXP(-Parameters!$L$11*($B41-K$8))*(1-EXP(-Parameters!$L$11))+K$15*EXP(-Parameters!$M$11*($B41-K$8))*(1-EXP(-Parameters!$M$11))+K$16*EXP(-Parameters!$N$11*($B41-K$8))*(1-EXP(-Parameters!$N$11)))</f>
        <v>11239.426377571097</v>
      </c>
      <c r="M41" s="265">
        <f>$H$5*(L$11*EXP(-Parameters!$I$11*($B41-L$8))*(1-EXP(-Parameters!$I$11))+L$12*EXP(-Parameters!$J$11*($B41-L$8))*(1-EXP(-Parameters!$J$11))+L$13*EXP(-Parameters!$K$11*($B41-L$8))*(1-EXP(-Parameters!$K$11))+L$14*EXP(-Parameters!$L$11*($B41-L$8))*(1-EXP(-Parameters!$L$11))+L$15*EXP(-Parameters!$M$11*($B41-L$8))*(1-EXP(-Parameters!$M$11))+L$16*EXP(-Parameters!$N$11*($B41-L$8))*(1-EXP(-Parameters!$N$11)))</f>
        <v>12934.494075213663</v>
      </c>
      <c r="N41" s="265">
        <f>$H$5*(M$11*EXP(-Parameters!$I$11*($B41-M$8))*(1-EXP(-Parameters!$I$11))+M$12*EXP(-Parameters!$J$11*($B41-M$8))*(1-EXP(-Parameters!$J$11))+M$13*EXP(-Parameters!$K$11*($B41-M$8))*(1-EXP(-Parameters!$K$11))+M$14*EXP(-Parameters!$L$11*($B41-M$8))*(1-EXP(-Parameters!$L$11))+M$15*EXP(-Parameters!$M$11*($B41-M$8))*(1-EXP(-Parameters!$M$11))+M$16*EXP(-Parameters!$N$11*($B41-M$8))*(1-EXP(-Parameters!$N$11)))</f>
        <v>14938.960809854456</v>
      </c>
      <c r="O41" s="265">
        <f>$H$5*(N$11*EXP(-Parameters!$I$11*($B41-N$8))*(1-EXP(-Parameters!$I$11))+N$12*EXP(-Parameters!$J$11*($B41-N$8))*(1-EXP(-Parameters!$J$11))+N$13*EXP(-Parameters!$K$11*($B41-N$8))*(1-EXP(-Parameters!$K$11))+N$14*EXP(-Parameters!$L$11*($B41-N$8))*(1-EXP(-Parameters!$L$11))+N$15*EXP(-Parameters!$M$11*($B41-N$8))*(1-EXP(-Parameters!$M$11))+N$16*EXP(-Parameters!$N$11*($B41-N$8))*(1-EXP(-Parameters!$N$11)))</f>
        <v>17318.782195054435</v>
      </c>
      <c r="P41" s="265">
        <f>$H$5*(O$11*EXP(-Parameters!$I$11*($B41-O$8))*(1-EXP(-Parameters!$I$11))+O$12*EXP(-Parameters!$J$11*($B41-O$8))*(1-EXP(-Parameters!$J$11))+O$13*EXP(-Parameters!$K$11*($B41-O$8))*(1-EXP(-Parameters!$K$11))+O$14*EXP(-Parameters!$L$11*($B41-O$8))*(1-EXP(-Parameters!$L$11))+O$15*EXP(-Parameters!$M$11*($B41-O$8))*(1-EXP(-Parameters!$M$11))+O$16*EXP(-Parameters!$N$11*($B41-O$8))*(1-EXP(-Parameters!$N$11)))</f>
        <v>20155.442594299169</v>
      </c>
      <c r="Q41" s="265">
        <f>$H$5*(P$11*EXP(-Parameters!$I$11*($B41-P$8))*(1-EXP(-Parameters!$I$11))+P$12*EXP(-Parameters!$J$11*($B41-P$8))*(1-EXP(-Parameters!$J$11))+P$13*EXP(-Parameters!$K$11*($B41-P$8))*(1-EXP(-Parameters!$K$11))+P$14*EXP(-Parameters!$L$11*($B41-P$8))*(1-EXP(-Parameters!$L$11))+P$15*EXP(-Parameters!$M$11*($B41-P$8))*(1-EXP(-Parameters!$M$11))+P$16*EXP(-Parameters!$N$11*($B41-P$8))*(1-EXP(-Parameters!$N$11)))</f>
        <v>23549.816556376798</v>
      </c>
      <c r="R41" s="265">
        <f>$H$5*(Q$11*EXP(-Parameters!$I$11*($B41-Q$8))*(1-EXP(-Parameters!$I$11))+Q$12*EXP(-Parameters!$J$11*($B41-Q$8))*(1-EXP(-Parameters!$J$11))+Q$13*EXP(-Parameters!$K$11*($B41-Q$8))*(1-EXP(-Parameters!$K$11))+Q$14*EXP(-Parameters!$L$11*($B41-Q$8))*(1-EXP(-Parameters!$L$11))+Q$15*EXP(-Parameters!$M$11*($B41-Q$8))*(1-EXP(-Parameters!$M$11))+Q$16*EXP(-Parameters!$N$11*($B41-Q$8))*(1-EXP(-Parameters!$N$11)))</f>
        <v>27627.017703753365</v>
      </c>
      <c r="S41" s="265">
        <f>$H$5*(R$11*EXP(-Parameters!$I$11*($B41-R$8))*(1-EXP(-Parameters!$I$11))+R$12*EXP(-Parameters!$J$11*($B41-R$8))*(1-EXP(-Parameters!$J$11))+R$13*EXP(-Parameters!$K$11*($B41-R$8))*(1-EXP(-Parameters!$K$11))+R$14*EXP(-Parameters!$L$11*($B41-R$8))*(1-EXP(-Parameters!$L$11))+R$15*EXP(-Parameters!$M$11*($B41-R$8))*(1-EXP(-Parameters!$M$11))+R$16*EXP(-Parameters!$N$11*($B41-R$8))*(1-EXP(-Parameters!$N$11)))</f>
        <v>32542.491169141431</v>
      </c>
      <c r="T41" s="265">
        <f>$H$5*(S$11*EXP(-Parameters!$I$11*($B41-S$8))*(1-EXP(-Parameters!$I$11))+S$12*EXP(-Parameters!$J$11*($B41-S$8))*(1-EXP(-Parameters!$J$11))+S$13*EXP(-Parameters!$K$11*($B41-S$8))*(1-EXP(-Parameters!$K$11))+S$14*EXP(-Parameters!$L$11*($B41-S$8))*(1-EXP(-Parameters!$L$11))+S$15*EXP(-Parameters!$M$11*($B41-S$8))*(1-EXP(-Parameters!$M$11))+S$16*EXP(-Parameters!$N$11*($B41-S$8))*(1-EXP(-Parameters!$N$11)))</f>
        <v>38489.672570885014</v>
      </c>
      <c r="U41" s="265">
        <f>$H$5*(T$11*EXP(-Parameters!$I$11*($B41-T$8))*(1-EXP(-Parameters!$I$11))+T$12*EXP(-Parameters!$J$11*($B41-T$8))*(1-EXP(-Parameters!$J$11))+T$13*EXP(-Parameters!$K$11*($B41-T$8))*(1-EXP(-Parameters!$K$11))+T$14*EXP(-Parameters!$L$11*($B41-T$8))*(1-EXP(-Parameters!$L$11))+T$15*EXP(-Parameters!$M$11*($B41-T$8))*(1-EXP(-Parameters!$M$11))+T$16*EXP(-Parameters!$N$11*($B41-T$8))*(1-EXP(-Parameters!$N$11)))</f>
        <v>45709.620952361794</v>
      </c>
      <c r="V41" s="265">
        <f>$H$5*(U$11*EXP(-Parameters!$I$11*($B41-U$8))*(1-EXP(-Parameters!$I$11))+U$12*EXP(-Parameters!$J$11*($B41-U$8))*(1-EXP(-Parameters!$J$11))+U$13*EXP(-Parameters!$K$11*($B41-U$8))*(1-EXP(-Parameters!$K$11))+U$14*EXP(-Parameters!$L$11*($B41-U$8))*(1-EXP(-Parameters!$L$11))+U$15*EXP(-Parameters!$M$11*($B41-U$8))*(1-EXP(-Parameters!$M$11))+U$16*EXP(-Parameters!$N$11*($B41-U$8))*(1-EXP(-Parameters!$N$11)))</f>
        <v>54503.139692029385</v>
      </c>
      <c r="W41" s="265">
        <f>$H$5*(V$11*EXP(-Parameters!$I$11*($B41-V$8))*(1-EXP(-Parameters!$I$11))+V$12*EXP(-Parameters!$J$11*($B41-V$8))*(1-EXP(-Parameters!$J$11))+V$13*EXP(-Parameters!$K$11*($B41-V$8))*(1-EXP(-Parameters!$K$11))+V$14*EXP(-Parameters!$L$11*($B41-V$8))*(1-EXP(-Parameters!$L$11))+V$15*EXP(-Parameters!$M$11*($B41-V$8))*(1-EXP(-Parameters!$M$11))+V$16*EXP(-Parameters!$N$11*($B41-V$8))*(1-EXP(-Parameters!$N$11)))</f>
        <v>65246.033938518907</v>
      </c>
      <c r="X41" s="261"/>
    </row>
    <row r="42" spans="1:24" ht="18" thickBot="1">
      <c r="A42" s="268">
        <f>SUM(D42:X42)*Parameters!$C$13</f>
        <v>308589.22271348065</v>
      </c>
      <c r="B42" s="269">
        <v>21</v>
      </c>
      <c r="C42" s="270">
        <v>2036</v>
      </c>
      <c r="D42" s="265">
        <f>$H$5*(C$11*EXP(-Parameters!$I$11*($B42-C$8))*(1-EXP(-Parameters!$I$11))+C$12*EXP(-Parameters!$J$11*($B42-C$8))*(1-EXP(-Parameters!$J$11))+C$13*EXP(-Parameters!$K$11*($B42-C$8))*(1-EXP(-Parameters!$K$11))+C$14*EXP(-Parameters!$L$11*($B42-C$8))*(1-EXP(-Parameters!$L$11))+C$15*EXP(-Parameters!$M$11*($B42-C$8))*(1-EXP(-Parameters!$M$11))+C$16*EXP(-Parameters!$N$11*($B42-C$8))*(1-EXP(-Parameters!$N$11)))</f>
        <v>3753.689570479582</v>
      </c>
      <c r="E42" s="265">
        <f>$H$5*(D$11*EXP(-Parameters!$I$11*($B42-D$8))*(1-EXP(-Parameters!$I$11))+D$12*EXP(-Parameters!$J$11*($B42-D$8))*(1-EXP(-Parameters!$J$11))+D$13*EXP(-Parameters!$K$11*($B42-D$8))*(1-EXP(-Parameters!$K$11))+D$14*EXP(-Parameters!$L$11*($B42-D$8))*(1-EXP(-Parameters!$L$11))+D$15*EXP(-Parameters!$M$11*($B42-D$8))*(1-EXP(-Parameters!$M$11))+D$16*EXP(-Parameters!$N$11*($B42-D$8))*(1-EXP(-Parameters!$N$11)))</f>
        <v>4094.5962906617078</v>
      </c>
      <c r="F42" s="265">
        <f>$H$5*(E$11*EXP(-Parameters!$I$11*($B42-E$8))*(1-EXP(-Parameters!$I$11))+E$12*EXP(-Parameters!$J$11*($B42-E$8))*(1-EXP(-Parameters!$J$11))+E$13*EXP(-Parameters!$K$11*($B42-E$8))*(1-EXP(-Parameters!$K$11))+E$14*EXP(-Parameters!$L$11*($B42-E$8))*(1-EXP(-Parameters!$L$11))+E$15*EXP(-Parameters!$M$11*($B42-E$8))*(1-EXP(-Parameters!$M$11))+E$16*EXP(-Parameters!$N$11*($B42-E$8))*(1-EXP(-Parameters!$N$11)))</f>
        <v>4815.4339921286073</v>
      </c>
      <c r="G42" s="265">
        <f>$H$5*(F$11*EXP(-Parameters!$I$11*($B42-F$8))*(1-EXP(-Parameters!$I$11))+F$12*EXP(-Parameters!$J$11*($B42-F$8))*(1-EXP(-Parameters!$J$11))+F$13*EXP(-Parameters!$K$11*($B42-F$8))*(1-EXP(-Parameters!$K$11))+F$14*EXP(-Parameters!$L$11*($B42-F$8))*(1-EXP(-Parameters!$L$11))+F$15*EXP(-Parameters!$M$11*($B42-F$8))*(1-EXP(-Parameters!$M$11))+F$16*EXP(-Parameters!$N$11*($B42-F$8))*(1-EXP(-Parameters!$N$11)))</f>
        <v>5429.3096931274413</v>
      </c>
      <c r="H42" s="265">
        <f>$H$5*(G$11*EXP(-Parameters!$I$11*($B42-G$8))*(1-EXP(-Parameters!$I$11))+G$12*EXP(-Parameters!$J$11*($B42-G$8))*(1-EXP(-Parameters!$J$11))+G$13*EXP(-Parameters!$K$11*($B42-G$8))*(1-EXP(-Parameters!$K$11))+G$14*EXP(-Parameters!$L$11*($B42-G$8))*(1-EXP(-Parameters!$L$11))+G$15*EXP(-Parameters!$M$11*($B42-G$8))*(1-EXP(-Parameters!$M$11))+G$16*EXP(-Parameters!$N$11*($B42-G$8))*(1-EXP(-Parameters!$N$11)))</f>
        <v>6136.1102515654666</v>
      </c>
      <c r="I42" s="265">
        <f>$H$5*(H$11*EXP(-Parameters!$I$11*($B42-H$8))*(1-EXP(-Parameters!$I$11))+H$12*EXP(-Parameters!$J$11*($B42-H$8))*(1-EXP(-Parameters!$J$11))+H$13*EXP(-Parameters!$K$11*($B42-H$8))*(1-EXP(-Parameters!$K$11))+H$14*EXP(-Parameters!$L$11*($B42-H$8))*(1-EXP(-Parameters!$L$11))+H$15*EXP(-Parameters!$M$11*($B42-H$8))*(1-EXP(-Parameters!$M$11))+H$16*EXP(-Parameters!$N$11*($B42-H$8))*(1-EXP(-Parameters!$N$11)))</f>
        <v>6952.7634935019641</v>
      </c>
      <c r="J42" s="265">
        <f>$H$5*(I$11*EXP(-Parameters!$I$11*($B42-I$8))*(1-EXP(-Parameters!$I$11))+I$12*EXP(-Parameters!$J$11*($B42-I$8))*(1-EXP(-Parameters!$J$11))+I$13*EXP(-Parameters!$K$11*($B42-I$8))*(1-EXP(-Parameters!$K$11))+I$14*EXP(-Parameters!$L$11*($B42-I$8))*(1-EXP(-Parameters!$L$11))+I$15*EXP(-Parameters!$M$11*($B42-I$8))*(1-EXP(-Parameters!$M$11))+I$16*EXP(-Parameters!$N$11*($B42-I$8))*(1-EXP(-Parameters!$N$11)))</f>
        <v>7899.7896693355651</v>
      </c>
      <c r="K42" s="265">
        <f>$H$5*(J$11*EXP(-Parameters!$I$11*($B42-J$8))*(1-EXP(-Parameters!$I$11))+J$12*EXP(-Parameters!$J$11*($B42-J$8))*(1-EXP(-Parameters!$J$11))+J$13*EXP(-Parameters!$K$11*($B42-J$8))*(1-EXP(-Parameters!$K$11))+J$14*EXP(-Parameters!$L$11*($B42-J$8))*(1-EXP(-Parameters!$L$11))+J$15*EXP(-Parameters!$M$11*($B42-J$8))*(1-EXP(-Parameters!$M$11))+J$16*EXP(-Parameters!$N$11*($B42-J$8))*(1-EXP(-Parameters!$N$11)))</f>
        <v>9002.1437365877864</v>
      </c>
      <c r="L42" s="265">
        <f>$H$5*(K$11*EXP(-Parameters!$I$11*($B42-K$8))*(1-EXP(-Parameters!$I$11))+K$12*EXP(-Parameters!$J$11*($B42-K$8))*(1-EXP(-Parameters!$J$11))+K$13*EXP(-Parameters!$K$11*($B42-K$8))*(1-EXP(-Parameters!$K$11))+K$14*EXP(-Parameters!$L$11*($B42-K$8))*(1-EXP(-Parameters!$L$11))+K$15*EXP(-Parameters!$M$11*($B42-K$8))*(1-EXP(-Parameters!$M$11))+K$16*EXP(-Parameters!$N$11*($B42-K$8))*(1-EXP(-Parameters!$N$11)))</f>
        <v>10290.266469343165</v>
      </c>
      <c r="M42" s="265">
        <f>$H$5*(L$11*EXP(-Parameters!$I$11*($B42-L$8))*(1-EXP(-Parameters!$I$11))+L$12*EXP(-Parameters!$J$11*($B42-L$8))*(1-EXP(-Parameters!$J$11))+L$13*EXP(-Parameters!$K$11*($B42-L$8))*(1-EXP(-Parameters!$K$11))+L$14*EXP(-Parameters!$L$11*($B42-L$8))*(1-EXP(-Parameters!$L$11))+L$15*EXP(-Parameters!$M$11*($B42-L$8))*(1-EXP(-Parameters!$M$11))+L$16*EXP(-Parameters!$N$11*($B42-L$8))*(1-EXP(-Parameters!$N$11)))</f>
        <v>11801.397696449654</v>
      </c>
      <c r="N42" s="265">
        <f>$H$5*(M$11*EXP(-Parameters!$I$11*($B42-M$8))*(1-EXP(-Parameters!$I$11))+M$12*EXP(-Parameters!$J$11*($B42-M$8))*(1-EXP(-Parameters!$J$11))+M$13*EXP(-Parameters!$K$11*($B42-M$8))*(1-EXP(-Parameters!$K$11))+M$14*EXP(-Parameters!$L$11*($B42-M$8))*(1-EXP(-Parameters!$L$11))+M$15*EXP(-Parameters!$M$11*($B42-M$8))*(1-EXP(-Parameters!$M$11))+M$16*EXP(-Parameters!$N$11*($B42-M$8))*(1-EXP(-Parameters!$N$11)))</f>
        <v>13581.218778974342</v>
      </c>
      <c r="O42" s="265">
        <f>$H$5*(N$11*EXP(-Parameters!$I$11*($B42-N$8))*(1-EXP(-Parameters!$I$11))+N$12*EXP(-Parameters!$J$11*($B42-N$8))*(1-EXP(-Parameters!$J$11))+N$13*EXP(-Parameters!$K$11*($B42-N$8))*(1-EXP(-Parameters!$K$11))+N$14*EXP(-Parameters!$L$11*($B42-N$8))*(1-EXP(-Parameters!$L$11))+N$15*EXP(-Parameters!$M$11*($B42-N$8))*(1-EXP(-Parameters!$M$11))+N$16*EXP(-Parameters!$N$11*($B42-N$8))*(1-EXP(-Parameters!$N$11)))</f>
        <v>15685.908850347172</v>
      </c>
      <c r="P42" s="265">
        <f>$H$5*(O$11*EXP(-Parameters!$I$11*($B42-O$8))*(1-EXP(-Parameters!$I$11))+O$12*EXP(-Parameters!$J$11*($B42-O$8))*(1-EXP(-Parameters!$J$11))+O$13*EXP(-Parameters!$K$11*($B42-O$8))*(1-EXP(-Parameters!$K$11))+O$14*EXP(-Parameters!$L$11*($B42-O$8))*(1-EXP(-Parameters!$L$11))+O$15*EXP(-Parameters!$M$11*($B42-O$8))*(1-EXP(-Parameters!$M$11))+O$16*EXP(-Parameters!$N$11*($B42-O$8))*(1-EXP(-Parameters!$N$11)))</f>
        <v>18184.721304807154</v>
      </c>
      <c r="Q42" s="265">
        <f>$H$5*(P$11*EXP(-Parameters!$I$11*($B42-P$8))*(1-EXP(-Parameters!$I$11))+P$12*EXP(-Parameters!$J$11*($B42-P$8))*(1-EXP(-Parameters!$J$11))+P$13*EXP(-Parameters!$K$11*($B42-P$8))*(1-EXP(-Parameters!$K$11))+P$14*EXP(-Parameters!$L$11*($B42-P$8))*(1-EXP(-Parameters!$L$11))+P$15*EXP(-Parameters!$M$11*($B42-P$8))*(1-EXP(-Parameters!$M$11))+P$16*EXP(-Parameters!$N$11*($B42-P$8))*(1-EXP(-Parameters!$N$11)))</f>
        <v>21163.214724014128</v>
      </c>
      <c r="R42" s="265">
        <f>$H$5*(Q$11*EXP(-Parameters!$I$11*($B42-Q$8))*(1-EXP(-Parameters!$I$11))+Q$12*EXP(-Parameters!$J$11*($B42-Q$8))*(1-EXP(-Parameters!$J$11))+Q$13*EXP(-Parameters!$K$11*($B42-Q$8))*(1-EXP(-Parameters!$K$11))+Q$14*EXP(-Parameters!$L$11*($B42-Q$8))*(1-EXP(-Parameters!$L$11))+Q$15*EXP(-Parameters!$M$11*($B42-Q$8))*(1-EXP(-Parameters!$M$11))+Q$16*EXP(-Parameters!$N$11*($B42-Q$8))*(1-EXP(-Parameters!$N$11)))</f>
        <v>24727.307384195636</v>
      </c>
      <c r="S42" s="265">
        <f>$H$5*(R$11*EXP(-Parameters!$I$11*($B42-R$8))*(1-EXP(-Parameters!$I$11))+R$12*EXP(-Parameters!$J$11*($B42-R$8))*(1-EXP(-Parameters!$J$11))+R$13*EXP(-Parameters!$K$11*($B42-R$8))*(1-EXP(-Parameters!$K$11))+R$14*EXP(-Parameters!$L$11*($B42-R$8))*(1-EXP(-Parameters!$L$11))+R$15*EXP(-Parameters!$M$11*($B42-R$8))*(1-EXP(-Parameters!$M$11))+R$16*EXP(-Parameters!$N$11*($B42-R$8))*(1-EXP(-Parameters!$N$11)))</f>
        <v>29008.368588941034</v>
      </c>
      <c r="T42" s="265">
        <f>$H$5*(S$11*EXP(-Parameters!$I$11*($B42-S$8))*(1-EXP(-Parameters!$I$11))+S$12*EXP(-Parameters!$J$11*($B42-S$8))*(1-EXP(-Parameters!$J$11))+S$13*EXP(-Parameters!$K$11*($B42-S$8))*(1-EXP(-Parameters!$K$11))+S$14*EXP(-Parameters!$L$11*($B42-S$8))*(1-EXP(-Parameters!$L$11))+S$15*EXP(-Parameters!$M$11*($B42-S$8))*(1-EXP(-Parameters!$M$11))+S$16*EXP(-Parameters!$N$11*($B42-S$8))*(1-EXP(-Parameters!$N$11)))</f>
        <v>34169.61572759851</v>
      </c>
      <c r="U42" s="265">
        <f>$H$5*(T$11*EXP(-Parameters!$I$11*($B42-T$8))*(1-EXP(-Parameters!$I$11))+T$12*EXP(-Parameters!$J$11*($B42-T$8))*(1-EXP(-Parameters!$J$11))+T$13*EXP(-Parameters!$K$11*($B42-T$8))*(1-EXP(-Parameters!$K$11))+T$14*EXP(-Parameters!$L$11*($B42-T$8))*(1-EXP(-Parameters!$L$11))+T$15*EXP(-Parameters!$M$11*($B42-T$8))*(1-EXP(-Parameters!$M$11))+T$16*EXP(-Parameters!$N$11*($B42-T$8))*(1-EXP(-Parameters!$N$11)))</f>
        <v>40414.156199429272</v>
      </c>
      <c r="V42" s="265">
        <f>$H$5*(U$11*EXP(-Parameters!$I$11*($B42-U$8))*(1-EXP(-Parameters!$I$11))+U$12*EXP(-Parameters!$J$11*($B42-U$8))*(1-EXP(-Parameters!$J$11))+U$13*EXP(-Parameters!$K$11*($B42-U$8))*(1-EXP(-Parameters!$K$11))+U$14*EXP(-Parameters!$L$11*($B42-U$8))*(1-EXP(-Parameters!$L$11))+U$15*EXP(-Parameters!$M$11*($B42-U$8))*(1-EXP(-Parameters!$M$11))+U$16*EXP(-Parameters!$N$11*($B42-U$8))*(1-EXP(-Parameters!$N$11)))</f>
        <v>47995.101999979888</v>
      </c>
      <c r="W42" s="265">
        <f>$H$5*(V$11*EXP(-Parameters!$I$11*($B42-V$8))*(1-EXP(-Parameters!$I$11))+V$12*EXP(-Parameters!$J$11*($B42-V$8))*(1-EXP(-Parameters!$J$11))+V$13*EXP(-Parameters!$K$11*($B42-V$8))*(1-EXP(-Parameters!$K$11))+V$14*EXP(-Parameters!$L$11*($B42-V$8))*(1-EXP(-Parameters!$L$11))+V$15*EXP(-Parameters!$M$11*($B42-V$8))*(1-EXP(-Parameters!$M$11))+V$16*EXP(-Parameters!$N$11*($B42-V$8))*(1-EXP(-Parameters!$N$11)))</f>
        <v>57228.296676630853</v>
      </c>
      <c r="X42" s="265">
        <f>$H$5*(W$11*EXP(-Parameters!$I$11*($B42-W$8))*(1-EXP(-Parameters!$I$11))+W$12*EXP(-Parameters!$J$11*($B42-W$8))*(1-EXP(-Parameters!$J$11))+W$13*EXP(-Parameters!$K$11*($B42-W$8))*(1-EXP(-Parameters!$K$11))+W$14*EXP(-Parameters!$L$11*($B42-W$8))*(1-EXP(-Parameters!$L$11))+W$15*EXP(-Parameters!$M$11*($B42-W$8))*(1-EXP(-Parameters!$M$11))+W$16*EXP(-Parameters!$N$11*($B42-W$8))*(1-EXP(-Parameters!$N$11)))</f>
        <v>68508.335635444877</v>
      </c>
    </row>
  </sheetData>
  <pageMargins left="0.7" right="0.7" top="0.75" bottom="0.75" header="0.3" footer="0.3"/>
  <pageSetup orientation="portrait"/>
  <legacyDrawing r:id="rId1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Combined Margin EF</vt:lpstr>
      <vt:lpstr>EGs</vt:lpstr>
      <vt:lpstr>FCs</vt:lpstr>
      <vt:lpstr>Heating Values</vt:lpstr>
      <vt:lpstr>NCVs</vt:lpstr>
      <vt:lpstr>Default EFs</vt:lpstr>
      <vt:lpstr>Facility_Efficiencies</vt:lpstr>
      <vt:lpstr>OM Calculation</vt:lpstr>
      <vt:lpstr>Methane Production</vt:lpstr>
      <vt:lpstr>ERs Calculation</vt:lpstr>
      <vt:lpstr>BM Calculation</vt:lpstr>
      <vt:lpstr>BE Grid</vt:lpstr>
      <vt:lpstr>Parameters</vt:lpstr>
    </vt:vector>
  </TitlesOfParts>
  <Manager/>
  <Company>Ruzgar Danismanlik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Cagla Balci Eris</dc:creator>
  <cp:keywords/>
  <dc:description/>
  <cp:lastModifiedBy>Cagla Balci Eris</cp:lastModifiedBy>
  <cp:lastPrinted>2010-04-24T07:59:55Z</cp:lastPrinted>
  <dcterms:created xsi:type="dcterms:W3CDTF">2008-05-07T10:53:11Z</dcterms:created>
  <dcterms:modified xsi:type="dcterms:W3CDTF">2024-05-20T10:30:07Z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32c3cbaf-6d7e-44fd-9fdf-ec164940d0d9</vt:lpwstr>
  </property>
  <property fmtid="{D5CDD505-2E9C-101B-9397-08002B2CF9AE}" pid="3" name="ENJSiniflandirma">
    <vt:lpwstr>Kisisel</vt:lpwstr>
  </property>
  <property fmtid="{D5CDD505-2E9C-101B-9397-08002B2CF9AE}" pid="4" name="DLP">
    <vt:lpwstr>97O6613795xN2va</vt:lpwstr>
  </property>
</Properties>
</file>