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tables/table1.xml" ContentType="application/vnd.openxmlformats-officedocument.spreadsheetml.table+xml"/>
  <Override PartName="/xl/comments10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/Users/Shared/Previously Relocated Items/Security/My files/106-WP-PAK Sapphire wind/GS labelling/verification/"/>
    </mc:Choice>
  </mc:AlternateContent>
  <xr:revisionPtr revIDLastSave="0" documentId="13_ncr:1_{849D765A-E1C8-644C-8F6F-7E6B28CE28F3}" xr6:coauthVersionLast="47" xr6:coauthVersionMax="47" xr10:uidLastSave="{00000000-0000-0000-0000-000000000000}"/>
  <bookViews>
    <workbookView xWindow="4080" yWindow="3080" windowWidth="25600" windowHeight="14200" tabRatio="887" xr2:uid="{00000000-000D-0000-FFFF-FFFF00000000}"/>
  </bookViews>
  <sheets>
    <sheet name="Cover page" sheetId="56" r:id="rId1"/>
    <sheet name="Net elec supplied to grid" sheetId="38" r:id="rId2"/>
    <sheet name="ER" sheetId="39" r:id="rId3"/>
    <sheet name="Overview CM 2020" sheetId="55" r:id="rId4"/>
    <sheet name="Overview CM 2019" sheetId="54" r:id="rId5"/>
    <sheet name="WAPDA OM 2008-09" sheetId="22" state="hidden" r:id="rId6"/>
    <sheet name="WAPDA OM 2009-10" sheetId="23" state="hidden" r:id="rId7"/>
    <sheet name="WAPDA OM 2010-11" sheetId="24" state="hidden" r:id="rId8"/>
    <sheet name="WAPDA OM 2011-12" sheetId="31" state="hidden" r:id="rId9"/>
    <sheet name="WAPDA BM 2012-13" sheetId="33" state="hidden" r:id="rId10"/>
    <sheet name="WAPDA OM 2019 (2017-18)" sheetId="47" r:id="rId11"/>
    <sheet name="WAPDA OM 2020 (2018-19)" sheetId="49" r:id="rId12"/>
    <sheet name="WAPDA BM 2019 (2017-18)" sheetId="48" r:id="rId13"/>
    <sheet name="ER sheet" sheetId="34" state="hidden" r:id="rId14"/>
    <sheet name="WAPDA BM 2020 (2018-19)" sheetId="50" r:id="rId15"/>
  </sheets>
  <definedNames>
    <definedName name="_ftn1" localSheetId="1">'Net elec supplied to grid'!$C$25</definedName>
    <definedName name="_ftnref1" localSheetId="1">'Net elec supplied to grid'!#REF!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71" i="38" l="1"/>
  <c r="D70" i="38"/>
  <c r="D69" i="38"/>
  <c r="D52" i="38"/>
  <c r="F46" i="38"/>
  <c r="E46" i="38"/>
  <c r="D46" i="38"/>
  <c r="D45" i="38"/>
  <c r="D44" i="38"/>
  <c r="F20" i="38"/>
  <c r="E20" i="38"/>
  <c r="D20" i="38"/>
  <c r="D3" i="38"/>
  <c r="E3" i="38"/>
  <c r="F3" i="38"/>
  <c r="F27" i="38"/>
  <c r="F4" i="38"/>
  <c r="F5" i="38"/>
  <c r="F6" i="38"/>
  <c r="F7" i="38"/>
  <c r="B5" i="39"/>
  <c r="F8" i="38"/>
  <c r="F32" i="38"/>
  <c r="D57" i="38"/>
  <c r="F9" i="38"/>
  <c r="F33" i="38"/>
  <c r="D58" i="38"/>
  <c r="F10" i="38"/>
  <c r="F34" i="38"/>
  <c r="D59" i="38"/>
  <c r="F11" i="38"/>
  <c r="F35" i="38"/>
  <c r="D60" i="38"/>
  <c r="F12" i="38"/>
  <c r="F36" i="38"/>
  <c r="D61" i="38"/>
  <c r="F13" i="38"/>
  <c r="F37" i="38"/>
  <c r="D62" i="38"/>
  <c r="F14" i="38"/>
  <c r="F38" i="38"/>
  <c r="D63" i="38"/>
  <c r="F15" i="38"/>
  <c r="F39" i="38"/>
  <c r="D64" i="38"/>
  <c r="F16" i="38"/>
  <c r="F40" i="38"/>
  <c r="D65" i="38"/>
  <c r="F17" i="38"/>
  <c r="F41" i="38"/>
  <c r="D66" i="38"/>
  <c r="F18" i="38"/>
  <c r="F42" i="38"/>
  <c r="D67" i="38"/>
  <c r="F19" i="38"/>
  <c r="F43" i="38"/>
  <c r="D68" i="38"/>
  <c r="B7" i="39"/>
  <c r="B16" i="39" s="1"/>
  <c r="E44" i="38"/>
  <c r="E45" i="38"/>
  <c r="F31" i="38"/>
  <c r="F30" i="38"/>
  <c r="F29" i="38"/>
  <c r="F28" i="38"/>
  <c r="F44" i="38"/>
  <c r="E21" i="38"/>
  <c r="D21" i="38"/>
  <c r="D56" i="38"/>
  <c r="D55" i="38"/>
  <c r="D54" i="38"/>
  <c r="D53" i="38"/>
  <c r="B6" i="39"/>
  <c r="F45" i="38"/>
  <c r="D22" i="38"/>
  <c r="E22" i="38"/>
  <c r="F21" i="38"/>
  <c r="F22" i="38"/>
  <c r="L9" i="55"/>
  <c r="L8" i="55"/>
  <c r="L10" i="55"/>
  <c r="L9" i="54"/>
  <c r="L8" i="54"/>
  <c r="L10" i="54"/>
  <c r="G79" i="48"/>
  <c r="J5" i="48"/>
  <c r="O22" i="48"/>
  <c r="G81" i="50"/>
  <c r="O24" i="50"/>
  <c r="T74" i="50"/>
  <c r="U74" i="50"/>
  <c r="W74" i="50"/>
  <c r="T69" i="50"/>
  <c r="U69" i="50"/>
  <c r="W69" i="50"/>
  <c r="T65" i="50"/>
  <c r="U66" i="50"/>
  <c r="W66" i="50"/>
  <c r="T62" i="50"/>
  <c r="T59" i="50"/>
  <c r="T55" i="50"/>
  <c r="U55" i="50"/>
  <c r="W55" i="50"/>
  <c r="T77" i="50"/>
  <c r="U77" i="50"/>
  <c r="W77" i="50"/>
  <c r="U80" i="50"/>
  <c r="W80" i="50"/>
  <c r="Y74" i="50"/>
  <c r="Y89" i="50"/>
  <c r="Y69" i="50"/>
  <c r="Y86" i="50"/>
  <c r="Y66" i="50"/>
  <c r="Y65" i="50"/>
  <c r="Y63" i="50"/>
  <c r="Y62" i="50"/>
  <c r="U63" i="50"/>
  <c r="W63" i="50"/>
  <c r="U59" i="50"/>
  <c r="W59" i="50"/>
  <c r="I56" i="49"/>
  <c r="H55" i="49"/>
  <c r="J55" i="49"/>
  <c r="L55" i="49"/>
  <c r="F10" i="49"/>
  <c r="J67" i="49"/>
  <c r="L67" i="49"/>
  <c r="J65" i="49"/>
  <c r="L65" i="49"/>
  <c r="H62" i="49"/>
  <c r="J62" i="49"/>
  <c r="L62" i="49"/>
  <c r="H61" i="49"/>
  <c r="J61" i="49"/>
  <c r="L61" i="49"/>
  <c r="H59" i="49"/>
  <c r="J59" i="49"/>
  <c r="L59" i="49"/>
  <c r="H58" i="49"/>
  <c r="J58" i="49"/>
  <c r="L58" i="49"/>
  <c r="H56" i="49"/>
  <c r="J56" i="49"/>
  <c r="L56" i="49"/>
  <c r="J53" i="49"/>
  <c r="L53" i="49"/>
  <c r="H51" i="49"/>
  <c r="J51" i="49"/>
  <c r="L51" i="49"/>
  <c r="J48" i="49"/>
  <c r="L48" i="49"/>
  <c r="L71" i="49"/>
  <c r="H46" i="49"/>
  <c r="J46" i="49"/>
  <c r="F30" i="49"/>
  <c r="F35" i="49"/>
  <c r="K6" i="49"/>
  <c r="F29" i="49"/>
  <c r="F28" i="49"/>
  <c r="F33" i="49"/>
  <c r="K4" i="49"/>
  <c r="F27" i="49"/>
  <c r="F14" i="49"/>
  <c r="F4" i="49"/>
  <c r="F5" i="49"/>
  <c r="T81" i="48"/>
  <c r="U81" i="48"/>
  <c r="W81" i="48"/>
  <c r="T66" i="48"/>
  <c r="U67" i="48"/>
  <c r="W67" i="48"/>
  <c r="Y81" i="48"/>
  <c r="T77" i="48"/>
  <c r="U77" i="48"/>
  <c r="W77" i="48"/>
  <c r="Y77" i="48"/>
  <c r="T74" i="48"/>
  <c r="U74" i="48"/>
  <c r="W74" i="48"/>
  <c r="T70" i="48"/>
  <c r="T63" i="48"/>
  <c r="T60" i="48"/>
  <c r="U61" i="48"/>
  <c r="W61" i="48"/>
  <c r="Y61" i="48"/>
  <c r="U63" i="48"/>
  <c r="T57" i="48"/>
  <c r="T53" i="48"/>
  <c r="U53" i="48"/>
  <c r="W53" i="48"/>
  <c r="J7" i="48"/>
  <c r="Y74" i="48"/>
  <c r="Y70" i="48"/>
  <c r="Y95" i="48"/>
  <c r="O26" i="48"/>
  <c r="U70" i="48"/>
  <c r="W70" i="48"/>
  <c r="Y67" i="48"/>
  <c r="Y66" i="48"/>
  <c r="Y64" i="48"/>
  <c r="Y63" i="48"/>
  <c r="U64" i="48"/>
  <c r="W64" i="48"/>
  <c r="Y60" i="48"/>
  <c r="U60" i="48"/>
  <c r="W60" i="48"/>
  <c r="U57" i="48"/>
  <c r="W57" i="48"/>
  <c r="I56" i="47"/>
  <c r="H56" i="47"/>
  <c r="J56" i="47"/>
  <c r="L56" i="47"/>
  <c r="F10" i="47"/>
  <c r="L67" i="47"/>
  <c r="J67" i="47"/>
  <c r="J65" i="47"/>
  <c r="L65" i="47"/>
  <c r="H62" i="47"/>
  <c r="J62" i="47"/>
  <c r="L62" i="47"/>
  <c r="H61" i="47"/>
  <c r="J61" i="47"/>
  <c r="L61" i="47"/>
  <c r="H59" i="47"/>
  <c r="J59" i="47"/>
  <c r="L59" i="47"/>
  <c r="H58" i="47"/>
  <c r="J58" i="47"/>
  <c r="L58" i="47"/>
  <c r="H53" i="47"/>
  <c r="J53" i="47"/>
  <c r="L53" i="47"/>
  <c r="H51" i="47"/>
  <c r="J51" i="47"/>
  <c r="L51" i="47"/>
  <c r="H48" i="47"/>
  <c r="J48" i="47"/>
  <c r="L48" i="47"/>
  <c r="H46" i="47"/>
  <c r="J46" i="47"/>
  <c r="F30" i="47"/>
  <c r="F35" i="47"/>
  <c r="K6" i="47"/>
  <c r="F29" i="47"/>
  <c r="F28" i="47"/>
  <c r="F33" i="47"/>
  <c r="K4" i="47"/>
  <c r="F27" i="47"/>
  <c r="F14" i="47"/>
  <c r="F4" i="47"/>
  <c r="F5" i="47"/>
  <c r="F4" i="23"/>
  <c r="F5" i="23"/>
  <c r="F4" i="24"/>
  <c r="F5" i="24"/>
  <c r="F4" i="31"/>
  <c r="F5" i="31"/>
  <c r="F27" i="31"/>
  <c r="H46" i="31"/>
  <c r="J46" i="31"/>
  <c r="H50" i="31"/>
  <c r="J50" i="31"/>
  <c r="L50" i="31"/>
  <c r="H53" i="31"/>
  <c r="J53" i="31"/>
  <c r="L53" i="31"/>
  <c r="H57" i="31"/>
  <c r="J57" i="31"/>
  <c r="L57" i="31"/>
  <c r="H60" i="31"/>
  <c r="J60" i="31"/>
  <c r="L60" i="31"/>
  <c r="H63" i="31"/>
  <c r="J63" i="31"/>
  <c r="L63" i="31"/>
  <c r="J69" i="31"/>
  <c r="L69" i="31"/>
  <c r="J71" i="31"/>
  <c r="L71" i="31"/>
  <c r="F28" i="31"/>
  <c r="F33" i="31"/>
  <c r="K4" i="31"/>
  <c r="F29" i="31"/>
  <c r="H48" i="31"/>
  <c r="J48" i="31"/>
  <c r="L48" i="31"/>
  <c r="H51" i="31"/>
  <c r="J51" i="31"/>
  <c r="L51" i="31"/>
  <c r="H55" i="31"/>
  <c r="J55" i="31"/>
  <c r="L55" i="31"/>
  <c r="H58" i="31"/>
  <c r="J58" i="31"/>
  <c r="L58" i="31"/>
  <c r="H61" i="31"/>
  <c r="J61" i="31"/>
  <c r="L61" i="31"/>
  <c r="H64" i="31"/>
  <c r="J64" i="31"/>
  <c r="L64" i="31"/>
  <c r="F30" i="31"/>
  <c r="F35" i="31"/>
  <c r="K6" i="31"/>
  <c r="F10" i="31"/>
  <c r="F27" i="24"/>
  <c r="H46" i="24"/>
  <c r="J46" i="24"/>
  <c r="L46" i="24"/>
  <c r="H50" i="24"/>
  <c r="J50" i="24"/>
  <c r="L50" i="24"/>
  <c r="H53" i="24"/>
  <c r="J53" i="24"/>
  <c r="L53" i="24"/>
  <c r="H57" i="24"/>
  <c r="J57" i="24"/>
  <c r="L57" i="24"/>
  <c r="H60" i="24"/>
  <c r="J60" i="24"/>
  <c r="L60" i="24"/>
  <c r="J64" i="24"/>
  <c r="L64" i="24"/>
  <c r="J66" i="24"/>
  <c r="L66" i="24"/>
  <c r="F28" i="24"/>
  <c r="F33" i="24"/>
  <c r="K4" i="24"/>
  <c r="F29" i="24"/>
  <c r="H48" i="24"/>
  <c r="J48" i="24"/>
  <c r="H51" i="24"/>
  <c r="J51" i="24"/>
  <c r="L51" i="24"/>
  <c r="H55" i="24"/>
  <c r="J55" i="24"/>
  <c r="L55" i="24"/>
  <c r="H58" i="24"/>
  <c r="J58" i="24"/>
  <c r="L58" i="24"/>
  <c r="H61" i="24"/>
  <c r="J61" i="24"/>
  <c r="L61" i="24"/>
  <c r="F30" i="24"/>
  <c r="F35" i="24"/>
  <c r="K6" i="24"/>
  <c r="Y40" i="33"/>
  <c r="Y49" i="33"/>
  <c r="Y55" i="33"/>
  <c r="Y58" i="33"/>
  <c r="Y61" i="33"/>
  <c r="Y44" i="33"/>
  <c r="Y47" i="33"/>
  <c r="Y53" i="33"/>
  <c r="Y65" i="33"/>
  <c r="Y83" i="33"/>
  <c r="O13" i="33"/>
  <c r="Y43" i="33"/>
  <c r="Y46" i="33"/>
  <c r="Y52" i="33"/>
  <c r="Y84" i="33"/>
  <c r="O14" i="33"/>
  <c r="T37" i="33"/>
  <c r="U37" i="33"/>
  <c r="W37" i="33"/>
  <c r="U40" i="33"/>
  <c r="W40" i="33"/>
  <c r="U43" i="33"/>
  <c r="W43" i="33"/>
  <c r="U44" i="33"/>
  <c r="W44" i="33"/>
  <c r="U46" i="33"/>
  <c r="W46" i="33"/>
  <c r="U47" i="33"/>
  <c r="W47" i="33"/>
  <c r="T49" i="33"/>
  <c r="U49" i="33"/>
  <c r="W49" i="33"/>
  <c r="T52" i="33"/>
  <c r="U52" i="33"/>
  <c r="W52" i="33"/>
  <c r="U55" i="33"/>
  <c r="W55" i="33"/>
  <c r="U58" i="33"/>
  <c r="W58" i="33"/>
  <c r="U61" i="33"/>
  <c r="W61" i="33"/>
  <c r="T64" i="33"/>
  <c r="U65" i="33"/>
  <c r="W65" i="33"/>
  <c r="U67" i="33"/>
  <c r="W67" i="33"/>
  <c r="U70" i="33"/>
  <c r="W70" i="33"/>
  <c r="U73" i="33"/>
  <c r="W73" i="33"/>
  <c r="U76" i="33"/>
  <c r="W76" i="33"/>
  <c r="C6" i="34"/>
  <c r="C7" i="34"/>
  <c r="C9" i="34"/>
  <c r="F4" i="22"/>
  <c r="F5" i="22"/>
  <c r="F11" i="22"/>
  <c r="G64" i="33"/>
  <c r="J8" i="33"/>
  <c r="J17" i="33"/>
  <c r="J6" i="33"/>
  <c r="J14" i="33"/>
  <c r="O7" i="33"/>
  <c r="F14" i="31"/>
  <c r="F27" i="23"/>
  <c r="H44" i="23"/>
  <c r="J44" i="23"/>
  <c r="H47" i="23"/>
  <c r="J47" i="23"/>
  <c r="L47" i="23"/>
  <c r="H50" i="23"/>
  <c r="J50" i="23"/>
  <c r="L50" i="23"/>
  <c r="H53" i="23"/>
  <c r="J53" i="23"/>
  <c r="L53" i="23"/>
  <c r="H56" i="23"/>
  <c r="J56" i="23"/>
  <c r="L56" i="23"/>
  <c r="J59" i="23"/>
  <c r="L59" i="23"/>
  <c r="J61" i="23"/>
  <c r="L61" i="23"/>
  <c r="F28" i="23"/>
  <c r="F33" i="23"/>
  <c r="K4" i="23"/>
  <c r="F29" i="23"/>
  <c r="H45" i="23"/>
  <c r="J45" i="23"/>
  <c r="L45" i="23"/>
  <c r="H48" i="23"/>
  <c r="J48" i="23"/>
  <c r="L48" i="23"/>
  <c r="H51" i="23"/>
  <c r="J51" i="23"/>
  <c r="L51" i="23"/>
  <c r="H54" i="23"/>
  <c r="J54" i="23"/>
  <c r="L54" i="23"/>
  <c r="H57" i="23"/>
  <c r="J57" i="23"/>
  <c r="L57" i="23"/>
  <c r="F30" i="23"/>
  <c r="F35" i="23"/>
  <c r="K6" i="23"/>
  <c r="F27" i="22"/>
  <c r="H44" i="22"/>
  <c r="J44" i="22"/>
  <c r="H47" i="22"/>
  <c r="J47" i="22"/>
  <c r="L47" i="22"/>
  <c r="H50" i="22"/>
  <c r="J50" i="22"/>
  <c r="L50" i="22"/>
  <c r="H53" i="22"/>
  <c r="J53" i="22"/>
  <c r="L53" i="22"/>
  <c r="J59" i="22"/>
  <c r="L59" i="22"/>
  <c r="J61" i="22"/>
  <c r="L61" i="22"/>
  <c r="H56" i="22"/>
  <c r="J56" i="22"/>
  <c r="L56" i="22"/>
  <c r="F28" i="22"/>
  <c r="F33" i="22"/>
  <c r="K4" i="22"/>
  <c r="F29" i="22"/>
  <c r="H45" i="22"/>
  <c r="J45" i="22"/>
  <c r="L45" i="22"/>
  <c r="H48" i="22"/>
  <c r="J48" i="22"/>
  <c r="L48" i="22"/>
  <c r="H51" i="22"/>
  <c r="J51" i="22"/>
  <c r="L51" i="22"/>
  <c r="H54" i="22"/>
  <c r="J54" i="22"/>
  <c r="L54" i="22"/>
  <c r="H57" i="22"/>
  <c r="J57" i="22"/>
  <c r="L57" i="22"/>
  <c r="F30" i="22"/>
  <c r="F35" i="22"/>
  <c r="K6" i="22"/>
  <c r="F14" i="24"/>
  <c r="F14" i="23"/>
  <c r="F14" i="22"/>
  <c r="F8" i="24"/>
  <c r="F11" i="24"/>
  <c r="L71" i="47"/>
  <c r="Y82" i="33"/>
  <c r="O12" i="33"/>
  <c r="U53" i="33"/>
  <c r="W53" i="33"/>
  <c r="Y94" i="48"/>
  <c r="Y87" i="50"/>
  <c r="H55" i="47"/>
  <c r="J55" i="47"/>
  <c r="L55" i="47"/>
  <c r="Y93" i="48"/>
  <c r="Y92" i="48"/>
  <c r="Y88" i="50"/>
  <c r="J69" i="49"/>
  <c r="O28" i="48"/>
  <c r="O29" i="50"/>
  <c r="O28" i="50"/>
  <c r="J11" i="50"/>
  <c r="J7" i="50"/>
  <c r="J6" i="50"/>
  <c r="J5" i="50"/>
  <c r="J4" i="50"/>
  <c r="J3" i="50"/>
  <c r="J9" i="50"/>
  <c r="J8" i="50"/>
  <c r="J10" i="50"/>
  <c r="O31" i="50"/>
  <c r="O30" i="50"/>
  <c r="U62" i="50"/>
  <c r="W62" i="50"/>
  <c r="W85" i="50"/>
  <c r="U65" i="50"/>
  <c r="W65" i="50"/>
  <c r="L46" i="49"/>
  <c r="F8" i="49"/>
  <c r="F11" i="49"/>
  <c r="F34" i="49"/>
  <c r="K5" i="49"/>
  <c r="J6" i="48"/>
  <c r="J3" i="48"/>
  <c r="J8" i="48"/>
  <c r="J4" i="48"/>
  <c r="J10" i="48"/>
  <c r="J9" i="48"/>
  <c r="J11" i="48"/>
  <c r="O27" i="48"/>
  <c r="W63" i="48"/>
  <c r="O29" i="48"/>
  <c r="U66" i="48"/>
  <c r="W66" i="48"/>
  <c r="L46" i="47"/>
  <c r="L70" i="47"/>
  <c r="F8" i="47"/>
  <c r="F11" i="47"/>
  <c r="F34" i="47"/>
  <c r="K5" i="47"/>
  <c r="F32" i="47"/>
  <c r="K3" i="47"/>
  <c r="L69" i="24"/>
  <c r="F32" i="24"/>
  <c r="K3" i="24"/>
  <c r="J73" i="31"/>
  <c r="L46" i="31"/>
  <c r="L74" i="31"/>
  <c r="F32" i="31"/>
  <c r="K3" i="31"/>
  <c r="F8" i="23"/>
  <c r="F11" i="23"/>
  <c r="J63" i="23"/>
  <c r="L44" i="23"/>
  <c r="L64" i="23"/>
  <c r="F32" i="23"/>
  <c r="K3" i="23"/>
  <c r="L65" i="22"/>
  <c r="F34" i="22"/>
  <c r="K5" i="22"/>
  <c r="L75" i="31"/>
  <c r="F34" i="31"/>
  <c r="K5" i="31"/>
  <c r="F8" i="31"/>
  <c r="F11" i="31"/>
  <c r="L44" i="22"/>
  <c r="L64" i="22"/>
  <c r="F32" i="22"/>
  <c r="K3" i="22"/>
  <c r="K8" i="22"/>
  <c r="J63" i="22"/>
  <c r="L65" i="23"/>
  <c r="F34" i="23"/>
  <c r="K5" i="23"/>
  <c r="W81" i="33"/>
  <c r="O8" i="33"/>
  <c r="O20" i="33"/>
  <c r="J68" i="24"/>
  <c r="L48" i="24"/>
  <c r="L70" i="24"/>
  <c r="F34" i="24"/>
  <c r="K5" i="24"/>
  <c r="J13" i="33"/>
  <c r="J5" i="33"/>
  <c r="J15" i="33"/>
  <c r="J19" i="33"/>
  <c r="J12" i="33"/>
  <c r="J4" i="33"/>
  <c r="J10" i="33"/>
  <c r="F8" i="22"/>
  <c r="J16" i="33"/>
  <c r="J9" i="33"/>
  <c r="J3" i="33"/>
  <c r="B8" i="54"/>
  <c r="D8" i="55"/>
  <c r="B16" i="55"/>
  <c r="B16" i="54"/>
  <c r="J69" i="47"/>
  <c r="D8" i="54"/>
  <c r="K8" i="47"/>
  <c r="W91" i="48"/>
  <c r="O23" i="48"/>
  <c r="D16" i="54"/>
  <c r="L70" i="49"/>
  <c r="F32" i="49"/>
  <c r="K3" i="49"/>
  <c r="K11" i="48"/>
  <c r="O25" i="50"/>
  <c r="K11" i="50"/>
  <c r="K8" i="24"/>
  <c r="K19" i="33"/>
  <c r="K8" i="23"/>
  <c r="K8" i="31"/>
  <c r="B8" i="55"/>
  <c r="F8" i="55"/>
  <c r="C10" i="55"/>
  <c r="K8" i="49"/>
  <c r="O35" i="48"/>
  <c r="O37" i="50"/>
  <c r="D16" i="55"/>
  <c r="F16" i="54"/>
  <c r="C18" i="54"/>
  <c r="F16" i="55"/>
  <c r="C18" i="55"/>
  <c r="F8" i="54"/>
  <c r="C10" i="54"/>
  <c r="C25" i="54"/>
  <c r="C25" i="55"/>
  <c r="B8" i="39"/>
  <c r="B4" i="39" l="1"/>
  <c r="B14" i="39" s="1"/>
  <c r="D8" i="56" s="1"/>
  <c r="B15" i="3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3" authorId="0" shapeId="0" xr:uid="{60413229-D65D-8342-9621-CE2C5BD7E6C3}">
      <text>
        <r>
          <rPr>
            <b/>
            <sz val="10"/>
            <color rgb="FF000000"/>
            <rFont val="Tahoma"/>
            <family val="2"/>
          </rPr>
          <t>author: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 xml:space="preserve">The EGexported,y of 01/08/2019 is sourced from energy meters reading and is deducted from the monthly meter reading for 08/2019.
</t>
        </r>
      </text>
    </comment>
    <comment ref="C27" authorId="0" shapeId="0" xr:uid="{FFF99ED1-1292-BF49-8974-EAA9392AF75D}">
      <text>
        <r>
          <rPr>
            <sz val="10"/>
            <color rgb="FF000000"/>
            <rFont val="Tahoma"/>
            <family val="2"/>
          </rPr>
          <t>to be conservative, EGimproted,y of period (01/08/2019 - 31/08/2019) is taken as the EGimported,y fo the period (02/08/2019-31/12/2019).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  <author>Gaiai Guo</author>
  </authors>
  <commentList>
    <comment ref="T55" authorId="0" shapeId="0" xr:uid="{99256674-55F2-7E4B-9D92-86A58E2FEFE0}">
      <text>
        <r>
          <rPr>
            <b/>
            <sz val="8"/>
            <color rgb="FF000000"/>
            <rFont val="Tahoma"/>
            <family val="2"/>
          </rPr>
          <t>Author: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 xml:space="preserve">Calculated from EYB 2019 Total Aux Consumption of all Nuclear = 682,310 MWh.
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 xml:space="preserve">Total Electricity Generation of all Nuclear = 9,909 GWh.
</t>
        </r>
        <r>
          <rPr>
            <sz val="8"/>
            <color rgb="FF000000"/>
            <rFont val="Tahoma"/>
            <family val="2"/>
          </rPr>
          <t xml:space="preserve">Gross Electricity Generation of Chasnupp-IV was 2,298 GWh 
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 xml:space="preserve">=&gt; </t>
        </r>
        <r>
          <rPr>
            <sz val="8"/>
            <color rgb="FF000000"/>
            <rFont val="Arial"/>
            <family val="2"/>
          </rPr>
          <t xml:space="preserve">682,310 MWh </t>
        </r>
        <r>
          <rPr>
            <sz val="8"/>
            <color rgb="FF000000"/>
            <rFont val="Tahoma"/>
            <family val="2"/>
          </rPr>
          <t xml:space="preserve">* </t>
        </r>
        <r>
          <rPr>
            <sz val="8"/>
            <color rgb="FF000000"/>
            <rFont val="Arial"/>
            <family val="2"/>
          </rPr>
          <t xml:space="preserve">2,298 GWh /9,909 GWh 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>= 158.23 GWh</t>
        </r>
      </text>
    </comment>
    <comment ref="T59" authorId="0" shapeId="0" xr:uid="{31BE166E-2124-8949-ACF1-3B6AA52BD717}">
      <text>
        <r>
          <rPr>
            <b/>
            <sz val="8"/>
            <color rgb="FF000000"/>
            <rFont val="Tahoma"/>
            <family val="2"/>
          </rPr>
          <t>Author: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Arial"/>
            <family val="2"/>
          </rPr>
          <t xml:space="preserve">Calculated from EYB 2019 Total Aux Consumption of all Nuclear = 682,310 MWh.
</t>
        </r>
        <r>
          <rPr>
            <sz val="8"/>
            <color rgb="FF000000"/>
            <rFont val="Arial"/>
            <family val="2"/>
          </rPr>
          <t xml:space="preserve">Total Electricity Generation of all Nuclear = 9,909 GWh.
</t>
        </r>
        <r>
          <rPr>
            <sz val="8"/>
            <color rgb="FF000000"/>
            <rFont val="Arial"/>
            <family val="2"/>
          </rPr>
          <t xml:space="preserve">Gross Electricity Generation of Chasnupp-III was 2,694 GWh 
</t>
        </r>
        <r>
          <rPr>
            <sz val="8"/>
            <color rgb="FF000000"/>
            <rFont val="Arial"/>
            <family val="2"/>
          </rPr>
          <t xml:space="preserve">=&gt; 682,310 MWh * 2,694 GWh /9,909 GWh 
</t>
        </r>
        <r>
          <rPr>
            <sz val="8"/>
            <color rgb="FF000000"/>
            <rFont val="Arial"/>
            <family val="2"/>
          </rPr>
          <t>= 185.50 GWh</t>
        </r>
      </text>
    </comment>
    <comment ref="T62" authorId="1" shapeId="0" xr:uid="{F78B46D4-00A3-7248-A609-E404C6993305}">
      <text>
        <r>
          <rPr>
            <sz val="9"/>
            <color rgb="FF000000"/>
            <rFont val="Arial"/>
            <family val="2"/>
          </rPr>
          <t xml:space="preserve">
</t>
        </r>
        <r>
          <rPr>
            <sz val="9"/>
            <color rgb="FF000000"/>
            <rFont val="Arial"/>
            <family val="2"/>
          </rPr>
          <t xml:space="preserve">Calculated from EYB 2019 Total Aux Consumption of all IPPs = 591GWh.
</t>
        </r>
        <r>
          <rPr>
            <sz val="9"/>
            <color rgb="FF000000"/>
            <rFont val="Arial"/>
            <family val="2"/>
          </rPr>
          <t xml:space="preserve">
</t>
        </r>
        <r>
          <rPr>
            <sz val="9"/>
            <color rgb="FF000000"/>
            <rFont val="Arial"/>
            <family val="2"/>
          </rPr>
          <t xml:space="preserve">Total Gross Power Generation of all IPPs = 62,496GWh.
</t>
        </r>
        <r>
          <rPr>
            <sz val="9"/>
            <color rgb="FF000000"/>
            <rFont val="Arial"/>
            <family val="2"/>
          </rPr>
          <t>Gross Electricity Generation of Baloki</t>
        </r>
        <r>
          <rPr>
            <sz val="9"/>
            <color rgb="FF000000"/>
            <rFont val="Arial"/>
            <family val="2"/>
          </rPr>
          <t xml:space="preserve"> </t>
        </r>
        <r>
          <rPr>
            <sz val="9"/>
            <color rgb="FF000000"/>
            <rFont val="Arial"/>
            <family val="2"/>
          </rPr>
          <t xml:space="preserve">was 5284.19 GWh 
</t>
        </r>
        <r>
          <rPr>
            <sz val="9"/>
            <color rgb="FF000000"/>
            <rFont val="Arial"/>
            <family val="2"/>
          </rPr>
          <t xml:space="preserve">
</t>
        </r>
        <r>
          <rPr>
            <sz val="9"/>
            <color rgb="FF000000"/>
            <rFont val="Arial"/>
            <family val="2"/>
          </rPr>
          <t xml:space="preserve">=&gt; </t>
        </r>
        <r>
          <rPr>
            <sz val="10"/>
            <color rgb="FF000000"/>
            <rFont val="Arial"/>
            <family val="2"/>
          </rPr>
          <t xml:space="preserve">591*5284.19/62496
</t>
        </r>
        <r>
          <rPr>
            <sz val="10"/>
            <color rgb="FF000000"/>
            <rFont val="Arial"/>
            <family val="2"/>
          </rPr>
          <t>= 49.97GWh</t>
        </r>
      </text>
    </comment>
    <comment ref="T65" authorId="1" shapeId="0" xr:uid="{1154C855-BD29-3746-9226-1EF2BFFA7E55}">
      <text>
        <r>
          <rPr>
            <sz val="8"/>
            <color rgb="FF000000"/>
            <rFont val="Arial"/>
            <family val="2"/>
          </rPr>
          <t xml:space="preserve">
</t>
        </r>
        <r>
          <rPr>
            <sz val="8"/>
            <color rgb="FF000000"/>
            <rFont val="Arial"/>
            <family val="2"/>
          </rPr>
          <t>Calculated from EYB 2019 Total Aux Consumption of all IPPs = 591GWh.</t>
        </r>
        <r>
          <rPr>
            <sz val="8"/>
            <color rgb="FF000000"/>
            <rFont val="Arial"/>
            <family val="2"/>
          </rPr>
          <t xml:space="preserve">
</t>
        </r>
        <r>
          <rPr>
            <sz val="8"/>
            <color rgb="FF000000"/>
            <rFont val="Arial"/>
            <family val="2"/>
          </rPr>
          <t>Total Gross Power Generation of all IPPs = 62,496GWh.</t>
        </r>
        <r>
          <rPr>
            <sz val="8"/>
            <color rgb="FF000000"/>
            <rFont val="Arial"/>
            <family val="2"/>
          </rPr>
          <t xml:space="preserve">
</t>
        </r>
        <r>
          <rPr>
            <sz val="8"/>
            <color rgb="FF000000"/>
            <rFont val="Arial"/>
            <family val="2"/>
          </rPr>
          <t>Gross Electricity Generation of Haveli Bahdur Shah PP</t>
        </r>
        <r>
          <rPr>
            <sz val="8"/>
            <color rgb="FF000000"/>
            <rFont val="Arial"/>
            <family val="2"/>
          </rPr>
          <t xml:space="preserve"> </t>
        </r>
        <r>
          <rPr>
            <sz val="8"/>
            <color rgb="FF000000"/>
            <rFont val="Arial"/>
            <family val="2"/>
          </rPr>
          <t xml:space="preserve">was 6589.44 GWh </t>
        </r>
        <r>
          <rPr>
            <sz val="8"/>
            <color rgb="FF000000"/>
            <rFont val="Arial"/>
            <family val="2"/>
          </rPr>
          <t xml:space="preserve">
</t>
        </r>
        <r>
          <rPr>
            <sz val="8"/>
            <color rgb="FF000000"/>
            <rFont val="Arial"/>
            <family val="2"/>
          </rPr>
          <t>=&gt; 591*6589.44/62496</t>
        </r>
        <r>
          <rPr>
            <sz val="8"/>
            <color rgb="FF000000"/>
            <rFont val="Arial"/>
            <family val="2"/>
          </rPr>
          <t xml:space="preserve">
</t>
        </r>
        <r>
          <rPr>
            <sz val="8"/>
            <color rgb="FF000000"/>
            <rFont val="Arial"/>
            <family val="2"/>
          </rPr>
          <t>= 62.31GWh</t>
        </r>
        <r>
          <rPr>
            <sz val="8"/>
            <color rgb="FF000000"/>
            <rFont val="Arial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FH</author>
  </authors>
  <commentList>
    <comment ref="F10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FH:</t>
        </r>
        <r>
          <rPr>
            <sz val="8"/>
            <color indexed="81"/>
            <rFont val="Tahoma"/>
            <family val="2"/>
          </rPr>
          <t xml:space="preserve">
IPPs MINUS Gul Ahmed (Karachi) &amp; Tapal Energy (Karachi)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FH</author>
  </authors>
  <commentList>
    <comment ref="F10" authorId="0" shapeId="0" xr:uid="{00000000-0006-0000-0200-000001000000}">
      <text>
        <r>
          <rPr>
            <b/>
            <sz val="8"/>
            <color indexed="81"/>
            <rFont val="Tahoma"/>
            <family val="2"/>
          </rPr>
          <t>FH:</t>
        </r>
        <r>
          <rPr>
            <sz val="8"/>
            <color indexed="81"/>
            <rFont val="Tahoma"/>
            <family val="2"/>
          </rPr>
          <t xml:space="preserve">
IPPs MINUS Gul Ahmed (Karachi) &amp; Tapal Energy (Karachi)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FH</author>
  </authors>
  <commentList>
    <comment ref="F10" authorId="0" shapeId="0" xr:uid="{00000000-0006-0000-0300-000001000000}">
      <text>
        <r>
          <rPr>
            <b/>
            <sz val="8"/>
            <color indexed="81"/>
            <rFont val="Tahoma"/>
            <family val="2"/>
          </rPr>
          <t>FH:</t>
        </r>
        <r>
          <rPr>
            <sz val="8"/>
            <color indexed="81"/>
            <rFont val="Tahoma"/>
            <family val="2"/>
          </rPr>
          <t xml:space="preserve">
IPPs MINUS Gul Ahmed (Karachi) &amp; Tapal Energy (Karachi)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Gaiai Guo</author>
    <author>FH</author>
  </authors>
  <commentList>
    <comment ref="F6" authorId="0" shapeId="0" xr:uid="{00000000-0006-0000-0400-000001000000}">
      <text>
        <r>
          <rPr>
            <b/>
            <sz val="10"/>
            <color indexed="81"/>
            <rFont val="Arial"/>
            <family val="2"/>
          </rPr>
          <t>Gaiai Guo:</t>
        </r>
        <r>
          <rPr>
            <sz val="10"/>
            <color indexed="81"/>
            <rFont val="Arial"/>
            <family val="2"/>
          </rPr>
          <t xml:space="preserve">
Table 5.10</t>
        </r>
      </text>
    </comment>
    <comment ref="F7" authorId="0" shapeId="0" xr:uid="{00000000-0006-0000-0400-000002000000}">
      <text>
        <r>
          <rPr>
            <b/>
            <sz val="10"/>
            <color indexed="81"/>
            <rFont val="Arial"/>
            <family val="2"/>
          </rPr>
          <t>Gaiai Guo:</t>
        </r>
        <r>
          <rPr>
            <sz val="10"/>
            <color indexed="81"/>
            <rFont val="Arial"/>
            <family val="2"/>
          </rPr>
          <t xml:space="preserve">
Table 5.2</t>
        </r>
      </text>
    </comment>
    <comment ref="F10" authorId="1" shapeId="0" xr:uid="{00000000-0006-0000-0400-000003000000}">
      <text>
        <r>
          <rPr>
            <b/>
            <sz val="8"/>
            <color indexed="81"/>
            <rFont val="Tahoma"/>
            <family val="2"/>
          </rPr>
          <t>FH:</t>
        </r>
        <r>
          <rPr>
            <sz val="8"/>
            <color indexed="81"/>
            <rFont val="Tahoma"/>
            <family val="2"/>
          </rPr>
          <t xml:space="preserve">
IPPs MINUS Gul Ahmed (Karachi) &amp; Tapal Energy (Karachi)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  <author>Gaiai Guo</author>
  </authors>
  <commentList>
    <comment ref="T37" authorId="0" shapeId="0" xr:uid="{00000000-0006-0000-0600-000001000000}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Calculated from EYB 2013 Total Aux Consumption of all Nuclear = 243,692 MWh.
Total Electricity Generation of all Nuclear = 4,553 GWh.
Gross Electricity Generation of Chasnupp-II was 1,652 GWh (= 36.28% of Total Nuclear)
=&gt; 243,692 MWh * 36.28%
= 88.42 GWh</t>
        </r>
      </text>
    </comment>
    <comment ref="T49" authorId="1" shapeId="0" xr:uid="{00000000-0006-0000-0600-000002000000}">
      <text>
        <r>
          <rPr>
            <sz val="10"/>
            <color indexed="81"/>
            <rFont val="Arial"/>
            <family val="2"/>
          </rPr>
          <t xml:space="preserve">
Calculated from EYB 2013 Total Aux Consumption of all IPPs = 1,157.47GWh.
Total Gross Power Generation of all IPPs = 38,996.19GWh.
Gross Electricity Generation of Atlas Power was 1383.02 GWh (= 3.55% of Total PPs)
=&gt; 1,157.47 MWh * 3.55%
= 41.05 GWh</t>
        </r>
      </text>
    </comment>
    <comment ref="T52" authorId="1" shapeId="0" xr:uid="{00000000-0006-0000-0600-000003000000}">
      <text>
        <r>
          <rPr>
            <sz val="10"/>
            <color indexed="81"/>
            <rFont val="Arial"/>
            <family val="2"/>
          </rPr>
          <t>Calculated from EYB 2013 Total Aux Consumption of all IPPs = 1,157.47GWh.
Total Gross Power Generation of all IPPs = 38,996.19GWh.
Gross Electricity Generation of Foundation Power was 1381.30 GWh (= 3.54% of Total PPs)
=&gt; 1,157.47 MWh * 3.54%
= 41.00 GWh</t>
        </r>
      </text>
    </comment>
    <comment ref="T64" authorId="1" shapeId="0" xr:uid="{00000000-0006-0000-0600-000004000000}">
      <text>
        <r>
          <rPr>
            <sz val="10"/>
            <color indexed="81"/>
            <rFont val="Arial"/>
            <family val="2"/>
          </rPr>
          <t xml:space="preserve">
Calculated from EYB 2013 Total Aux Consumption of all IPPs = 1,157.47GWh.
Total Gross Power Generation of all IPPs = 38,996.19GWh.
Gross Electricity Generation of SAIF Power was 742.45 GWh (= 1.90% of Total PPs)
=&gt; 1,157.47 MWh * 1.90%
= 22.04 GWh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Gaiai Guo</author>
    <author>FH</author>
  </authors>
  <commentList>
    <comment ref="F3" authorId="0" shapeId="0" xr:uid="{9B3ED321-CB7E-6F48-862E-639FD45C56CF}">
      <text>
        <r>
          <rPr>
            <b/>
            <sz val="9"/>
            <color rgb="FF000000"/>
            <rFont val="Arial"/>
            <family val="2"/>
          </rPr>
          <t>Gaiai Guo:</t>
        </r>
        <r>
          <rPr>
            <sz val="9"/>
            <color rgb="FF000000"/>
            <rFont val="Arial"/>
            <family val="2"/>
          </rPr>
          <t xml:space="preserve">
</t>
        </r>
        <r>
          <rPr>
            <sz val="9"/>
            <color rgb="FF000000"/>
            <rFont val="Arial"/>
            <family val="2"/>
          </rPr>
          <t>Table 5.2</t>
        </r>
      </text>
    </comment>
    <comment ref="F6" authorId="0" shapeId="0" xr:uid="{931D7BB0-5CB4-9D4D-BF78-712F6B969FCF}">
      <text>
        <r>
          <rPr>
            <b/>
            <sz val="10"/>
            <color rgb="FF000000"/>
            <rFont val="Arial"/>
            <family val="2"/>
          </rPr>
          <t>Gaiai Guo: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>Table 5.10</t>
        </r>
      </text>
    </comment>
    <comment ref="F7" authorId="0" shapeId="0" xr:uid="{340F4823-CCD8-9F48-9911-F0F0C5707DE9}">
      <text>
        <r>
          <rPr>
            <b/>
            <sz val="10"/>
            <color rgb="FF000000"/>
            <rFont val="Arial"/>
            <family val="2"/>
          </rPr>
          <t>Gaiai Guo: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>Table 5.2</t>
        </r>
      </text>
    </comment>
    <comment ref="F10" authorId="1" shapeId="0" xr:uid="{6501BDB0-0582-3D41-B226-AED4EFF0F42E}">
      <text>
        <r>
          <rPr>
            <b/>
            <sz val="8"/>
            <color rgb="FF000000"/>
            <rFont val="Tahoma"/>
            <family val="2"/>
          </rPr>
          <t>FH: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 xml:space="preserve">IPPs MINUS Gul Ahmed (Karachi) &amp; Tapal Energy (Karachi)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Gaiai Guo</author>
    <author>FH</author>
  </authors>
  <commentList>
    <comment ref="F3" authorId="0" shapeId="0" xr:uid="{6535E3DF-160A-9A40-BE82-28674CE6EA75}">
      <text>
        <r>
          <rPr>
            <b/>
            <sz val="9"/>
            <color rgb="FF000000"/>
            <rFont val="Arial"/>
            <family val="2"/>
          </rPr>
          <t>Gaiai Guo:</t>
        </r>
        <r>
          <rPr>
            <sz val="9"/>
            <color rgb="FF000000"/>
            <rFont val="Arial"/>
            <family val="2"/>
          </rPr>
          <t xml:space="preserve">
</t>
        </r>
        <r>
          <rPr>
            <sz val="9"/>
            <color rgb="FF000000"/>
            <rFont val="Arial"/>
            <family val="2"/>
          </rPr>
          <t>Table 5.2</t>
        </r>
      </text>
    </comment>
    <comment ref="F6" authorId="0" shapeId="0" xr:uid="{EEB1E8EC-3CA0-5345-98A2-EAE7541CF6FD}">
      <text>
        <r>
          <rPr>
            <b/>
            <sz val="10"/>
            <color rgb="FF000000"/>
            <rFont val="Arial"/>
            <family val="2"/>
          </rPr>
          <t>Gaiai Guo: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>Table 5.10</t>
        </r>
      </text>
    </comment>
    <comment ref="F7" authorId="0" shapeId="0" xr:uid="{BDB846B2-F59B-0D49-B9B0-FDE53F4ACAC4}">
      <text>
        <r>
          <rPr>
            <b/>
            <sz val="10"/>
            <color rgb="FF000000"/>
            <rFont val="Arial"/>
            <family val="2"/>
          </rPr>
          <t>Gaiai Guo: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>Table 5.2</t>
        </r>
      </text>
    </comment>
    <comment ref="F10" authorId="1" shapeId="0" xr:uid="{9C721CB8-BF5D-E243-A56C-5C6110FC0738}">
      <text>
        <r>
          <rPr>
            <b/>
            <sz val="8"/>
            <color rgb="FF000000"/>
            <rFont val="Tahoma"/>
            <family val="2"/>
          </rPr>
          <t>FH: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 xml:space="preserve">IPPs MINUS Gul Ahmed (Karachi) &amp; Tapal Energy (Karachi)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  <author>Gaiai Guo</author>
  </authors>
  <commentList>
    <comment ref="T53" authorId="0" shapeId="0" xr:uid="{6FC617C6-A75C-8D4F-BC56-1ADED90316C9}">
      <text>
        <r>
          <rPr>
            <b/>
            <sz val="8"/>
            <color rgb="FF000000"/>
            <rFont val="Tahoma"/>
            <family val="2"/>
          </rPr>
          <t>Author: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 xml:space="preserve">Calculated from EYB 2018 Total Aux Consumption of all Nuclear = 703,110 MWh.
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 xml:space="preserve">Total Electricity Generation of all Nuclear = 9,880 GWh.
</t>
        </r>
        <r>
          <rPr>
            <sz val="8"/>
            <color rgb="FF000000"/>
            <rFont val="Tahoma"/>
            <family val="2"/>
          </rPr>
          <t xml:space="preserve">Gross Electricity Generation of Chasnupp-IV was 1,918 GWh 
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 xml:space="preserve">=&gt; </t>
        </r>
        <r>
          <rPr>
            <sz val="8"/>
            <color rgb="FF000000"/>
            <rFont val="Arial"/>
            <family val="2"/>
          </rPr>
          <t xml:space="preserve">703,110 MWh </t>
        </r>
        <r>
          <rPr>
            <sz val="8"/>
            <color rgb="FF000000"/>
            <rFont val="Tahoma"/>
            <family val="2"/>
          </rPr>
          <t xml:space="preserve">* </t>
        </r>
        <r>
          <rPr>
            <sz val="8"/>
            <color rgb="FF000000"/>
            <rFont val="Arial"/>
            <family val="2"/>
          </rPr>
          <t xml:space="preserve">1,918 GWh /9,880 GWh 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>= 136.49 GWh</t>
        </r>
      </text>
    </comment>
    <comment ref="T57" authorId="0" shapeId="0" xr:uid="{67E9E379-3A2C-5442-B421-7E55F1B673C6}">
      <text>
        <r>
          <rPr>
            <b/>
            <sz val="8"/>
            <color rgb="FF000000"/>
            <rFont val="Tahoma"/>
            <family val="2"/>
          </rPr>
          <t>Author: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Arial"/>
            <family val="2"/>
          </rPr>
          <t xml:space="preserve">Calculated from EYB 2018 Total Aux Consumption of all Nuclear = 703,110 MWh.
</t>
        </r>
        <r>
          <rPr>
            <sz val="8"/>
            <color rgb="FF000000"/>
            <rFont val="Arial"/>
            <family val="2"/>
          </rPr>
          <t xml:space="preserve">Total Electricity Generation of all Nuclear = 9,880 GWh.
</t>
        </r>
        <r>
          <rPr>
            <sz val="8"/>
            <color rgb="FF000000"/>
            <rFont val="Arial"/>
            <family val="2"/>
          </rPr>
          <t xml:space="preserve">Gross Electricity Generation of Chasnupp-IV was 2,432 GWh 
</t>
        </r>
        <r>
          <rPr>
            <sz val="8"/>
            <color rgb="FF000000"/>
            <rFont val="Arial"/>
            <family val="2"/>
          </rPr>
          <t xml:space="preserve">=&gt; 703,110 MWh * 2,432 GWh /9,880 GWh 
</t>
        </r>
        <r>
          <rPr>
            <sz val="8"/>
            <color rgb="FF000000"/>
            <rFont val="Arial"/>
            <family val="2"/>
          </rPr>
          <t>= 173.07 GWh</t>
        </r>
      </text>
    </comment>
    <comment ref="T60" authorId="1" shapeId="0" xr:uid="{2B48E611-1DD7-1141-A163-88CFCE67862E}">
      <text>
        <r>
          <rPr>
            <sz val="9"/>
            <color rgb="FF000000"/>
            <rFont val="Arial"/>
            <family val="2"/>
          </rPr>
          <t xml:space="preserve">
</t>
        </r>
        <r>
          <rPr>
            <sz val="9"/>
            <color rgb="FF000000"/>
            <rFont val="Arial"/>
            <family val="2"/>
          </rPr>
          <t xml:space="preserve">Calculated from EYB 2018 Total Aux Consumption of all IPPs = 1,285GWh.
</t>
        </r>
        <r>
          <rPr>
            <sz val="9"/>
            <color rgb="FF000000"/>
            <rFont val="Arial"/>
            <family val="2"/>
          </rPr>
          <t xml:space="preserve">
</t>
        </r>
        <r>
          <rPr>
            <sz val="9"/>
            <color rgb="FF000000"/>
            <rFont val="Arial"/>
            <family val="2"/>
          </rPr>
          <t xml:space="preserve">Total Gross Power Generation of all IPPs = 63,082GWh.
</t>
        </r>
        <r>
          <rPr>
            <sz val="9"/>
            <color rgb="FF000000"/>
            <rFont val="Arial"/>
            <family val="2"/>
          </rPr>
          <t xml:space="preserve">Gross Electricity Generation of Baloki was 2148.79 GWh 
</t>
        </r>
        <r>
          <rPr>
            <sz val="9"/>
            <color rgb="FF000000"/>
            <rFont val="Arial"/>
            <family val="2"/>
          </rPr>
          <t xml:space="preserve">
</t>
        </r>
        <r>
          <rPr>
            <sz val="9"/>
            <color rgb="FF000000"/>
            <rFont val="Arial"/>
            <family val="2"/>
          </rPr>
          <t xml:space="preserve">=&gt; </t>
        </r>
        <r>
          <rPr>
            <sz val="10"/>
            <color rgb="FF000000"/>
            <rFont val="Arial"/>
            <family val="2"/>
          </rPr>
          <t>1,285</t>
        </r>
        <r>
          <rPr>
            <sz val="9"/>
            <color rgb="FF000000"/>
            <rFont val="Arial"/>
            <family val="2"/>
          </rPr>
          <t xml:space="preserve">  GWh * 2,148.79GWh/</t>
        </r>
        <r>
          <rPr>
            <sz val="10"/>
            <color rgb="FF000000"/>
            <rFont val="Arial"/>
            <family val="2"/>
          </rPr>
          <t>63,082</t>
        </r>
        <r>
          <rPr>
            <sz val="9"/>
            <color rgb="FF000000"/>
            <rFont val="Arial"/>
            <family val="2"/>
          </rPr>
          <t xml:space="preserve"> GWh
</t>
        </r>
        <r>
          <rPr>
            <sz val="9"/>
            <color rgb="FF000000"/>
            <rFont val="Arial"/>
            <family val="2"/>
          </rPr>
          <t>= 43.77 GWh</t>
        </r>
      </text>
    </comment>
    <comment ref="T63" authorId="1" shapeId="0" xr:uid="{6EC87472-280B-504E-93B5-EA35C3863E83}">
      <text>
        <r>
          <rPr>
            <sz val="9"/>
            <color rgb="FF000000"/>
            <rFont val="Arial"/>
            <family val="2"/>
          </rPr>
          <t xml:space="preserve">
</t>
        </r>
        <r>
          <rPr>
            <sz val="9"/>
            <color rgb="FF000000"/>
            <rFont val="Arial"/>
            <family val="2"/>
          </rPr>
          <t>Calculated from EYB 2018 Total Aux Consumption of all IPPs = 1,285GWh.</t>
        </r>
        <r>
          <rPr>
            <sz val="9"/>
            <color rgb="FF000000"/>
            <rFont val="Arial"/>
            <family val="2"/>
          </rPr>
          <t xml:space="preserve">
</t>
        </r>
        <r>
          <rPr>
            <sz val="9"/>
            <color rgb="FF000000"/>
            <rFont val="Arial"/>
            <family val="2"/>
          </rPr>
          <t>Total Gross Power Generation of all IPPs = 63,082GWh.</t>
        </r>
        <r>
          <rPr>
            <sz val="9"/>
            <color rgb="FF000000"/>
            <rFont val="Arial"/>
            <family val="2"/>
          </rPr>
          <t xml:space="preserve">
</t>
        </r>
        <r>
          <rPr>
            <sz val="9"/>
            <color rgb="FF000000"/>
            <rFont val="Arial"/>
            <family val="2"/>
          </rPr>
          <t xml:space="preserve">Gross Electricity Generation of Haveli Bahdur Shah PP was 2858.44 GWh </t>
        </r>
        <r>
          <rPr>
            <sz val="9"/>
            <color rgb="FF000000"/>
            <rFont val="Arial"/>
            <family val="2"/>
          </rPr>
          <t xml:space="preserve">
</t>
        </r>
        <r>
          <rPr>
            <sz val="9"/>
            <color rgb="FF000000"/>
            <rFont val="Arial"/>
            <family val="2"/>
          </rPr>
          <t>=&gt; 1,285  GWh * 2,858.44GWh/63,082 GWh</t>
        </r>
        <r>
          <rPr>
            <sz val="9"/>
            <color rgb="FF000000"/>
            <rFont val="Arial"/>
            <family val="2"/>
          </rPr>
          <t xml:space="preserve">
</t>
        </r>
        <r>
          <rPr>
            <sz val="9"/>
            <color rgb="FF000000"/>
            <rFont val="Arial"/>
            <family val="2"/>
          </rPr>
          <t>= 58.23 GWh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T66" authorId="1" shapeId="0" xr:uid="{66CD9A9B-AF4E-AF42-9A52-56CB8B53A823}">
      <text>
        <r>
          <rPr>
            <sz val="9"/>
            <color rgb="FF000000"/>
            <rFont val="Arial"/>
            <family val="2"/>
          </rPr>
          <t xml:space="preserve">
</t>
        </r>
        <r>
          <rPr>
            <sz val="9"/>
            <color rgb="FF000000"/>
            <rFont val="Arial"/>
            <family val="2"/>
          </rPr>
          <t>Calculated from EYB 2018 Total Aux Consumption of all IPPs = 1,285GWh.</t>
        </r>
        <r>
          <rPr>
            <sz val="9"/>
            <color rgb="FF000000"/>
            <rFont val="Arial"/>
            <family val="2"/>
          </rPr>
          <t xml:space="preserve">
</t>
        </r>
        <r>
          <rPr>
            <sz val="9"/>
            <color rgb="FF000000"/>
            <rFont val="Arial"/>
            <family val="2"/>
          </rPr>
          <t>Total Gross Power Generation of all IPPs = 63,082GWh.</t>
        </r>
        <r>
          <rPr>
            <sz val="9"/>
            <color rgb="FF000000"/>
            <rFont val="Arial"/>
            <family val="2"/>
          </rPr>
          <t xml:space="preserve">
</t>
        </r>
        <r>
          <rPr>
            <sz val="9"/>
            <color rgb="FF000000"/>
            <rFont val="Arial"/>
            <family val="2"/>
          </rPr>
          <t xml:space="preserve">Gross Electricity Generation of Quaid-e-Azam Thermal PP was 3367.7 GWh </t>
        </r>
        <r>
          <rPr>
            <sz val="9"/>
            <color rgb="FF000000"/>
            <rFont val="Arial"/>
            <family val="2"/>
          </rPr>
          <t xml:space="preserve">
</t>
        </r>
        <r>
          <rPr>
            <sz val="9"/>
            <color rgb="FF000000"/>
            <rFont val="Arial"/>
            <family val="2"/>
          </rPr>
          <t>=&gt; 1,285  GWh * 3367.7GWh/63,082 GWh</t>
        </r>
        <r>
          <rPr>
            <sz val="9"/>
            <color rgb="FF000000"/>
            <rFont val="Arial"/>
            <family val="2"/>
          </rPr>
          <t xml:space="preserve">
</t>
        </r>
        <r>
          <rPr>
            <sz val="9"/>
            <color rgb="FF000000"/>
            <rFont val="Arial"/>
            <family val="2"/>
          </rPr>
          <t>= 68.8 GWh</t>
        </r>
        <r>
          <rPr>
            <sz val="9"/>
            <color rgb="FF000000"/>
            <rFont val="Arial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<sst xmlns="http://schemas.openxmlformats.org/spreadsheetml/2006/main" count="2419" uniqueCount="381">
  <si>
    <t>Gas</t>
  </si>
  <si>
    <t>GWh</t>
  </si>
  <si>
    <t>Factor cft/m3</t>
  </si>
  <si>
    <t>EF of NG</t>
  </si>
  <si>
    <t>tons/TJ</t>
  </si>
  <si>
    <t>IPCC4, V.2, Chapter 2, Table 2.2</t>
  </si>
  <si>
    <t>Density of NG</t>
  </si>
  <si>
    <t>t/m3</t>
  </si>
  <si>
    <t>Total emissions from NG</t>
  </si>
  <si>
    <t>tCO2e</t>
  </si>
  <si>
    <t>tCO2e/MWh</t>
  </si>
  <si>
    <t>Carbon emission</t>
  </si>
  <si>
    <t>Grid electricity</t>
  </si>
  <si>
    <t>MWh</t>
  </si>
  <si>
    <t>OM Emission factor</t>
  </si>
  <si>
    <t>Total emissions from Diesel</t>
  </si>
  <si>
    <t>TJ</t>
  </si>
  <si>
    <t>Total grid generated</t>
  </si>
  <si>
    <t>OM</t>
  </si>
  <si>
    <t>ctf/m3</t>
  </si>
  <si>
    <t>Power Plant</t>
  </si>
  <si>
    <t>Fuel Type</t>
  </si>
  <si>
    <t>Technology</t>
  </si>
  <si>
    <t>Electricity Generation</t>
  </si>
  <si>
    <t>Plant Efficiency2</t>
  </si>
  <si>
    <t>Total Fuel Heat Value</t>
  </si>
  <si>
    <t>Net</t>
  </si>
  <si>
    <t>Plant Total GWh</t>
  </si>
  <si>
    <t>KESC</t>
  </si>
  <si>
    <t>TPS Korangi</t>
  </si>
  <si>
    <t>Gas Turbine</t>
  </si>
  <si>
    <t>GTPS Korangi Town</t>
  </si>
  <si>
    <t>GTPS Site</t>
  </si>
  <si>
    <t>TPS Bin Quasim</t>
  </si>
  <si>
    <t>Steam Turbine</t>
  </si>
  <si>
    <t>Korangi CCP</t>
  </si>
  <si>
    <t>Private Sector</t>
  </si>
  <si>
    <t>Gul Ahmed, Karachi</t>
  </si>
  <si>
    <t>Diesel Engines</t>
  </si>
  <si>
    <t>Tapal Energy, Karachi</t>
  </si>
  <si>
    <t>TOTAL:</t>
  </si>
  <si>
    <t>RFO:</t>
  </si>
  <si>
    <t>Gas:</t>
  </si>
  <si>
    <t>Conversion factor TOE/GJ</t>
  </si>
  <si>
    <t>TJ/TOE</t>
  </si>
  <si>
    <t>Coal consumption for thermal electricity generation in Pakistan</t>
  </si>
  <si>
    <t>NG consumption for thermal electricity generation in Pakistan</t>
  </si>
  <si>
    <t>TOE</t>
  </si>
  <si>
    <t>Pakistan Energy Yearbook 2010</t>
  </si>
  <si>
    <t>Coal consumption by WAPDA grid</t>
  </si>
  <si>
    <t>NG consumption by WAPDA grid</t>
  </si>
  <si>
    <t>Calculated as difference of total consumption minus KESC consumption from Pakistan Energy Yearbook 2010</t>
  </si>
  <si>
    <t>Conversion from TOE to TJ</t>
  </si>
  <si>
    <t>KESC grid generated</t>
  </si>
  <si>
    <t>Total emissions from Coal</t>
  </si>
  <si>
    <t>EF of Coal</t>
  </si>
  <si>
    <t>WAPDA Grid Operation Margin 2008-2009</t>
  </si>
  <si>
    <t>Diesel Oil consumption for thermal electricity generation in Pakistan</t>
  </si>
  <si>
    <t>Diesel oil consumption for thermal electricity generation in Pakistan</t>
  </si>
  <si>
    <t>Diesel oil consumption by WAPDA grid</t>
  </si>
  <si>
    <t>EF of Diesel</t>
  </si>
  <si>
    <t>Power Generation by Power Plants connected to the Karachi Grid in Year 2008-09</t>
  </si>
  <si>
    <t>Operation Margin WAPDA</t>
  </si>
  <si>
    <t>of which Hydel</t>
  </si>
  <si>
    <t>of which Nuclear</t>
  </si>
  <si>
    <t>Share of low-cost/must-run resources</t>
  </si>
  <si>
    <t>Gross</t>
  </si>
  <si>
    <t>Auxiliary Consumption</t>
  </si>
  <si>
    <t>All input data taken from the 2009 Pakistan Energy Yearbook, except plant efficiencies derived from the Tool to determine the grid emission factor of an electricity system</t>
  </si>
  <si>
    <t>Plant</t>
  </si>
  <si>
    <t>Total Fuel</t>
  </si>
  <si>
    <t>Fuel</t>
  </si>
  <si>
    <t>Heat Value</t>
  </si>
  <si>
    <t>Type</t>
  </si>
  <si>
    <t>Total</t>
  </si>
  <si>
    <t>ORIENT POWER LTD</t>
  </si>
  <si>
    <t>SAIF POWER LTD</t>
  </si>
  <si>
    <t>ENGRO ENERGY LTD</t>
  </si>
  <si>
    <t>ATLAS POWER LTD</t>
  </si>
  <si>
    <t xml:space="preserve">ATTOCK GEN </t>
  </si>
  <si>
    <t>GHAZI BAROTHA</t>
  </si>
  <si>
    <t>TNB LIBERTY POWER</t>
  </si>
  <si>
    <t>ALTERNATIVE ENERGY LTD</t>
  </si>
  <si>
    <t>CHASHMA</t>
  </si>
  <si>
    <t>Power Unit</t>
  </si>
  <si>
    <t>CDM retrofit</t>
  </si>
  <si>
    <t>No</t>
  </si>
  <si>
    <t>NISHAT CHUNIAN LTD</t>
  </si>
  <si>
    <t>Emission from NG</t>
  </si>
  <si>
    <t>NUCLEAR</t>
  </si>
  <si>
    <t>UCH POWER</t>
  </si>
  <si>
    <t>JAPAN POWER</t>
  </si>
  <si>
    <t>SABA POWER</t>
  </si>
  <si>
    <t>ROUSCH POWER</t>
  </si>
  <si>
    <t>FAUJI KABIRAWALA</t>
  </si>
  <si>
    <t>HABIBULLAH</t>
  </si>
  <si>
    <t>SOUTHERN ELECTRIC</t>
  </si>
  <si>
    <t>AES PAK GEN</t>
  </si>
  <si>
    <t>AES LALPIR</t>
  </si>
  <si>
    <t>KOHINOOR ENERGY</t>
  </si>
  <si>
    <t>HUBCO</t>
  </si>
  <si>
    <t>KAPCO</t>
  </si>
  <si>
    <t>TPS MUZAFFAR GARH</t>
  </si>
  <si>
    <t>TPS JAMSHORO</t>
  </si>
  <si>
    <t>TARBELA</t>
  </si>
  <si>
    <t>GTPS FAISALABAD</t>
  </si>
  <si>
    <t>MANGLA</t>
  </si>
  <si>
    <t>1967-1969</t>
  </si>
  <si>
    <t>SPS FAISALABAD</t>
  </si>
  <si>
    <t>NGPS MULTAN</t>
  </si>
  <si>
    <t>SHADIWAL</t>
  </si>
  <si>
    <t>WARSAK</t>
  </si>
  <si>
    <t>CHICHOKI MALIAN</t>
  </si>
  <si>
    <t>KURRAM GARHI</t>
  </si>
  <si>
    <t>DARGAI</t>
  </si>
  <si>
    <t>RASUL</t>
  </si>
  <si>
    <t>RENALA</t>
  </si>
  <si>
    <t>FBC LAKHRA</t>
  </si>
  <si>
    <t>NANDIPUR</t>
  </si>
  <si>
    <t>CHITRAL</t>
  </si>
  <si>
    <t>GTPS KOTRI</t>
  </si>
  <si>
    <t>GTPS SHAHDRA</t>
  </si>
  <si>
    <t>TPS QUETTA</t>
  </si>
  <si>
    <t>GTPS PANJGUR</t>
  </si>
  <si>
    <t>WAPDA</t>
  </si>
  <si>
    <t>Water</t>
  </si>
  <si>
    <t>Nuclear</t>
  </si>
  <si>
    <t>TPS PASNI</t>
  </si>
  <si>
    <t>yes</t>
  </si>
  <si>
    <t>no</t>
  </si>
  <si>
    <t>Plant Efficiency</t>
  </si>
  <si>
    <t>Hydel</t>
  </si>
  <si>
    <t xml:space="preserve">Thermal </t>
  </si>
  <si>
    <t>Installed 
Capacity MW</t>
  </si>
  <si>
    <t>Electricity 
Generation MWh</t>
  </si>
  <si>
    <t>Diesel Engine</t>
  </si>
  <si>
    <t>http://www.wapda.gov.pk/htmls/pgeneration-salient.html</t>
  </si>
  <si>
    <t>http://www.ppib.gov.pk/N_commissioned_ipps.htm</t>
  </si>
  <si>
    <t>http://www.jpcl.com.pk/plant-information.html</t>
  </si>
  <si>
    <t>http://www.investinpakistan.pk/pdf/Power.pdf</t>
  </si>
  <si>
    <t>http://en.wikipedia.org/wiki/Chashma_Nuclear_Power_Complex</t>
  </si>
  <si>
    <t>N/A</t>
  </si>
  <si>
    <t>Build Margin WAPDA</t>
  </si>
  <si>
    <t>BM Emission factor</t>
  </si>
  <si>
    <t>Weighting factor OM</t>
  </si>
  <si>
    <t>Weighting factor BM</t>
  </si>
  <si>
    <t>Net Electricty from latest 20%</t>
  </si>
  <si>
    <t>Source for Electricity Generation</t>
  </si>
  <si>
    <t>Commission
 Date</t>
  </si>
  <si>
    <t>Source for Commission Date</t>
  </si>
  <si>
    <t>Official data of electricity generation 
available?</t>
  </si>
  <si>
    <t>Thermal</t>
  </si>
  <si>
    <t>Foundation Power</t>
  </si>
  <si>
    <t>Halmore Power</t>
  </si>
  <si>
    <t>CHASNUPP-I</t>
  </si>
  <si>
    <t>CHASNUPP-II</t>
  </si>
  <si>
    <t>HSD</t>
  </si>
  <si>
    <t>Reciprocant Engines</t>
  </si>
  <si>
    <t>Combined cycle</t>
  </si>
  <si>
    <t>Combined Cycle</t>
  </si>
  <si>
    <t>Power Generation by the latest Power Plants providing 20% of the total power per year to the WAPDA Grid in Year 2010-11</t>
  </si>
  <si>
    <t>WAPDA Grid Operation Margin 2009-10</t>
  </si>
  <si>
    <t>All input data taken from the 2010 Pakistan Energy Yearbook, except plant efficiencies derived from the Tool to determine the grid emission factor of an electricity system</t>
  </si>
  <si>
    <t>Power Generation by Power Plants connected to the Karachi Grid in Year 2009-10</t>
  </si>
  <si>
    <t>WAPDA Grid Operation Margin 2010-11</t>
  </si>
  <si>
    <t>Power Generation by Power Plants connected to the Karachi Grid in Year 2010-11</t>
  </si>
  <si>
    <t>Pakistan Energy Yearbook 2011</t>
  </si>
  <si>
    <t>Calculated as difference of total consumption minus KESC consumption from Pakistan Energy Yearbook 2011</t>
  </si>
  <si>
    <t>All input data taken from the 2011 Pakistan Energy Yearbook, except plant efficiencies derived from the Tool to determine the grid emission factor of an electricity system</t>
  </si>
  <si>
    <t>WAPDA grid generated</t>
  </si>
  <si>
    <t>Low-cost/must-run share of total grid</t>
  </si>
  <si>
    <t>Aux consumption WAPDA Thermal</t>
  </si>
  <si>
    <t>Aux consumption WAPDA IPPs</t>
  </si>
  <si>
    <t>Pakistan Energy Yearbook 2010 Table 5.11</t>
  </si>
  <si>
    <t>Pakistan Energy Yearbook 2011 Table 5.11</t>
  </si>
  <si>
    <t>Pakistan Energy Yearbook 2009 Table 5.11</t>
  </si>
  <si>
    <t>WAPDA grid net electricity without low-cost/must-run</t>
  </si>
  <si>
    <t>WAPDA Grid Operation Margin 2011-12</t>
    <phoneticPr fontId="1" type="noConversion"/>
  </si>
  <si>
    <t>TPS Bin Quasim</t>
    <phoneticPr fontId="1" type="noConversion"/>
  </si>
  <si>
    <t>TPS Bin Quasim II</t>
    <phoneticPr fontId="1" type="noConversion"/>
  </si>
  <si>
    <t>TPS Bin Quasim ii</t>
    <phoneticPr fontId="1" type="noConversion"/>
  </si>
  <si>
    <t>All input data taken from the 2012 Pakistan Energy Yearbook (Table 5.11), except plant efficiencies derived from the Tool to determine the grid emission factor of an electricity system</t>
    <phoneticPr fontId="1" type="noConversion"/>
  </si>
  <si>
    <t>Power Generation by Power Plants connected to the Karachi Grid in Year 2011-12</t>
    <phoneticPr fontId="1" type="noConversion"/>
  </si>
  <si>
    <t>Pakistan Energy Yearbook 2012</t>
    <phoneticPr fontId="1" type="noConversion"/>
  </si>
  <si>
    <t>Pakistan Energy Yearbook 2012</t>
    <phoneticPr fontId="1" type="noConversion"/>
  </si>
  <si>
    <t>Pakistan Energy Yearbook 2012, Table 5.4</t>
    <phoneticPr fontId="1" type="noConversion"/>
  </si>
  <si>
    <t>Calculated as difference of total consumption minus KESC consumption from Pakistan Energy Yearbook 2012</t>
    <phoneticPr fontId="1" type="noConversion"/>
  </si>
  <si>
    <t>Calculated as difference of total consumption minus KESC consumption from Pakistan Energy Yearbook 2012</t>
    <phoneticPr fontId="1" type="noConversion"/>
  </si>
  <si>
    <t>Pakistan Energy Yearbook 2012 Table 5.11</t>
    <phoneticPr fontId="1" type="noConversion"/>
  </si>
  <si>
    <t>KANUPP</t>
    <phoneticPr fontId="1" type="noConversion"/>
  </si>
  <si>
    <t>KKHP</t>
    <phoneticPr fontId="1" type="noConversion"/>
  </si>
  <si>
    <t>Jinnah</t>
    <phoneticPr fontId="1" type="noConversion"/>
  </si>
  <si>
    <t>AKHP</t>
    <phoneticPr fontId="1" type="noConversion"/>
  </si>
  <si>
    <t>Liberty Power Tech</t>
    <phoneticPr fontId="1" type="noConversion"/>
  </si>
  <si>
    <t>Nuclear</t>
    <phoneticPr fontId="1" type="noConversion"/>
  </si>
  <si>
    <t>Hydel</t>
    <phoneticPr fontId="1" type="noConversion"/>
  </si>
  <si>
    <t>EYB2013</t>
    <phoneticPr fontId="1" type="noConversion"/>
  </si>
  <si>
    <t>SAPPHIRE ELECTRIC</t>
    <phoneticPr fontId="1" type="noConversion"/>
  </si>
  <si>
    <t>NISHAT CHUNIAN Power</t>
    <phoneticPr fontId="1" type="noConversion"/>
  </si>
  <si>
    <t>TPS GUDDU (Unit 1-4)</t>
    <phoneticPr fontId="1" type="noConversion"/>
  </si>
  <si>
    <t>http://www.ppib.gov.pk/N_commissioned_ipps.htm
http://www.ppib.gov.pk/N_halmore.htm</t>
    <phoneticPr fontId="1" type="noConversion"/>
  </si>
  <si>
    <t>http://www.ppib.gov.pk/N_lpt.htm</t>
    <phoneticPr fontId="1" type="noConversion"/>
  </si>
  <si>
    <t>http://www.wapda.gov.pk/htmls/pgeneration-salient.html</t>
    <phoneticPr fontId="1" type="noConversion"/>
  </si>
  <si>
    <t xml:space="preserve">FOUNDATION POWER </t>
    <phoneticPr fontId="1" type="noConversion"/>
  </si>
  <si>
    <t>Hub Power, Narowal</t>
    <phoneticPr fontId="1" type="noConversion"/>
  </si>
  <si>
    <t>Liberty Power Tech</t>
    <phoneticPr fontId="1" type="noConversion"/>
  </si>
  <si>
    <t>NISHAT POWER LTD</t>
    <phoneticPr fontId="1" type="noConversion"/>
  </si>
  <si>
    <t>NISHAT POWER</t>
    <phoneticPr fontId="1" type="noConversion"/>
  </si>
  <si>
    <t>SAIF POWER</t>
    <phoneticPr fontId="1" type="noConversion"/>
  </si>
  <si>
    <t>Jinnah</t>
    <phoneticPr fontId="1" type="noConversion"/>
  </si>
  <si>
    <t>AKHP</t>
    <phoneticPr fontId="1" type="noConversion"/>
  </si>
  <si>
    <t>KKHP</t>
    <phoneticPr fontId="1" type="noConversion"/>
  </si>
  <si>
    <t>BM 2012-13</t>
    <phoneticPr fontId="1" type="noConversion"/>
  </si>
  <si>
    <t>HSD:</t>
    <phoneticPr fontId="1" type="noConversion"/>
  </si>
  <si>
    <t>EF of HSD</t>
    <phoneticPr fontId="1" type="noConversion"/>
  </si>
  <si>
    <t>Total El. Gen 2012-13 MWh</t>
    <phoneticPr fontId="1" type="noConversion"/>
  </si>
  <si>
    <t>Emission from HSD</t>
    <phoneticPr fontId="1" type="noConversion"/>
  </si>
  <si>
    <t>plants to be included in the BM 2012-13 calculation</t>
    <phoneticPr fontId="1" type="noConversion"/>
  </si>
  <si>
    <t>Total El. Gen 2012-13 MWh</t>
    <phoneticPr fontId="1" type="noConversion"/>
  </si>
  <si>
    <t>All input data taken from the 2013 Pakistan Energy Yearbook, except plant efficiencies derived from the Tool to determine the grid emission factor of an electricity system</t>
    <phoneticPr fontId="1" type="noConversion"/>
  </si>
  <si>
    <t>2012/13</t>
    <phoneticPr fontId="1" type="noConversion"/>
  </si>
  <si>
    <r>
      <t>Auxiliary Consumption</t>
    </r>
    <r>
      <rPr>
        <b/>
        <vertAlign val="superscript"/>
        <sz val="12"/>
        <rFont val="Times New Roman"/>
        <family val="1"/>
      </rPr>
      <t>1</t>
    </r>
  </si>
  <si>
    <r>
      <t>Gross</t>
    </r>
    <r>
      <rPr>
        <b/>
        <vertAlign val="superscript"/>
        <sz val="12"/>
        <rFont val="Times New Roman"/>
        <family val="1"/>
      </rPr>
      <t>1</t>
    </r>
  </si>
  <si>
    <r>
      <t>Auxiliary Consumption</t>
    </r>
    <r>
      <rPr>
        <b/>
        <vertAlign val="superscript"/>
        <sz val="11"/>
        <rFont val="Times New Roman"/>
        <family val="1"/>
      </rPr>
      <t>1</t>
    </r>
  </si>
  <si>
    <r>
      <t>Gross</t>
    </r>
    <r>
      <rPr>
        <b/>
        <vertAlign val="superscript"/>
        <sz val="11"/>
        <rFont val="Times New Roman"/>
        <family val="1"/>
      </rPr>
      <t>1</t>
    </r>
  </si>
  <si>
    <r>
      <t>Efficiency</t>
    </r>
    <r>
      <rPr>
        <b/>
        <vertAlign val="superscript"/>
        <sz val="11"/>
        <rFont val="Times New Roman"/>
        <family val="1"/>
      </rPr>
      <t>2</t>
    </r>
  </si>
  <si>
    <t>Year 2013</t>
    <phoneticPr fontId="1" type="noConversion"/>
  </si>
  <si>
    <t>Year 2012</t>
    <phoneticPr fontId="1" type="noConversion"/>
  </si>
  <si>
    <t>Emissions from FO</t>
    <phoneticPr fontId="1" type="noConversion"/>
  </si>
  <si>
    <t>FO</t>
  </si>
  <si>
    <t>FO</t>
    <phoneticPr fontId="1" type="noConversion"/>
  </si>
  <si>
    <t>EF of FO</t>
  </si>
  <si>
    <t>EF of FO</t>
    <phoneticPr fontId="1" type="noConversion"/>
  </si>
  <si>
    <t>Total emissions from FO</t>
  </si>
  <si>
    <t>Total emissions from FO</t>
    <phoneticPr fontId="1" type="noConversion"/>
  </si>
  <si>
    <t>FO consumption for thermal electricity generation in Pakistan</t>
  </si>
  <si>
    <t>FO consumption for thermal electricity generation in Pakistan</t>
    <phoneticPr fontId="1" type="noConversion"/>
  </si>
  <si>
    <t>FO consumption by WAPDA grid</t>
  </si>
  <si>
    <t>FO consumption by WAPDA grid</t>
    <phoneticPr fontId="1" type="noConversion"/>
  </si>
  <si>
    <t>EF of FO</t>
    <phoneticPr fontId="1" type="noConversion"/>
  </si>
  <si>
    <t>FO:</t>
  </si>
  <si>
    <t>FO:</t>
    <phoneticPr fontId="1" type="noConversion"/>
  </si>
  <si>
    <t>http://wapda.gov.pk/vision2025/htmls_vision2025/ji nnahhydropower.html</t>
    <phoneticPr fontId="1" type="noConversion"/>
  </si>
  <si>
    <t>Pakistan energy yearbook 2012, Appendix: 7.4</t>
    <phoneticPr fontId="1" type="noConversion"/>
  </si>
  <si>
    <t>Pakistan energy yearbook 2011, Appendix: 7.4</t>
    <phoneticPr fontId="1" type="noConversion"/>
  </si>
  <si>
    <t>Pakistan energy yearbook 2010, Appendix: 7.4</t>
    <phoneticPr fontId="1" type="noConversion"/>
  </si>
  <si>
    <t>Pakistan energy yearbook 2009, Appendix: 7.4</t>
    <phoneticPr fontId="1" type="noConversion"/>
  </si>
  <si>
    <t>Average</t>
    <phoneticPr fontId="1" type="noConversion"/>
  </si>
  <si>
    <t>EGfacility,y</t>
  </si>
  <si>
    <t>EFgrid</t>
  </si>
  <si>
    <t>tCO2e/yr</t>
  </si>
  <si>
    <t>BEy</t>
  </si>
  <si>
    <t>PEy</t>
  </si>
  <si>
    <t>ERy</t>
  </si>
  <si>
    <t>Parameter</t>
  </si>
  <si>
    <t>Value</t>
  </si>
  <si>
    <t>Unit</t>
  </si>
  <si>
    <t>2013/14</t>
  </si>
  <si>
    <t>NEW JABBAN</t>
  </si>
  <si>
    <t>GOMAL ZAM</t>
  </si>
  <si>
    <t>TPS GUDDU (Unit 5-13)</t>
  </si>
  <si>
    <t>UCH-II POWER</t>
  </si>
  <si>
    <t>Year 2014</t>
  </si>
  <si>
    <t>TPS GUDDU (Unit 1-4)</t>
  </si>
  <si>
    <t>Before 2001</t>
  </si>
  <si>
    <t>Before 2000</t>
  </si>
  <si>
    <t>M11 (back up M12)</t>
  </si>
  <si>
    <t>M21 (back up M22)</t>
  </si>
  <si>
    <t>EGfacility,y (MWh)</t>
  </si>
  <si>
    <t>EX-POST ER CALCULATION</t>
  </si>
  <si>
    <t>Baseline Emissions</t>
  </si>
  <si>
    <t>tCO2/MWh</t>
  </si>
  <si>
    <t>Calculated ex post according to tool</t>
  </si>
  <si>
    <t>Project Emissions</t>
  </si>
  <si>
    <t>Leakage</t>
  </si>
  <si>
    <t>Emission Reductions</t>
  </si>
  <si>
    <t>Electricity metering records from Grid company</t>
  </si>
  <si>
    <t>EGexported,y (MWh) for Total Wind Turbines</t>
  </si>
  <si>
    <t>EGimported,y (MWh) for Total Wind Turbines</t>
  </si>
  <si>
    <t>EYB2015</t>
  </si>
  <si>
    <t>SAPPHIRE ELECTRIC</t>
  </si>
  <si>
    <t>Year 2015</t>
  </si>
  <si>
    <t>DKHP</t>
  </si>
  <si>
    <t>CCPP Nandipur</t>
  </si>
  <si>
    <t>Year 2016</t>
  </si>
  <si>
    <t>EYB2016</t>
  </si>
  <si>
    <t>CHASNUPP-III</t>
  </si>
  <si>
    <t>Year 2017</t>
  </si>
  <si>
    <t>EYB2017</t>
  </si>
  <si>
    <t>Haveli Bahdur Shah PP</t>
  </si>
  <si>
    <t>Quaid-e-Azam Thermal PP</t>
  </si>
  <si>
    <t>Sahiwal Coal Fire Plant</t>
  </si>
  <si>
    <t>Devis Energen</t>
  </si>
  <si>
    <t>EYB2018</t>
  </si>
  <si>
    <t>EYB2019</t>
  </si>
  <si>
    <t>Total El. Gen 2018 MWh</t>
  </si>
  <si>
    <t>Coal</t>
  </si>
  <si>
    <t>Super Critical</t>
  </si>
  <si>
    <t>http://cpec.gov.pk/project-details/2</t>
  </si>
  <si>
    <t>Coal:</t>
  </si>
  <si>
    <t>Emissions from Coal</t>
  </si>
  <si>
    <t>IPCC, V.2, Chapter 2, Table 2.2</t>
  </si>
  <si>
    <t>WAPDA Grid Operation Margin 2019 (2017-18)</t>
  </si>
  <si>
    <t>Pakistan Energy Yearbook 2018 Table 5.11</t>
  </si>
  <si>
    <t>Pakistan energy yearbook 2018, Appendix: 7.4 (p136)</t>
  </si>
  <si>
    <t>Pakistan Energy Yearbook 2018</t>
  </si>
  <si>
    <t>Pakistan Energy Yearbook 2018, Table 5.4</t>
  </si>
  <si>
    <t>Power Generation by Power Plants connected to the Karachi Grid in Year 2017-18</t>
  </si>
  <si>
    <t>All input data taken from the 2018 Pakistan Energy Yearbook (Table 5.11), except plant efficiencies derived from the Tool to determine the grid emission factor of an electricity system</t>
  </si>
  <si>
    <t>BM 2017-18</t>
  </si>
  <si>
    <t>Total El. Gen 2017-18 MWh</t>
  </si>
  <si>
    <t>plants to be included in the BM 2019 calculation</t>
  </si>
  <si>
    <t>CHASNUPP-IV</t>
  </si>
  <si>
    <t>Year 2018</t>
  </si>
  <si>
    <t>Baloki</t>
  </si>
  <si>
    <t>Gulf Power Gen</t>
  </si>
  <si>
    <t>Port Qasim</t>
  </si>
  <si>
    <t>Reshman</t>
  </si>
  <si>
    <t>Pakistan Energy Yearbook 2019 Table 5.11</t>
  </si>
  <si>
    <t>Pakistan energy yearbook 2019, Appendix: 7.4 (p136)</t>
  </si>
  <si>
    <t>Pakistan Energy Yearbook 2019</t>
  </si>
  <si>
    <t>Pakistan Energy Yearbook 2019, Table 5.4</t>
  </si>
  <si>
    <t>Calculated as difference of total consumption minus KESC consumption from Pakistan Energy Yearbook 2019</t>
  </si>
  <si>
    <t>WAPDA Grid Operation Margin 2020 (2018-19)</t>
  </si>
  <si>
    <t>Power Generation by Power Plants connected to the Karachi Grid in Year 2018-19</t>
  </si>
  <si>
    <t>All input data taken from the 2019 Pakistan Energy Yearbook (Table 5.11), except plant efficiencies derived from the Tool to determine the grid emission factor of an electricity system</t>
  </si>
  <si>
    <t>BM 2018-19</t>
  </si>
  <si>
    <t>Total El. Gen 2018-19 MWh</t>
  </si>
  <si>
    <t>http://cpec.gov.pk/project-details/1</t>
  </si>
  <si>
    <t>T-4th</t>
  </si>
  <si>
    <t>Golen Gol</t>
  </si>
  <si>
    <t>Year 2019</t>
  </si>
  <si>
    <t>Power Generation by the latest Power Plants providing 20% of the total power per year to the WAPDA Grid in Year 2018-19</t>
  </si>
  <si>
    <t>plants to be included in the BM 2020 calculation</t>
  </si>
  <si>
    <t>Power Generation by the latest Power Plants providing 20% of the total power per year to the WAPDA Grid in Year 2017-18</t>
  </si>
  <si>
    <t>All input data taken from the 2018 Pakistan Energy Yearbook, except plant efficiencies derived from the Tool to calculate the emission factor for an electricity system</t>
  </si>
  <si>
    <t>All input data taken from the 2019 Pakistan Energy Yearbook, except plant efficiencies derived from the Tool to calculate the emission factor for an electricity system</t>
  </si>
  <si>
    <t>Calculated as difference of total consumption minus KESC consumption from Pakistan Energy Yearbook 2018</t>
  </si>
  <si>
    <t>Grid emission factor of the WAPDA Grid 2019</t>
  </si>
  <si>
    <t>Combined Margin 
WAPDA 2019</t>
  </si>
  <si>
    <t>Grid emission factor of the WAPDA Grid 2020</t>
  </si>
  <si>
    <t>Combined Margin 
WAPDA 2020</t>
  </si>
  <si>
    <t>01/09/2019-30/09/2019</t>
  </si>
  <si>
    <t>01/10/2019-31/10/2019</t>
  </si>
  <si>
    <t>01/11/2019-30/11/2019</t>
  </si>
  <si>
    <t>01/12/2019-31/12/2019</t>
  </si>
  <si>
    <t>01/01/2020-31/01/2020</t>
  </si>
  <si>
    <t>01/03/2020-31/03/2020</t>
  </si>
  <si>
    <t>01/04/2020-30/04/2020</t>
  </si>
  <si>
    <t>01/05/2020-31/05/2020</t>
  </si>
  <si>
    <t>01/06/2020-30/06/2020</t>
  </si>
  <si>
    <t>01/07/2020-31/07/2020</t>
  </si>
  <si>
    <t>01/08/2020-31/08/2020</t>
  </si>
  <si>
    <t>01/09/2020-30/09/2020</t>
  </si>
  <si>
    <t>01/10/2020-31/10/2020</t>
  </si>
  <si>
    <t>01/11/2020-30/11/2020</t>
  </si>
  <si>
    <t>01/12/2020-31/12/2020</t>
  </si>
  <si>
    <t>Subtotal for Year 2019</t>
  </si>
  <si>
    <t>Subtotal for Year 2020</t>
  </si>
  <si>
    <t>Grid Emission Factor 2019</t>
  </si>
  <si>
    <t>Net Electricity supplied to the grid in year 2020</t>
  </si>
  <si>
    <t>Grid Emission Factor 2020</t>
  </si>
  <si>
    <t>Title of the project activity</t>
  </si>
  <si>
    <t>Sapphire 49.5 MW Wind Farm Project</t>
  </si>
  <si>
    <t xml:space="preserve">UNFCCC reference number </t>
  </si>
  <si>
    <t>Duration of this monitoring period</t>
  </si>
  <si>
    <t>Emission reductions (tCO2e) for this monitoring period</t>
  </si>
  <si>
    <t>Version of ER sheet</t>
  </si>
  <si>
    <t>Date of ER sheet</t>
  </si>
  <si>
    <t>Crosscheck Data from electricity sales  Receipts (MWh)</t>
  </si>
  <si>
    <t>Crosscheck Data from electricity purchase  Receipts (MWh)</t>
  </si>
  <si>
    <t>ER for period (01/01/2020 - 31/12/2020)</t>
  </si>
  <si>
    <t>ER for period (02/08/2019 - 31/12/2019)</t>
  </si>
  <si>
    <t>Net Electricity supplied to the grid in year 2019  (02/08/2019 - 31/12/2019)</t>
  </si>
  <si>
    <t>Subtotal for Year 2019 (02/08/2019 - 31/12/2019)</t>
  </si>
  <si>
    <t>02/08/2019-31/08/2019</t>
  </si>
  <si>
    <t>02/08/2019-31/12/2020 (first and last day included)</t>
  </si>
  <si>
    <t>GS ID</t>
  </si>
  <si>
    <t>GS11307</t>
  </si>
  <si>
    <t>01/02/2020-29/02/2020</t>
  </si>
  <si>
    <t>15/04/2022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</si>
</sst>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(* #,##0.00_);_(* \(#,##0.00\);_(* &quot;-&quot;??_);_(@_)"/>
    <numFmt numFmtId="164" formatCode="_-* #,##0.00_-;\-* #,##0.00_-;_-* &quot;-&quot;??_-;_-@_-"/>
    <numFmt numFmtId="165" formatCode="&quot;$&quot;#,##0_);\(&quot;$&quot;#,##0\)"/>
    <numFmt numFmtId="166" formatCode="_(* #,##0.000_);_(* \(#,##0.000\);_(* &quot;-&quot;??_);_(@_)"/>
    <numFmt numFmtId="167" formatCode="_(* #,##0_);_(* \(#,##0\);_(* &quot;-&quot;??_);_(@_)"/>
    <numFmt numFmtId="168" formatCode="_(* #,##0.00000_);_(* \(#,##0.00000\);_(* &quot;-&quot;??_);_(@_)"/>
    <numFmt numFmtId="169" formatCode="#,##0.0"/>
    <numFmt numFmtId="170" formatCode="0.0%"/>
    <numFmt numFmtId="171" formatCode="yyyy/m/d;@"/>
    <numFmt numFmtId="172" formatCode="_ * #,##0.0000_ ;_ * \-#,##0.0000_ ;_ * &quot;-&quot;????_ ;_ @_ "/>
    <numFmt numFmtId="173" formatCode="0.00000"/>
    <numFmt numFmtId="174" formatCode="0.0000_);\(0.0000\)"/>
    <numFmt numFmtId="175" formatCode="0.00_);\(0.00\)"/>
    <numFmt numFmtId="176" formatCode="0.0000"/>
  </numFmts>
  <fonts count="99">
    <font>
      <sz val="10"/>
      <name val="Arial"/>
    </font>
    <font>
      <sz val="9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u/>
      <sz val="10"/>
      <color theme="10"/>
      <name val="Arial"/>
      <family val="2"/>
    </font>
    <font>
      <sz val="10"/>
      <color indexed="81"/>
      <name val="Arial"/>
      <family val="2"/>
    </font>
    <font>
      <b/>
      <sz val="10"/>
      <color indexed="81"/>
      <name val="Arial"/>
      <family val="2"/>
    </font>
    <font>
      <sz val="10"/>
      <color theme="1"/>
      <name val="Times New Roman"/>
      <family val="1"/>
    </font>
    <font>
      <sz val="10"/>
      <name val="Times New Roman"/>
      <family val="1"/>
    </font>
    <font>
      <sz val="10"/>
      <color rgb="FF000000"/>
      <name val="Times New Roman"/>
      <family val="1"/>
    </font>
    <font>
      <sz val="10"/>
      <color rgb="FF3F3F76"/>
      <name val="Times New Roman"/>
      <family val="1"/>
    </font>
    <font>
      <b/>
      <sz val="10"/>
      <color rgb="FFFA7D00"/>
      <name val="Times New Roman"/>
      <family val="1"/>
    </font>
    <font>
      <sz val="10"/>
      <color rgb="FFFF0000"/>
      <name val="Times New Roman"/>
      <family val="1"/>
    </font>
    <font>
      <b/>
      <sz val="10"/>
      <color theme="1"/>
      <name val="Times New Roman"/>
      <family val="1"/>
    </font>
    <font>
      <u/>
      <sz val="10"/>
      <color theme="10"/>
      <name val="Times New Roman"/>
      <family val="1"/>
    </font>
    <font>
      <sz val="16"/>
      <name val="Times New Roman"/>
      <family val="1"/>
    </font>
    <font>
      <b/>
      <sz val="10"/>
      <name val="Times New Roman"/>
      <family val="1"/>
    </font>
    <font>
      <sz val="11"/>
      <name val="Times New Roman"/>
      <family val="1"/>
    </font>
    <font>
      <b/>
      <sz val="10"/>
      <color rgb="FF000000"/>
      <name val="Times New Roman"/>
      <family val="1"/>
    </font>
    <font>
      <b/>
      <u/>
      <sz val="10"/>
      <color rgb="FF000000"/>
      <name val="Times New Roman"/>
      <family val="1"/>
    </font>
    <font>
      <sz val="10"/>
      <color rgb="FFDD0806"/>
      <name val="Times New Roman"/>
      <family val="1"/>
    </font>
    <font>
      <b/>
      <sz val="15"/>
      <color theme="3"/>
      <name val="Times New Roman"/>
      <family val="1"/>
    </font>
    <font>
      <b/>
      <sz val="13"/>
      <color theme="3"/>
      <name val="Times New Roman"/>
      <family val="1"/>
    </font>
    <font>
      <b/>
      <sz val="11"/>
      <color theme="3"/>
      <name val="Times New Roman"/>
      <family val="1"/>
    </font>
    <font>
      <sz val="12"/>
      <color rgb="FFFA7D00"/>
      <name val="Times New Roman"/>
      <family val="1"/>
    </font>
    <font>
      <i/>
      <sz val="12"/>
      <color rgb="FF7F7F7F"/>
      <name val="Times New Roman"/>
      <family val="1"/>
    </font>
    <font>
      <b/>
      <sz val="12"/>
      <color rgb="FF3F3F3F"/>
      <name val="Times New Roman"/>
      <family val="1"/>
    </font>
    <font>
      <b/>
      <sz val="16"/>
      <name val="Times New Roman"/>
      <family val="1"/>
    </font>
    <font>
      <sz val="12"/>
      <color rgb="FF3F3F76"/>
      <name val="Times New Roman"/>
      <family val="1"/>
    </font>
    <font>
      <b/>
      <sz val="12"/>
      <color rgb="FFFA7D00"/>
      <name val="Times New Roman"/>
      <family val="1"/>
    </font>
    <font>
      <sz val="9"/>
      <name val="Times New Roman"/>
      <family val="1"/>
    </font>
    <font>
      <sz val="11"/>
      <color rgb="FF000000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b/>
      <vertAlign val="superscript"/>
      <sz val="12"/>
      <name val="Times New Roman"/>
      <family val="1"/>
    </font>
    <font>
      <sz val="12"/>
      <color rgb="FF000000"/>
      <name val="Times New Roman"/>
      <family val="1"/>
    </font>
    <font>
      <b/>
      <i/>
      <sz val="12"/>
      <color rgb="FF000000"/>
      <name val="Times New Roman"/>
      <family val="1"/>
    </font>
    <font>
      <b/>
      <i/>
      <sz val="12"/>
      <name val="Times New Roman"/>
      <family val="1"/>
    </font>
    <font>
      <b/>
      <u/>
      <sz val="11"/>
      <color rgb="FF000000"/>
      <name val="Times New Roman"/>
      <family val="1"/>
    </font>
    <font>
      <vertAlign val="superscript"/>
      <sz val="11"/>
      <name val="Times New Roman"/>
      <family val="1"/>
    </font>
    <font>
      <sz val="11"/>
      <color rgb="FFDD0806"/>
      <name val="Times New Roman"/>
      <family val="1"/>
    </font>
    <font>
      <vertAlign val="superscript"/>
      <sz val="12"/>
      <name val="Times New Roman"/>
      <family val="1"/>
    </font>
    <font>
      <b/>
      <u/>
      <sz val="12"/>
      <color rgb="FF000000"/>
      <name val="Times New Roman"/>
      <family val="1"/>
    </font>
    <font>
      <i/>
      <sz val="12"/>
      <color rgb="FFFF0000"/>
      <name val="Times New Roman"/>
      <family val="1"/>
    </font>
    <font>
      <b/>
      <sz val="11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1"/>
      <name val="Times New Roman"/>
      <family val="1"/>
    </font>
    <font>
      <b/>
      <vertAlign val="superscript"/>
      <sz val="11"/>
      <name val="Times New Roman"/>
      <family val="1"/>
    </font>
    <font>
      <b/>
      <sz val="11"/>
      <color theme="1"/>
      <name val="Times New Roman"/>
      <family val="1"/>
    </font>
    <font>
      <sz val="8"/>
      <color theme="1"/>
      <name val="Times New Roman"/>
      <family val="1"/>
    </font>
    <font>
      <b/>
      <u/>
      <sz val="11"/>
      <color theme="1"/>
      <name val="Times New Roman"/>
      <family val="1"/>
    </font>
    <font>
      <sz val="11"/>
      <color indexed="10"/>
      <name val="Times New Roman"/>
      <family val="1"/>
    </font>
    <font>
      <i/>
      <sz val="11"/>
      <color rgb="FFFF0000"/>
      <name val="Times New Roman"/>
      <family val="1"/>
    </font>
    <font>
      <vertAlign val="superscript"/>
      <sz val="10"/>
      <color indexed="10"/>
      <name val="Times New Roman"/>
      <family val="1"/>
    </font>
    <font>
      <vertAlign val="superscript"/>
      <sz val="10"/>
      <name val="Times New Roman"/>
      <family val="1"/>
    </font>
    <font>
      <b/>
      <sz val="10"/>
      <name val="Arial"/>
      <family val="2"/>
    </font>
    <font>
      <sz val="9"/>
      <name val="宋体"/>
      <family val="3"/>
      <charset val="134"/>
    </font>
    <font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5"/>
      <color theme="3"/>
      <name val="Times New Roman"/>
      <family val="1"/>
    </font>
    <font>
      <b/>
      <sz val="12"/>
      <color theme="3"/>
      <name val="Times New Roman"/>
      <family val="1"/>
    </font>
    <font>
      <b/>
      <sz val="16"/>
      <name val="Times New Roman"/>
      <family val="1"/>
    </font>
    <font>
      <sz val="16"/>
      <name val="Times New Roman"/>
      <family val="1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b/>
      <sz val="10"/>
      <name val="Times New Roman"/>
      <family val="1"/>
    </font>
    <font>
      <sz val="8"/>
      <color rgb="FF000000"/>
      <name val="Arial"/>
      <family val="2"/>
    </font>
    <font>
      <sz val="10"/>
      <name val="Times New Roman"/>
      <family val="1"/>
    </font>
    <font>
      <sz val="10"/>
      <color rgb="FFFF0000"/>
      <name val="Times New Roman"/>
      <family val="1"/>
    </font>
    <font>
      <i/>
      <sz val="12"/>
      <color rgb="FF7F7F7F"/>
      <name val="Times New Roman"/>
      <family val="1"/>
    </font>
    <font>
      <b/>
      <sz val="14"/>
      <name val="Times New Roman"/>
      <family val="1"/>
    </font>
    <font>
      <b/>
      <sz val="10"/>
      <color rgb="FF000000"/>
      <name val="Times New Roman"/>
      <family val="1"/>
    </font>
    <font>
      <sz val="11"/>
      <color theme="1"/>
      <name val="Helvetica"/>
      <family val="2"/>
    </font>
    <font>
      <sz val="11"/>
      <name val="Arial"/>
      <family val="2"/>
    </font>
    <font>
      <u/>
      <sz val="11"/>
      <color theme="10"/>
      <name val="Arial"/>
      <family val="2"/>
    </font>
    <font>
      <sz val="11"/>
      <color rgb="FF00000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</fonts>
  <fills count="3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FF"/>
        <bgColor rgb="FF000000"/>
      </patternFill>
    </fill>
    <fill>
      <patternFill patternType="solid">
        <fgColor rgb="FFFFDE9B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</patternFill>
    </fill>
    <fill>
      <patternFill patternType="solid">
        <fgColor rgb="FFFFDE9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F0"/>
        <bgColor rgb="FF000000"/>
      </patternFill>
    </fill>
    <fill>
      <patternFill patternType="solid">
        <fgColor theme="7" tint="0.39997558519241921"/>
        <bgColor rgb="FF000000"/>
      </patternFill>
    </fill>
    <fill>
      <patternFill patternType="solid">
        <fgColor rgb="FF00B0F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5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medium">
        <color auto="1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/>
      <right style="thick">
        <color auto="1"/>
      </right>
      <top/>
      <bottom style="thick">
        <color theme="4"/>
      </bottom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/>
      <bottom style="thick">
        <color theme="4" tint="0.499984740745262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medium">
        <color theme="4" tint="0.39997558519241921"/>
      </bottom>
      <diagonal/>
    </border>
    <border>
      <left/>
      <right style="thick">
        <color auto="1"/>
      </right>
      <top/>
      <bottom style="medium">
        <color theme="4" tint="0.3999755851924192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 style="thin">
        <color rgb="FF7F7F7F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auto="1"/>
      </top>
      <bottom/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</borders>
  <cellStyleXfs count="754">
    <xf numFmtId="0" fontId="0" fillId="0" borderId="0"/>
    <xf numFmtId="165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4" fillId="0" borderId="0"/>
    <xf numFmtId="0" fontId="3" fillId="0" borderId="0"/>
    <xf numFmtId="43" fontId="3" fillId="0" borderId="0" applyFont="0" applyFill="0" applyBorder="0" applyAlignment="0" applyProtection="0"/>
    <xf numFmtId="0" fontId="5" fillId="5" borderId="23" applyNumberFormat="0" applyAlignment="0" applyProtection="0"/>
    <xf numFmtId="0" fontId="6" fillId="6" borderId="24" applyNumberFormat="0" applyAlignment="0" applyProtection="0"/>
    <xf numFmtId="0" fontId="7" fillId="6" borderId="23" applyNumberFormat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27" applyNumberFormat="0" applyFill="0" applyAlignment="0" applyProtection="0"/>
    <xf numFmtId="0" fontId="12" fillId="0" borderId="28" applyNumberFormat="0" applyFill="0" applyAlignment="0" applyProtection="0"/>
    <xf numFmtId="0" fontId="13" fillId="0" borderId="29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30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4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9" fontId="3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676">
    <xf numFmtId="0" fontId="0" fillId="0" borderId="0" xfId="0"/>
    <xf numFmtId="0" fontId="20" fillId="3" borderId="11" xfId="0" applyFont="1" applyFill="1" applyBorder="1" applyAlignment="1">
      <alignment horizontal="center" vertical="center"/>
    </xf>
    <xf numFmtId="171" fontId="20" fillId="3" borderId="11" xfId="0" applyNumberFormat="1" applyFont="1" applyFill="1" applyBorder="1" applyAlignment="1">
      <alignment horizontal="center" vertical="center" wrapText="1"/>
    </xf>
    <xf numFmtId="0" fontId="20" fillId="3" borderId="11" xfId="0" applyFont="1" applyFill="1" applyBorder="1" applyAlignment="1">
      <alignment horizontal="center" vertical="center" wrapText="1"/>
    </xf>
    <xf numFmtId="0" fontId="20" fillId="18" borderId="11" xfId="0" applyFont="1" applyFill="1" applyBorder="1" applyAlignment="1">
      <alignment horizontal="center" vertical="center" wrapText="1"/>
    </xf>
    <xf numFmtId="0" fontId="21" fillId="0" borderId="0" xfId="0" applyFont="1"/>
    <xf numFmtId="43" fontId="21" fillId="0" borderId="0" xfId="0" applyNumberFormat="1" applyFont="1" applyFill="1" applyBorder="1"/>
    <xf numFmtId="0" fontId="20" fillId="0" borderId="0" xfId="0" applyFont="1" applyBorder="1" applyAlignment="1">
      <alignment vertical="center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horizontal="left"/>
    </xf>
    <xf numFmtId="0" fontId="21" fillId="0" borderId="0" xfId="0" applyFont="1" applyFill="1"/>
    <xf numFmtId="0" fontId="20" fillId="0" borderId="0" xfId="0" applyFont="1" applyFill="1" applyAlignment="1">
      <alignment horizontal="center" vertical="center" wrapText="1"/>
    </xf>
    <xf numFmtId="0" fontId="21" fillId="0" borderId="0" xfId="0" applyFont="1" applyBorder="1"/>
    <xf numFmtId="0" fontId="20" fillId="24" borderId="9" xfId="0" applyFont="1" applyFill="1" applyBorder="1" applyAlignment="1">
      <alignment vertical="center"/>
    </xf>
    <xf numFmtId="0" fontId="20" fillId="0" borderId="5" xfId="0" applyFont="1" applyFill="1" applyBorder="1" applyAlignment="1">
      <alignment vertical="center"/>
    </xf>
    <xf numFmtId="171" fontId="20" fillId="0" borderId="5" xfId="0" applyNumberFormat="1" applyFont="1" applyFill="1" applyBorder="1" applyAlignment="1">
      <alignment horizontal="right" vertical="center"/>
    </xf>
    <xf numFmtId="171" fontId="20" fillId="0" borderId="5" xfId="0" applyNumberFormat="1" applyFont="1" applyFill="1" applyBorder="1" applyAlignment="1">
      <alignment horizontal="left" vertical="center"/>
    </xf>
    <xf numFmtId="0" fontId="20" fillId="0" borderId="5" xfId="0" applyFont="1" applyFill="1" applyBorder="1" applyAlignment="1">
      <alignment horizontal="left" vertical="center"/>
    </xf>
    <xf numFmtId="4" fontId="20" fillId="0" borderId="5" xfId="0" applyNumberFormat="1" applyFont="1" applyFill="1" applyBorder="1" applyAlignment="1">
      <alignment vertical="center"/>
    </xf>
    <xf numFmtId="4" fontId="20" fillId="0" borderId="5" xfId="0" applyNumberFormat="1" applyFont="1" applyFill="1" applyBorder="1" applyAlignment="1">
      <alignment horizontal="left" vertical="center"/>
    </xf>
    <xf numFmtId="0" fontId="20" fillId="18" borderId="17" xfId="0" applyFont="1" applyFill="1" applyBorder="1" applyAlignment="1">
      <alignment horizontal="center" vertical="center"/>
    </xf>
    <xf numFmtId="10" fontId="21" fillId="27" borderId="0" xfId="690" applyNumberFormat="1" applyFont="1" applyFill="1"/>
    <xf numFmtId="0" fontId="21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2" fillId="7" borderId="14" xfId="0" applyFont="1" applyFill="1" applyBorder="1" applyAlignment="1">
      <alignment vertical="center"/>
    </xf>
    <xf numFmtId="0" fontId="22" fillId="7" borderId="31" xfId="0" applyFont="1" applyFill="1" applyBorder="1" applyAlignment="1">
      <alignment vertical="center"/>
    </xf>
    <xf numFmtId="0" fontId="20" fillId="24" borderId="15" xfId="0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171" fontId="20" fillId="0" borderId="0" xfId="0" applyNumberFormat="1" applyFont="1" applyFill="1" applyBorder="1" applyAlignment="1">
      <alignment horizontal="right" vertical="center"/>
    </xf>
    <xf numFmtId="171" fontId="20" fillId="0" borderId="0" xfId="0" applyNumberFormat="1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left" vertical="center"/>
    </xf>
    <xf numFmtId="4" fontId="20" fillId="0" borderId="0" xfId="0" applyNumberFormat="1" applyFont="1" applyFill="1" applyBorder="1" applyAlignment="1">
      <alignment vertical="center"/>
    </xf>
    <xf numFmtId="4" fontId="20" fillId="0" borderId="0" xfId="0" applyNumberFormat="1" applyFont="1" applyFill="1" applyBorder="1" applyAlignment="1">
      <alignment horizontal="left" vertical="center"/>
    </xf>
    <xf numFmtId="0" fontId="20" fillId="18" borderId="21" xfId="0" applyFont="1" applyFill="1" applyBorder="1" applyAlignment="1">
      <alignment horizontal="center" vertical="center"/>
    </xf>
    <xf numFmtId="0" fontId="20" fillId="18" borderId="15" xfId="0" applyFont="1" applyFill="1" applyBorder="1" applyAlignment="1">
      <alignment vertical="center"/>
    </xf>
    <xf numFmtId="171" fontId="20" fillId="0" borderId="0" xfId="0" applyNumberFormat="1" applyFont="1" applyFill="1" applyBorder="1" applyAlignment="1">
      <alignment horizontal="left" vertical="center" wrapText="1"/>
    </xf>
    <xf numFmtId="4" fontId="20" fillId="4" borderId="0" xfId="0" applyNumberFormat="1" applyFont="1" applyFill="1" applyBorder="1" applyAlignment="1">
      <alignment vertical="center"/>
    </xf>
    <xf numFmtId="4" fontId="20" fillId="4" borderId="0" xfId="0" applyNumberFormat="1" applyFont="1" applyFill="1" applyBorder="1" applyAlignment="1">
      <alignment horizontal="left" vertical="center"/>
    </xf>
    <xf numFmtId="0" fontId="20" fillId="19" borderId="21" xfId="0" applyFont="1" applyFill="1" applyBorder="1" applyAlignment="1">
      <alignment horizontal="center" vertical="center"/>
    </xf>
    <xf numFmtId="0" fontId="21" fillId="27" borderId="0" xfId="0" applyFont="1" applyFill="1"/>
    <xf numFmtId="0" fontId="20" fillId="0" borderId="40" xfId="0" applyFont="1" applyFill="1" applyBorder="1" applyAlignment="1">
      <alignment vertical="center"/>
    </xf>
    <xf numFmtId="0" fontId="21" fillId="0" borderId="41" xfId="0" applyFont="1" applyBorder="1"/>
    <xf numFmtId="4" fontId="20" fillId="0" borderId="41" xfId="0" applyNumberFormat="1" applyFont="1" applyFill="1" applyBorder="1" applyAlignment="1">
      <alignment vertical="center"/>
    </xf>
    <xf numFmtId="0" fontId="21" fillId="0" borderId="42" xfId="0" applyFont="1" applyBorder="1"/>
    <xf numFmtId="10" fontId="25" fillId="27" borderId="0" xfId="690" applyNumberFormat="1" applyFont="1" applyFill="1"/>
    <xf numFmtId="0" fontId="21" fillId="0" borderId="0" xfId="0" applyFont="1" applyBorder="1" applyAlignment="1">
      <alignment vertical="center"/>
    </xf>
    <xf numFmtId="0" fontId="21" fillId="0" borderId="46" xfId="9" applyFont="1" applyFill="1" applyBorder="1"/>
    <xf numFmtId="0" fontId="21" fillId="0" borderId="0" xfId="0" applyFont="1" applyFill="1" applyBorder="1"/>
    <xf numFmtId="0" fontId="21" fillId="0" borderId="0" xfId="9" applyFont="1" applyFill="1" applyBorder="1"/>
    <xf numFmtId="0" fontId="21" fillId="0" borderId="0" xfId="0" applyFont="1" applyFill="1" applyBorder="1" applyAlignment="1">
      <alignment vertical="center"/>
    </xf>
    <xf numFmtId="0" fontId="21" fillId="0" borderId="35" xfId="0" applyFont="1" applyFill="1" applyBorder="1" applyAlignment="1">
      <alignment vertical="center"/>
    </xf>
    <xf numFmtId="171" fontId="20" fillId="0" borderId="0" xfId="0" applyNumberFormat="1" applyFont="1" applyFill="1" applyBorder="1" applyAlignment="1">
      <alignment vertical="center"/>
    </xf>
    <xf numFmtId="3" fontId="20" fillId="4" borderId="0" xfId="0" applyNumberFormat="1" applyFont="1" applyFill="1" applyBorder="1" applyAlignment="1">
      <alignment vertical="center"/>
    </xf>
    <xf numFmtId="0" fontId="20" fillId="21" borderId="15" xfId="0" applyFont="1" applyFill="1" applyBorder="1" applyAlignment="1">
      <alignment vertical="center"/>
    </xf>
    <xf numFmtId="0" fontId="21" fillId="0" borderId="46" xfId="0" applyFont="1" applyBorder="1"/>
    <xf numFmtId="0" fontId="26" fillId="0" borderId="0" xfId="0" applyFont="1" applyFill="1" applyBorder="1" applyAlignment="1">
      <alignment vertical="center"/>
    </xf>
    <xf numFmtId="43" fontId="21" fillId="0" borderId="0" xfId="5" applyNumberFormat="1" applyFont="1" applyFill="1" applyBorder="1"/>
    <xf numFmtId="0" fontId="21" fillId="0" borderId="35" xfId="9" applyFont="1" applyFill="1" applyBorder="1"/>
    <xf numFmtId="2" fontId="21" fillId="0" borderId="0" xfId="6" applyNumberFormat="1" applyFont="1" applyFill="1" applyBorder="1"/>
    <xf numFmtId="171" fontId="27" fillId="0" borderId="0" xfId="684" applyNumberFormat="1" applyFont="1" applyFill="1" applyBorder="1" applyAlignment="1" applyProtection="1">
      <alignment horizontal="left" vertical="center"/>
    </xf>
    <xf numFmtId="0" fontId="21" fillId="0" borderId="35" xfId="0" applyFont="1" applyBorder="1"/>
    <xf numFmtId="10" fontId="21" fillId="0" borderId="0" xfId="0" applyNumberFormat="1" applyFont="1"/>
    <xf numFmtId="10" fontId="21" fillId="0" borderId="0" xfId="690" applyNumberFormat="1" applyFont="1"/>
    <xf numFmtId="0" fontId="28" fillId="26" borderId="45" xfId="9" applyFont="1" applyFill="1" applyBorder="1"/>
    <xf numFmtId="0" fontId="28" fillId="26" borderId="38" xfId="0" applyFont="1" applyFill="1" applyBorder="1"/>
    <xf numFmtId="173" fontId="28" fillId="26" borderId="38" xfId="6" applyNumberFormat="1" applyFont="1" applyFill="1" applyBorder="1"/>
    <xf numFmtId="0" fontId="28" fillId="26" borderId="38" xfId="9" applyFont="1" applyFill="1" applyBorder="1"/>
    <xf numFmtId="0" fontId="21" fillId="26" borderId="38" xfId="9" applyFont="1" applyFill="1" applyBorder="1"/>
    <xf numFmtId="0" fontId="21" fillId="0" borderId="38" xfId="0" applyFont="1" applyBorder="1"/>
    <xf numFmtId="0" fontId="21" fillId="0" borderId="37" xfId="0" applyFont="1" applyBorder="1"/>
    <xf numFmtId="0" fontId="29" fillId="0" borderId="0" xfId="9" applyFont="1" applyFill="1" applyBorder="1"/>
    <xf numFmtId="0" fontId="29" fillId="0" borderId="0" xfId="0" applyFont="1" applyFill="1" applyBorder="1"/>
    <xf numFmtId="172" fontId="29" fillId="0" borderId="0" xfId="0" applyNumberFormat="1" applyFont="1" applyFill="1" applyBorder="1"/>
    <xf numFmtId="43" fontId="21" fillId="0" borderId="0" xfId="8" applyNumberFormat="1" applyFont="1" applyFill="1" applyBorder="1"/>
    <xf numFmtId="0" fontId="21" fillId="0" borderId="0" xfId="0" applyFont="1" applyFill="1" applyAlignment="1">
      <alignment vertical="center"/>
    </xf>
    <xf numFmtId="0" fontId="30" fillId="0" borderId="0" xfId="0" applyFont="1" applyAlignment="1">
      <alignment vertical="center"/>
    </xf>
    <xf numFmtId="0" fontId="22" fillId="7" borderId="8" xfId="0" applyFont="1" applyFill="1" applyBorder="1" applyAlignment="1">
      <alignment vertical="center"/>
    </xf>
    <xf numFmtId="0" fontId="22" fillId="7" borderId="12" xfId="0" applyFont="1" applyFill="1" applyBorder="1" applyAlignment="1">
      <alignment vertical="center"/>
    </xf>
    <xf numFmtId="0" fontId="22" fillId="7" borderId="20" xfId="0" applyFont="1" applyFill="1" applyBorder="1" applyAlignment="1">
      <alignment vertical="center"/>
    </xf>
    <xf numFmtId="4" fontId="20" fillId="4" borderId="0" xfId="0" applyNumberFormat="1" applyFont="1" applyFill="1" applyBorder="1" applyAlignment="1">
      <alignment horizontal="right" vertical="center"/>
    </xf>
    <xf numFmtId="0" fontId="29" fillId="9" borderId="31" xfId="0" applyFont="1" applyFill="1" applyBorder="1" applyAlignment="1">
      <alignment horizontal="center" vertical="center" wrapText="1"/>
    </xf>
    <xf numFmtId="0" fontId="29" fillId="9" borderId="0" xfId="0" applyFont="1" applyFill="1" applyBorder="1" applyAlignment="1">
      <alignment horizontal="center" vertical="center"/>
    </xf>
    <xf numFmtId="3" fontId="29" fillId="9" borderId="13" xfId="0" applyNumberFormat="1" applyFont="1" applyFill="1" applyBorder="1" applyAlignment="1">
      <alignment horizontal="center" vertical="center"/>
    </xf>
    <xf numFmtId="0" fontId="31" fillId="9" borderId="14" xfId="0" applyFont="1" applyFill="1" applyBorder="1" applyAlignment="1">
      <alignment horizontal="center" vertical="center" wrapText="1"/>
    </xf>
    <xf numFmtId="0" fontId="31" fillId="9" borderId="31" xfId="0" applyFont="1" applyFill="1" applyBorder="1" applyAlignment="1">
      <alignment horizontal="center" vertical="center"/>
    </xf>
    <xf numFmtId="0" fontId="31" fillId="9" borderId="14" xfId="0" applyFont="1" applyFill="1" applyBorder="1" applyAlignment="1">
      <alignment horizontal="center" vertical="center"/>
    </xf>
    <xf numFmtId="0" fontId="31" fillId="9" borderId="6" xfId="0" applyFont="1" applyFill="1" applyBorder="1" applyAlignment="1">
      <alignment horizontal="center" vertical="center" wrapText="1"/>
    </xf>
    <xf numFmtId="0" fontId="31" fillId="9" borderId="19" xfId="0" applyFont="1" applyFill="1" applyBorder="1" applyAlignment="1">
      <alignment horizontal="center" vertical="center"/>
    </xf>
    <xf numFmtId="0" fontId="31" fillId="9" borderId="6" xfId="0" applyFont="1" applyFill="1" applyBorder="1" applyAlignment="1">
      <alignment horizontal="center" vertical="center"/>
    </xf>
    <xf numFmtId="3" fontId="29" fillId="9" borderId="1" xfId="0" applyNumberFormat="1" applyFont="1" applyFill="1" applyBorder="1" applyAlignment="1">
      <alignment horizontal="center" vertical="center"/>
    </xf>
    <xf numFmtId="0" fontId="32" fillId="7" borderId="0" xfId="0" applyFont="1" applyFill="1" applyBorder="1" applyAlignment="1">
      <alignment vertical="center"/>
    </xf>
    <xf numFmtId="0" fontId="33" fillId="7" borderId="0" xfId="0" applyFont="1" applyFill="1" applyBorder="1" applyAlignment="1">
      <alignment vertical="center"/>
    </xf>
    <xf numFmtId="3" fontId="33" fillId="7" borderId="0" xfId="0" applyNumberFormat="1" applyFont="1" applyFill="1" applyBorder="1" applyAlignment="1">
      <alignment vertical="center"/>
    </xf>
    <xf numFmtId="0" fontId="22" fillId="23" borderId="4" xfId="0" applyFont="1" applyFill="1" applyBorder="1" applyAlignment="1">
      <alignment horizontal="center" vertical="center"/>
    </xf>
    <xf numFmtId="0" fontId="22" fillId="11" borderId="12" xfId="0" applyFont="1" applyFill="1" applyBorder="1" applyAlignment="1">
      <alignment horizontal="center" vertical="center"/>
    </xf>
    <xf numFmtId="4" fontId="24" fillId="6" borderId="23" xfId="8" applyNumberFormat="1" applyFont="1" applyBorder="1" applyAlignment="1">
      <alignment vertical="center"/>
    </xf>
    <xf numFmtId="4" fontId="23" fillId="5" borderId="23" xfId="6" applyNumberFormat="1" applyFont="1" applyBorder="1" applyAlignment="1">
      <alignment vertical="center"/>
    </xf>
    <xf numFmtId="10" fontId="23" fillId="21" borderId="23" xfId="6" applyNumberFormat="1" applyFont="1" applyFill="1" applyBorder="1" applyAlignment="1">
      <alignment vertical="center"/>
    </xf>
    <xf numFmtId="169" fontId="24" fillId="6" borderId="23" xfId="8" applyNumberFormat="1" applyFont="1" applyBorder="1" applyAlignment="1">
      <alignment vertical="center"/>
    </xf>
    <xf numFmtId="0" fontId="22" fillId="11" borderId="1" xfId="0" applyFont="1" applyFill="1" applyBorder="1" applyAlignment="1">
      <alignment horizontal="center" vertical="center"/>
    </xf>
    <xf numFmtId="0" fontId="22" fillId="11" borderId="2" xfId="0" applyFont="1" applyFill="1" applyBorder="1" applyAlignment="1">
      <alignment horizontal="center" vertical="center"/>
    </xf>
    <xf numFmtId="0" fontId="22" fillId="7" borderId="0" xfId="0" applyFont="1" applyFill="1" applyBorder="1" applyAlignment="1">
      <alignment vertical="center"/>
    </xf>
    <xf numFmtId="0" fontId="22" fillId="20" borderId="4" xfId="0" applyFont="1" applyFill="1" applyBorder="1" applyAlignment="1">
      <alignment horizontal="center" vertical="center"/>
    </xf>
    <xf numFmtId="10" fontId="23" fillId="5" borderId="23" xfId="6" applyNumberFormat="1" applyFont="1" applyBorder="1" applyAlignment="1">
      <alignment vertical="center"/>
    </xf>
    <xf numFmtId="0" fontId="22" fillId="0" borderId="1" xfId="0" applyFont="1" applyFill="1" applyBorder="1" applyAlignment="1">
      <alignment horizontal="center" vertical="center"/>
    </xf>
    <xf numFmtId="0" fontId="20" fillId="4" borderId="0" xfId="0" applyFont="1" applyFill="1" applyBorder="1" applyAlignment="1">
      <alignment vertical="center"/>
    </xf>
    <xf numFmtId="0" fontId="22" fillId="20" borderId="1" xfId="0" applyFont="1" applyFill="1" applyBorder="1" applyAlignment="1">
      <alignment horizontal="center" vertical="center"/>
    </xf>
    <xf numFmtId="43" fontId="20" fillId="0" borderId="0" xfId="0" applyNumberFormat="1" applyFont="1" applyAlignment="1">
      <alignment vertical="center"/>
    </xf>
    <xf numFmtId="171" fontId="20" fillId="4" borderId="0" xfId="0" applyNumberFormat="1" applyFont="1" applyFill="1" applyBorder="1" applyAlignment="1">
      <alignment horizontal="right" vertical="center"/>
    </xf>
    <xf numFmtId="171" fontId="20" fillId="4" borderId="0" xfId="0" applyNumberFormat="1" applyFont="1" applyFill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0" fillId="21" borderId="10" xfId="0" applyFont="1" applyFill="1" applyBorder="1" applyAlignment="1">
      <alignment vertical="center"/>
    </xf>
    <xf numFmtId="0" fontId="20" fillId="0" borderId="16" xfId="0" applyFont="1" applyFill="1" applyBorder="1" applyAlignment="1">
      <alignment vertical="center"/>
    </xf>
    <xf numFmtId="171" fontId="20" fillId="0" borderId="16" xfId="0" applyNumberFormat="1" applyFont="1" applyFill="1" applyBorder="1" applyAlignment="1">
      <alignment horizontal="right" vertical="center"/>
    </xf>
    <xf numFmtId="171" fontId="20" fillId="0" borderId="16" xfId="0" applyNumberFormat="1" applyFont="1" applyFill="1" applyBorder="1" applyAlignment="1">
      <alignment horizontal="left" vertical="center"/>
    </xf>
    <xf numFmtId="0" fontId="20" fillId="0" borderId="16" xfId="0" applyFont="1" applyFill="1" applyBorder="1" applyAlignment="1">
      <alignment horizontal="left" vertical="center"/>
    </xf>
    <xf numFmtId="4" fontId="20" fillId="0" borderId="16" xfId="0" applyNumberFormat="1" applyFont="1" applyFill="1" applyBorder="1" applyAlignment="1">
      <alignment vertical="center"/>
    </xf>
    <xf numFmtId="4" fontId="20" fillId="0" borderId="16" xfId="0" applyNumberFormat="1" applyFont="1" applyFill="1" applyBorder="1" applyAlignment="1">
      <alignment horizontal="left" vertical="center"/>
    </xf>
    <xf numFmtId="0" fontId="20" fillId="18" borderId="22" xfId="0" applyFont="1" applyFill="1" applyBorder="1" applyAlignment="1">
      <alignment horizontal="center" vertical="center"/>
    </xf>
    <xf numFmtId="0" fontId="21" fillId="0" borderId="14" xfId="0" applyFont="1" applyBorder="1"/>
    <xf numFmtId="0" fontId="21" fillId="0" borderId="31" xfId="0" applyFont="1" applyBorder="1"/>
    <xf numFmtId="0" fontId="20" fillId="18" borderId="0" xfId="0" applyFont="1" applyFill="1" applyBorder="1" applyAlignment="1">
      <alignment horizontal="center" vertical="center"/>
    </xf>
    <xf numFmtId="0" fontId="20" fillId="0" borderId="0" xfId="0" applyFont="1" applyFill="1" applyAlignment="1">
      <alignment vertical="center"/>
    </xf>
    <xf numFmtId="171" fontId="20" fillId="0" borderId="0" xfId="0" applyNumberFormat="1" applyFont="1" applyFill="1" applyAlignment="1">
      <alignment vertical="center"/>
    </xf>
    <xf numFmtId="171" fontId="20" fillId="0" borderId="0" xfId="0" applyNumberFormat="1" applyFont="1" applyFill="1" applyAlignment="1">
      <alignment horizontal="left" vertical="top"/>
    </xf>
    <xf numFmtId="0" fontId="20" fillId="18" borderId="47" xfId="0" applyFont="1" applyFill="1" applyBorder="1" applyAlignment="1">
      <alignment horizontal="left" vertical="center"/>
    </xf>
    <xf numFmtId="0" fontId="20" fillId="18" borderId="48" xfId="0" applyFont="1" applyFill="1" applyBorder="1" applyAlignment="1">
      <alignment vertical="center"/>
    </xf>
    <xf numFmtId="3" fontId="20" fillId="18" borderId="49" xfId="0" applyNumberFormat="1" applyFont="1" applyFill="1" applyBorder="1" applyAlignment="1">
      <alignment vertical="center"/>
    </xf>
    <xf numFmtId="3" fontId="20" fillId="0" borderId="0" xfId="0" applyNumberFormat="1" applyFont="1" applyFill="1" applyBorder="1" applyAlignment="1">
      <alignment vertical="center"/>
    </xf>
    <xf numFmtId="0" fontId="20" fillId="0" borderId="0" xfId="0" applyFont="1" applyFill="1" applyAlignment="1">
      <alignment horizontal="center" vertical="center"/>
    </xf>
    <xf numFmtId="0" fontId="22" fillId="0" borderId="4" xfId="0" applyFont="1" applyFill="1" applyBorder="1" applyAlignment="1">
      <alignment horizontal="center" vertical="center"/>
    </xf>
    <xf numFmtId="0" fontId="20" fillId="0" borderId="0" xfId="0" applyFont="1" applyFill="1" applyAlignment="1">
      <alignment horizontal="left" vertical="center"/>
    </xf>
    <xf numFmtId="0" fontId="22" fillId="22" borderId="4" xfId="0" applyFont="1" applyFill="1" applyBorder="1" applyAlignment="1">
      <alignment horizontal="center" vertical="center"/>
    </xf>
    <xf numFmtId="171" fontId="20" fillId="0" borderId="0" xfId="0" applyNumberFormat="1" applyFont="1" applyAlignment="1">
      <alignment vertical="center"/>
    </xf>
    <xf numFmtId="171" fontId="20" fillId="0" borderId="0" xfId="0" applyNumberFormat="1" applyFont="1" applyAlignment="1">
      <alignment horizontal="left" vertical="top"/>
    </xf>
    <xf numFmtId="0" fontId="20" fillId="0" borderId="0" xfId="0" applyFont="1" applyAlignment="1">
      <alignment horizontal="left" vertical="center"/>
    </xf>
    <xf numFmtId="0" fontId="22" fillId="11" borderId="0" xfId="0" applyFont="1" applyFill="1" applyBorder="1" applyAlignment="1">
      <alignment horizontal="left" vertical="center" wrapText="1"/>
    </xf>
    <xf numFmtId="4" fontId="31" fillId="7" borderId="0" xfId="0" applyNumberFormat="1" applyFont="1" applyFill="1" applyBorder="1" applyAlignment="1">
      <alignment horizontal="right" vertical="center"/>
    </xf>
    <xf numFmtId="0" fontId="31" fillId="7" borderId="0" xfId="0" applyFont="1" applyFill="1" applyBorder="1" applyAlignment="1">
      <alignment horizontal="right" vertical="center"/>
    </xf>
    <xf numFmtId="0" fontId="22" fillId="7" borderId="6" xfId="0" applyFont="1" applyFill="1" applyBorder="1" applyAlignment="1">
      <alignment vertical="center"/>
    </xf>
    <xf numFmtId="0" fontId="22" fillId="7" borderId="2" xfId="0" applyFont="1" applyFill="1" applyBorder="1" applyAlignment="1">
      <alignment vertical="center"/>
    </xf>
    <xf numFmtId="0" fontId="22" fillId="7" borderId="19" xfId="0" applyFont="1" applyFill="1" applyBorder="1" applyAlignment="1">
      <alignment vertical="center"/>
    </xf>
    <xf numFmtId="171" fontId="20" fillId="0" borderId="0" xfId="0" applyNumberFormat="1" applyFont="1" applyBorder="1" applyAlignment="1">
      <alignment horizontal="right" vertical="center"/>
    </xf>
    <xf numFmtId="171" fontId="20" fillId="0" borderId="0" xfId="0" applyNumberFormat="1" applyFont="1" applyBorder="1" applyAlignment="1">
      <alignment horizontal="left" vertical="top"/>
    </xf>
    <xf numFmtId="171" fontId="21" fillId="0" borderId="0" xfId="0" applyNumberFormat="1" applyFont="1" applyAlignment="1">
      <alignment vertical="center"/>
    </xf>
    <xf numFmtId="171" fontId="21" fillId="0" borderId="0" xfId="0" applyNumberFormat="1" applyFont="1" applyAlignment="1">
      <alignment horizontal="left" vertical="top"/>
    </xf>
    <xf numFmtId="0" fontId="21" fillId="0" borderId="0" xfId="0" applyFont="1" applyAlignment="1">
      <alignment horizontal="left" vertical="center"/>
    </xf>
    <xf numFmtId="171" fontId="21" fillId="0" borderId="0" xfId="0" applyNumberFormat="1" applyFont="1"/>
    <xf numFmtId="0" fontId="34" fillId="0" borderId="27" xfId="322" applyFont="1"/>
    <xf numFmtId="0" fontId="34" fillId="0" borderId="34" xfId="322" applyFont="1" applyBorder="1"/>
    <xf numFmtId="0" fontId="35" fillId="0" borderId="28" xfId="323" applyFont="1"/>
    <xf numFmtId="0" fontId="35" fillId="0" borderId="36" xfId="323" applyFont="1" applyBorder="1"/>
    <xf numFmtId="0" fontId="36" fillId="0" borderId="29" xfId="324" applyFont="1"/>
    <xf numFmtId="0" fontId="36" fillId="0" borderId="0" xfId="325" applyFont="1"/>
    <xf numFmtId="167" fontId="37" fillId="0" borderId="30" xfId="326" applyNumberFormat="1" applyFont="1"/>
    <xf numFmtId="166" fontId="38" fillId="0" borderId="0" xfId="9" applyNumberFormat="1" applyFont="1"/>
    <xf numFmtId="168" fontId="37" fillId="0" borderId="30" xfId="326" applyNumberFormat="1" applyFont="1"/>
    <xf numFmtId="0" fontId="21" fillId="3" borderId="11" xfId="0" applyFont="1" applyFill="1" applyBorder="1"/>
    <xf numFmtId="174" fontId="39" fillId="6" borderId="24" xfId="7" applyNumberFormat="1" applyFont="1"/>
    <xf numFmtId="0" fontId="38" fillId="0" borderId="29" xfId="9" applyFont="1" applyBorder="1"/>
    <xf numFmtId="0" fontId="21" fillId="25" borderId="11" xfId="0" applyFont="1" applyFill="1" applyBorder="1"/>
    <xf numFmtId="175" fontId="37" fillId="0" borderId="0" xfId="326" applyNumberFormat="1" applyFont="1" applyBorder="1"/>
    <xf numFmtId="0" fontId="36" fillId="0" borderId="38" xfId="325" applyFont="1" applyBorder="1"/>
    <xf numFmtId="175" fontId="37" fillId="0" borderId="38" xfId="326" applyNumberFormat="1" applyFont="1" applyBorder="1"/>
    <xf numFmtId="0" fontId="21" fillId="0" borderId="40" xfId="0" applyFont="1" applyFill="1" applyBorder="1"/>
    <xf numFmtId="0" fontId="21" fillId="0" borderId="41" xfId="0" applyFont="1" applyFill="1" applyBorder="1"/>
    <xf numFmtId="0" fontId="21" fillId="0" borderId="42" xfId="0" applyFont="1" applyFill="1" applyBorder="1"/>
    <xf numFmtId="0" fontId="36" fillId="0" borderId="29" xfId="324" applyFont="1" applyBorder="1"/>
    <xf numFmtId="174" fontId="39" fillId="6" borderId="39" xfId="7" applyNumberFormat="1" applyFont="1" applyBorder="1" applyAlignment="1">
      <alignment horizontal="center" vertical="center"/>
    </xf>
    <xf numFmtId="0" fontId="38" fillId="0" borderId="44" xfId="9" applyFont="1" applyBorder="1"/>
    <xf numFmtId="0" fontId="21" fillId="0" borderId="45" xfId="0" applyFont="1" applyFill="1" applyBorder="1"/>
    <xf numFmtId="0" fontId="21" fillId="0" borderId="38" xfId="0" applyFont="1" applyFill="1" applyBorder="1"/>
    <xf numFmtId="0" fontId="21" fillId="0" borderId="37" xfId="0" applyFont="1" applyFill="1" applyBorder="1"/>
    <xf numFmtId="0" fontId="40" fillId="0" borderId="0" xfId="0" applyFont="1" applyBorder="1" applyAlignment="1"/>
    <xf numFmtId="0" fontId="21" fillId="0" borderId="0" xfId="0" applyFont="1" applyAlignment="1">
      <alignment horizontal="center" wrapText="1"/>
    </xf>
    <xf numFmtId="0" fontId="21" fillId="0" borderId="0" xfId="0" applyFont="1" applyAlignment="1">
      <alignment horizontal="center"/>
    </xf>
    <xf numFmtId="0" fontId="38" fillId="0" borderId="0" xfId="9" applyFont="1"/>
    <xf numFmtId="167" fontId="41" fillId="5" borderId="23" xfId="6" applyNumberFormat="1" applyFont="1"/>
    <xf numFmtId="0" fontId="38" fillId="0" borderId="9" xfId="9" applyFont="1" applyBorder="1"/>
    <xf numFmtId="0" fontId="21" fillId="0" borderId="5" xfId="0" applyFont="1" applyBorder="1"/>
    <xf numFmtId="167" fontId="42" fillId="6" borderId="25" xfId="5" applyNumberFormat="1" applyFont="1" applyFill="1" applyBorder="1"/>
    <xf numFmtId="0" fontId="38" fillId="0" borderId="17" xfId="9" applyFont="1" applyBorder="1"/>
    <xf numFmtId="3" fontId="37" fillId="0" borderId="30" xfId="326" applyNumberFormat="1" applyFont="1"/>
    <xf numFmtId="0" fontId="38" fillId="0" borderId="15" xfId="9" applyFont="1" applyBorder="1"/>
    <xf numFmtId="167" fontId="42" fillId="6" borderId="23" xfId="8" applyNumberFormat="1" applyFont="1"/>
    <xf numFmtId="0" fontId="38" fillId="0" borderId="21" xfId="9" applyFont="1" applyBorder="1"/>
    <xf numFmtId="167" fontId="42" fillId="6" borderId="33" xfId="5" applyNumberFormat="1" applyFont="1" applyFill="1" applyBorder="1"/>
    <xf numFmtId="167" fontId="42" fillId="6" borderId="23" xfId="5" applyNumberFormat="1" applyFont="1" applyFill="1" applyBorder="1"/>
    <xf numFmtId="0" fontId="21" fillId="0" borderId="15" xfId="0" applyFont="1" applyBorder="1"/>
    <xf numFmtId="0" fontId="21" fillId="0" borderId="21" xfId="0" applyFont="1" applyBorder="1"/>
    <xf numFmtId="0" fontId="42" fillId="6" borderId="23" xfId="8" applyFont="1"/>
    <xf numFmtId="0" fontId="38" fillId="0" borderId="10" xfId="9" applyFont="1" applyBorder="1"/>
    <xf numFmtId="0" fontId="21" fillId="0" borderId="16" xfId="0" applyFont="1" applyBorder="1"/>
    <xf numFmtId="166" fontId="39" fillId="6" borderId="26" xfId="7" applyNumberFormat="1" applyFont="1" applyBorder="1"/>
    <xf numFmtId="0" fontId="38" fillId="0" borderId="22" xfId="9" applyFont="1" applyBorder="1"/>
    <xf numFmtId="43" fontId="41" fillId="5" borderId="23" xfId="6" applyNumberFormat="1" applyFont="1"/>
    <xf numFmtId="0" fontId="38" fillId="0" borderId="0" xfId="9" applyFont="1" applyBorder="1"/>
    <xf numFmtId="166" fontId="39" fillId="6" borderId="0" xfId="7" applyNumberFormat="1" applyFont="1" applyBorder="1"/>
    <xf numFmtId="43" fontId="42" fillId="6" borderId="23" xfId="8" applyNumberFormat="1" applyFont="1"/>
    <xf numFmtId="168" fontId="41" fillId="5" borderId="23" xfId="6" applyNumberFormat="1" applyFont="1"/>
    <xf numFmtId="43" fontId="43" fillId="0" borderId="0" xfId="5" applyNumberFormat="1" applyFont="1" applyBorder="1" applyAlignment="1">
      <alignment horizontal="center" vertical="center" wrapText="1"/>
    </xf>
    <xf numFmtId="2" fontId="41" fillId="5" borderId="23" xfId="6" applyNumberFormat="1" applyFont="1"/>
    <xf numFmtId="0" fontId="38" fillId="0" borderId="0" xfId="9" applyFont="1" applyFill="1" applyBorder="1"/>
    <xf numFmtId="3" fontId="41" fillId="5" borderId="23" xfId="6" applyNumberFormat="1" applyFont="1"/>
    <xf numFmtId="0" fontId="38" fillId="0" borderId="0" xfId="0" applyFont="1"/>
    <xf numFmtId="3" fontId="42" fillId="6" borderId="23" xfId="8" applyNumberFormat="1" applyFont="1"/>
    <xf numFmtId="0" fontId="44" fillId="7" borderId="9" xfId="0" applyFont="1" applyFill="1" applyBorder="1"/>
    <xf numFmtId="0" fontId="44" fillId="7" borderId="5" xfId="0" applyFont="1" applyFill="1" applyBorder="1"/>
    <xf numFmtId="0" fontId="44" fillId="7" borderId="17" xfId="0" applyFont="1" applyFill="1" applyBorder="1"/>
    <xf numFmtId="0" fontId="44" fillId="7" borderId="15" xfId="0" applyFont="1" applyFill="1" applyBorder="1"/>
    <xf numFmtId="0" fontId="44" fillId="7" borderId="21" xfId="0" applyFont="1" applyFill="1" applyBorder="1"/>
    <xf numFmtId="0" fontId="46" fillId="9" borderId="31" xfId="0" applyFont="1" applyFill="1" applyBorder="1" applyAlignment="1">
      <alignment horizontal="center" wrapText="1"/>
    </xf>
    <xf numFmtId="0" fontId="46" fillId="9" borderId="14" xfId="0" applyFont="1" applyFill="1" applyBorder="1" applyAlignment="1">
      <alignment horizontal="center" wrapText="1"/>
    </xf>
    <xf numFmtId="0" fontId="48" fillId="9" borderId="31" xfId="0" applyFont="1" applyFill="1" applyBorder="1" applyAlignment="1">
      <alignment horizontal="center" wrapText="1"/>
    </xf>
    <xf numFmtId="0" fontId="46" fillId="9" borderId="0" xfId="0" applyFont="1" applyFill="1" applyAlignment="1">
      <alignment horizontal="center"/>
    </xf>
    <xf numFmtId="0" fontId="46" fillId="9" borderId="31" xfId="0" applyFont="1" applyFill="1" applyBorder="1" applyAlignment="1">
      <alignment horizontal="center"/>
    </xf>
    <xf numFmtId="0" fontId="51" fillId="7" borderId="0" xfId="0" applyFont="1" applyFill="1"/>
    <xf numFmtId="0" fontId="52" fillId="7" borderId="0" xfId="0" applyFont="1" applyFill="1" applyAlignment="1">
      <alignment horizontal="left"/>
    </xf>
    <xf numFmtId="0" fontId="30" fillId="7" borderId="13" xfId="0" applyFont="1" applyFill="1" applyBorder="1" applyAlignment="1">
      <alignment horizontal="center"/>
    </xf>
    <xf numFmtId="0" fontId="30" fillId="7" borderId="0" xfId="0" applyFont="1" applyFill="1" applyAlignment="1">
      <alignment horizontal="center"/>
    </xf>
    <xf numFmtId="0" fontId="53" fillId="7" borderId="14" xfId="0" applyFont="1" applyFill="1" applyBorder="1"/>
    <xf numFmtId="0" fontId="53" fillId="7" borderId="31" xfId="0" applyFont="1" applyFill="1" applyBorder="1"/>
    <xf numFmtId="0" fontId="53" fillId="7" borderId="0" xfId="0" applyFont="1" applyFill="1"/>
    <xf numFmtId="0" fontId="44" fillId="7" borderId="13" xfId="0" applyFont="1" applyFill="1" applyBorder="1"/>
    <xf numFmtId="3" fontId="53" fillId="7" borderId="0" xfId="0" applyNumberFormat="1" applyFont="1" applyFill="1"/>
    <xf numFmtId="0" fontId="48" fillId="11" borderId="4" xfId="0" applyFont="1" applyFill="1" applyBorder="1" applyAlignment="1">
      <alignment horizontal="center"/>
    </xf>
    <xf numFmtId="0" fontId="48" fillId="11" borderId="12" xfId="0" applyFont="1" applyFill="1" applyBorder="1" applyAlignment="1">
      <alignment horizontal="center"/>
    </xf>
    <xf numFmtId="4" fontId="42" fillId="6" borderId="23" xfId="8" applyNumberFormat="1" applyFont="1"/>
    <xf numFmtId="4" fontId="41" fillId="5" borderId="23" xfId="6" applyNumberFormat="1" applyFont="1"/>
    <xf numFmtId="10" fontId="41" fillId="5" borderId="23" xfId="6" applyNumberFormat="1" applyFont="1"/>
    <xf numFmtId="169" fontId="42" fillId="6" borderId="23" xfId="8" applyNumberFormat="1" applyFont="1"/>
    <xf numFmtId="166" fontId="21" fillId="0" borderId="0" xfId="0" applyNumberFormat="1" applyFont="1"/>
    <xf numFmtId="0" fontId="48" fillId="11" borderId="1" xfId="0" applyFont="1" applyFill="1" applyBorder="1" applyAlignment="1">
      <alignment horizontal="center"/>
    </xf>
    <xf numFmtId="0" fontId="48" fillId="11" borderId="2" xfId="0" applyFont="1" applyFill="1" applyBorder="1" applyAlignment="1">
      <alignment horizontal="center"/>
    </xf>
    <xf numFmtId="0" fontId="48" fillId="7" borderId="0" xfId="0" applyFont="1" applyFill="1"/>
    <xf numFmtId="0" fontId="48" fillId="11" borderId="13" xfId="0" applyFont="1" applyFill="1" applyBorder="1" applyAlignment="1">
      <alignment horizontal="center"/>
    </xf>
    <xf numFmtId="0" fontId="48" fillId="11" borderId="0" xfId="0" applyFont="1" applyFill="1" applyAlignment="1">
      <alignment horizontal="center"/>
    </xf>
    <xf numFmtId="0" fontId="44" fillId="11" borderId="14" xfId="0" applyFont="1" applyFill="1" applyBorder="1"/>
    <xf numFmtId="0" fontId="44" fillId="11" borderId="31" xfId="0" applyFont="1" applyFill="1" applyBorder="1"/>
    <xf numFmtId="0" fontId="44" fillId="11" borderId="0" xfId="0" applyFont="1" applyFill="1"/>
    <xf numFmtId="10" fontId="30" fillId="11" borderId="13" xfId="0" applyNumberFormat="1" applyFont="1" applyFill="1" applyBorder="1"/>
    <xf numFmtId="0" fontId="48" fillId="7" borderId="0" xfId="0" applyFont="1" applyFill="1" applyAlignment="1">
      <alignment horizontal="right"/>
    </xf>
    <xf numFmtId="4" fontId="44" fillId="11" borderId="31" xfId="0" applyNumberFormat="1" applyFont="1" applyFill="1" applyBorder="1"/>
    <xf numFmtId="4" fontId="44" fillId="11" borderId="0" xfId="0" applyNumberFormat="1" applyFont="1" applyFill="1"/>
    <xf numFmtId="169" fontId="44" fillId="11" borderId="0" xfId="0" applyNumberFormat="1" applyFont="1" applyFill="1"/>
    <xf numFmtId="0" fontId="54" fillId="10" borderId="12" xfId="0" applyFont="1" applyFill="1" applyBorder="1" applyAlignment="1">
      <alignment horizontal="left"/>
    </xf>
    <xf numFmtId="0" fontId="54" fillId="10" borderId="2" xfId="0" applyFont="1" applyFill="1" applyBorder="1" applyAlignment="1">
      <alignment horizontal="left"/>
    </xf>
    <xf numFmtId="0" fontId="48" fillId="0" borderId="0" xfId="0" applyFont="1" applyBorder="1" applyAlignment="1">
      <alignment horizontal="left" vertical="center" wrapText="1"/>
    </xf>
    <xf numFmtId="0" fontId="48" fillId="2" borderId="0" xfId="0" applyFont="1" applyFill="1" applyBorder="1" applyAlignment="1">
      <alignment horizontal="left" vertical="center" wrapText="1"/>
    </xf>
    <xf numFmtId="0" fontId="48" fillId="11" borderId="0" xfId="0" applyFont="1" applyFill="1" applyBorder="1" applyAlignment="1">
      <alignment horizontal="center"/>
    </xf>
    <xf numFmtId="0" fontId="41" fillId="12" borderId="32" xfId="6" applyFont="1" applyFill="1" applyBorder="1" applyAlignment="1">
      <alignment horizontal="center" vertical="center"/>
    </xf>
    <xf numFmtId="4" fontId="42" fillId="12" borderId="32" xfId="8" applyNumberFormat="1" applyFont="1" applyFill="1" applyBorder="1"/>
    <xf numFmtId="4" fontId="41" fillId="12" borderId="32" xfId="6" applyNumberFormat="1" applyFont="1" applyFill="1" applyBorder="1"/>
    <xf numFmtId="10" fontId="41" fillId="12" borderId="32" xfId="6" applyNumberFormat="1" applyFont="1" applyFill="1" applyBorder="1"/>
    <xf numFmtId="169" fontId="42" fillId="12" borderId="32" xfId="8" applyNumberFormat="1" applyFont="1" applyFill="1" applyBorder="1"/>
    <xf numFmtId="0" fontId="55" fillId="7" borderId="0" xfId="0" applyFont="1" applyFill="1"/>
    <xf numFmtId="0" fontId="48" fillId="11" borderId="7" xfId="0" applyFont="1" applyFill="1" applyBorder="1"/>
    <xf numFmtId="0" fontId="48" fillId="11" borderId="3" xfId="0" applyFont="1" applyFill="1" applyBorder="1"/>
    <xf numFmtId="0" fontId="48" fillId="11" borderId="11" xfId="0" applyFont="1" applyFill="1" applyBorder="1" applyAlignment="1">
      <alignment horizontal="center"/>
    </xf>
    <xf numFmtId="0" fontId="48" fillId="11" borderId="3" xfId="0" applyFont="1" applyFill="1" applyBorder="1" applyAlignment="1">
      <alignment horizontal="center"/>
    </xf>
    <xf numFmtId="0" fontId="44" fillId="11" borderId="7" xfId="0" applyFont="1" applyFill="1" applyBorder="1"/>
    <xf numFmtId="0" fontId="56" fillId="11" borderId="0" xfId="0" applyFont="1" applyFill="1" applyAlignment="1">
      <alignment horizontal="right"/>
    </xf>
    <xf numFmtId="0" fontId="48" fillId="11" borderId="0" xfId="0" applyFont="1" applyFill="1"/>
    <xf numFmtId="0" fontId="30" fillId="11" borderId="13" xfId="0" applyFont="1" applyFill="1" applyBorder="1"/>
    <xf numFmtId="0" fontId="48" fillId="11" borderId="7" xfId="0" applyFont="1" applyFill="1" applyBorder="1" applyAlignment="1">
      <alignment horizontal="left"/>
    </xf>
    <xf numFmtId="0" fontId="44" fillId="7" borderId="0" xfId="0" applyFont="1" applyFill="1"/>
    <xf numFmtId="0" fontId="44" fillId="7" borderId="1" xfId="0" applyFont="1" applyFill="1" applyBorder="1"/>
    <xf numFmtId="0" fontId="44" fillId="7" borderId="6" xfId="0" applyFont="1" applyFill="1" applyBorder="1"/>
    <xf numFmtId="4" fontId="44" fillId="7" borderId="19" xfId="0" applyNumberFormat="1" applyFont="1" applyFill="1" applyBorder="1"/>
    <xf numFmtId="3" fontId="57" fillId="7" borderId="0" xfId="0" applyNumberFormat="1" applyFont="1" applyFill="1"/>
    <xf numFmtId="4" fontId="58" fillId="7" borderId="0" xfId="0" applyNumberFormat="1" applyFont="1" applyFill="1" applyAlignment="1">
      <alignment horizontal="right"/>
    </xf>
    <xf numFmtId="0" fontId="58" fillId="7" borderId="0" xfId="0" applyFont="1" applyFill="1" applyAlignment="1">
      <alignment horizontal="right"/>
    </xf>
    <xf numFmtId="0" fontId="44" fillId="7" borderId="10" xfId="0" applyFont="1" applyFill="1" applyBorder="1"/>
    <xf numFmtId="0" fontId="44" fillId="7" borderId="16" xfId="0" applyFont="1" applyFill="1" applyBorder="1"/>
    <xf numFmtId="0" fontId="44" fillId="7" borderId="22" xfId="0" applyFont="1" applyFill="1" applyBorder="1"/>
    <xf numFmtId="167" fontId="21" fillId="0" borderId="0" xfId="0" applyNumberFormat="1" applyFont="1"/>
    <xf numFmtId="0" fontId="42" fillId="10" borderId="23" xfId="0" applyFont="1" applyFill="1" applyBorder="1"/>
    <xf numFmtId="169" fontId="44" fillId="7" borderId="0" xfId="0" applyNumberFormat="1" applyFont="1" applyFill="1"/>
    <xf numFmtId="0" fontId="21" fillId="2" borderId="9" xfId="0" applyFont="1" applyFill="1" applyBorder="1"/>
    <xf numFmtId="0" fontId="21" fillId="2" borderId="5" xfId="0" applyFont="1" applyFill="1" applyBorder="1"/>
    <xf numFmtId="0" fontId="21" fillId="2" borderId="17" xfId="0" applyFont="1" applyFill="1" applyBorder="1"/>
    <xf numFmtId="0" fontId="21" fillId="2" borderId="15" xfId="0" applyFont="1" applyFill="1" applyBorder="1"/>
    <xf numFmtId="0" fontId="45" fillId="13" borderId="7" xfId="0" applyFont="1" applyFill="1" applyBorder="1"/>
    <xf numFmtId="0" fontId="45" fillId="13" borderId="3" xfId="0" applyFont="1" applyFill="1" applyBorder="1" applyAlignment="1">
      <alignment horizontal="center"/>
    </xf>
    <xf numFmtId="0" fontId="45" fillId="13" borderId="3" xfId="0" applyFont="1" applyFill="1" applyBorder="1"/>
    <xf numFmtId="0" fontId="45" fillId="13" borderId="18" xfId="0" applyFont="1" applyFill="1" applyBorder="1"/>
    <xf numFmtId="0" fontId="21" fillId="2" borderId="21" xfId="0" applyFont="1" applyFill="1" applyBorder="1"/>
    <xf numFmtId="0" fontId="59" fillId="14" borderId="14" xfId="0" applyFont="1" applyFill="1" applyBorder="1"/>
    <xf numFmtId="0" fontId="59" fillId="14" borderId="0" xfId="0" applyFont="1" applyFill="1" applyBorder="1" applyAlignment="1">
      <alignment horizontal="center"/>
    </xf>
    <xf numFmtId="0" fontId="59" fillId="14" borderId="13" xfId="0" applyFont="1" applyFill="1" applyBorder="1" applyAlignment="1">
      <alignment horizontal="center"/>
    </xf>
    <xf numFmtId="0" fontId="59" fillId="14" borderId="31" xfId="0" applyFont="1" applyFill="1" applyBorder="1" applyAlignment="1">
      <alignment horizontal="center"/>
    </xf>
    <xf numFmtId="0" fontId="30" fillId="14" borderId="13" xfId="0" applyFont="1" applyFill="1" applyBorder="1" applyAlignment="1">
      <alignment horizontal="center"/>
    </xf>
    <xf numFmtId="0" fontId="30" fillId="14" borderId="0" xfId="0" applyFont="1" applyFill="1" applyBorder="1" applyAlignment="1">
      <alignment horizontal="center"/>
    </xf>
    <xf numFmtId="0" fontId="59" fillId="14" borderId="14" xfId="0" applyFont="1" applyFill="1" applyBorder="1" applyAlignment="1">
      <alignment horizontal="center"/>
    </xf>
    <xf numFmtId="0" fontId="21" fillId="14" borderId="14" xfId="0" applyFont="1" applyFill="1" applyBorder="1"/>
    <xf numFmtId="0" fontId="21" fillId="14" borderId="0" xfId="0" applyFont="1" applyFill="1" applyBorder="1"/>
    <xf numFmtId="0" fontId="61" fillId="14" borderId="13" xfId="0" applyFont="1" applyFill="1" applyBorder="1" applyAlignment="1">
      <alignment horizontal="center"/>
    </xf>
    <xf numFmtId="0" fontId="21" fillId="14" borderId="0" xfId="0" applyFont="1" applyFill="1" applyBorder="1" applyAlignment="1">
      <alignment horizontal="center"/>
    </xf>
    <xf numFmtId="0" fontId="62" fillId="14" borderId="31" xfId="0" applyFont="1" applyFill="1" applyBorder="1" applyAlignment="1">
      <alignment horizontal="right"/>
    </xf>
    <xf numFmtId="0" fontId="21" fillId="14" borderId="13" xfId="0" applyFont="1" applyFill="1" applyBorder="1"/>
    <xf numFmtId="0" fontId="21" fillId="14" borderId="31" xfId="0" applyFont="1" applyFill="1" applyBorder="1" applyAlignment="1">
      <alignment horizontal="center"/>
    </xf>
    <xf numFmtId="0" fontId="21" fillId="14" borderId="6" xfId="0" applyFont="1" applyFill="1" applyBorder="1"/>
    <xf numFmtId="0" fontId="21" fillId="14" borderId="2" xfId="0" applyFont="1" applyFill="1" applyBorder="1"/>
    <xf numFmtId="0" fontId="21" fillId="14" borderId="1" xfId="0" applyFont="1" applyFill="1" applyBorder="1" applyAlignment="1">
      <alignment horizontal="center"/>
    </xf>
    <xf numFmtId="0" fontId="21" fillId="14" borderId="2" xfId="0" applyFont="1" applyFill="1" applyBorder="1" applyAlignment="1">
      <alignment horizontal="center"/>
    </xf>
    <xf numFmtId="0" fontId="21" fillId="14" borderId="1" xfId="0" applyFont="1" applyFill="1" applyBorder="1"/>
    <xf numFmtId="3" fontId="30" fillId="14" borderId="19" xfId="0" applyNumberFormat="1" applyFont="1" applyFill="1" applyBorder="1" applyAlignment="1">
      <alignment horizontal="center"/>
    </xf>
    <xf numFmtId="0" fontId="63" fillId="2" borderId="0" xfId="0" applyFont="1" applyFill="1" applyBorder="1"/>
    <xf numFmtId="0" fontId="52" fillId="2" borderId="0" xfId="0" applyFont="1" applyFill="1" applyBorder="1" applyAlignment="1">
      <alignment horizontal="left"/>
    </xf>
    <xf numFmtId="0" fontId="30" fillId="2" borderId="13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center"/>
    </xf>
    <xf numFmtId="0" fontId="64" fillId="2" borderId="14" xfId="0" applyFont="1" applyFill="1" applyBorder="1"/>
    <xf numFmtId="0" fontId="64" fillId="2" borderId="31" xfId="0" applyFont="1" applyFill="1" applyBorder="1"/>
    <xf numFmtId="0" fontId="64" fillId="2" borderId="0" xfId="0" applyFont="1" applyFill="1" applyBorder="1"/>
    <xf numFmtId="0" fontId="21" fillId="2" borderId="13" xfId="0" applyFont="1" applyFill="1" applyBorder="1"/>
    <xf numFmtId="3" fontId="64" fillId="2" borderId="0" xfId="0" applyNumberFormat="1" applyFont="1" applyFill="1" applyBorder="1"/>
    <xf numFmtId="0" fontId="21" fillId="16" borderId="4" xfId="0" applyFont="1" applyFill="1" applyBorder="1" applyAlignment="1">
      <alignment horizontal="center"/>
    </xf>
    <xf numFmtId="0" fontId="21" fillId="16" borderId="12" xfId="0" applyFont="1" applyFill="1" applyBorder="1" applyAlignment="1">
      <alignment horizontal="center"/>
    </xf>
    <xf numFmtId="4" fontId="21" fillId="16" borderId="20" xfId="0" applyNumberFormat="1" applyFont="1" applyFill="1" applyBorder="1"/>
    <xf numFmtId="4" fontId="21" fillId="16" borderId="12" xfId="0" applyNumberFormat="1" applyFont="1" applyFill="1" applyBorder="1"/>
    <xf numFmtId="169" fontId="21" fillId="16" borderId="20" xfId="0" applyNumberFormat="1" applyFont="1" applyFill="1" applyBorder="1"/>
    <xf numFmtId="0" fontId="21" fillId="15" borderId="0" xfId="0" applyFont="1" applyFill="1" applyBorder="1"/>
    <xf numFmtId="0" fontId="21" fillId="15" borderId="13" xfId="0" applyFont="1" applyFill="1" applyBorder="1" applyAlignment="1">
      <alignment horizontal="center"/>
    </xf>
    <xf numFmtId="0" fontId="21" fillId="15" borderId="0" xfId="0" applyFont="1" applyFill="1" applyBorder="1" applyAlignment="1">
      <alignment horizontal="center"/>
    </xf>
    <xf numFmtId="0" fontId="21" fillId="15" borderId="31" xfId="0" applyFont="1" applyFill="1" applyBorder="1"/>
    <xf numFmtId="0" fontId="21" fillId="15" borderId="2" xfId="0" applyFont="1" applyFill="1" applyBorder="1"/>
    <xf numFmtId="0" fontId="21" fillId="17" borderId="1" xfId="0" applyFont="1" applyFill="1" applyBorder="1" applyAlignment="1">
      <alignment horizontal="center"/>
    </xf>
    <xf numFmtId="0" fontId="21" fillId="17" borderId="2" xfId="0" applyFont="1" applyFill="1" applyBorder="1" applyAlignment="1">
      <alignment horizontal="center"/>
    </xf>
    <xf numFmtId="4" fontId="21" fillId="17" borderId="19" xfId="0" applyNumberFormat="1" applyFont="1" applyFill="1" applyBorder="1"/>
    <xf numFmtId="4" fontId="21" fillId="17" borderId="2" xfId="0" applyNumberFormat="1" applyFont="1" applyFill="1" applyBorder="1"/>
    <xf numFmtId="169" fontId="21" fillId="17" borderId="19" xfId="0" applyNumberFormat="1" applyFont="1" applyFill="1" applyBorder="1"/>
    <xf numFmtId="0" fontId="21" fillId="2" borderId="0" xfId="0" applyFont="1" applyFill="1" applyBorder="1"/>
    <xf numFmtId="0" fontId="21" fillId="2" borderId="13" xfId="0" applyFont="1" applyFill="1" applyBorder="1" applyAlignment="1">
      <alignment horizontal="center"/>
    </xf>
    <xf numFmtId="0" fontId="21" fillId="2" borderId="0" xfId="0" applyFont="1" applyFill="1" applyBorder="1" applyAlignment="1">
      <alignment horizontal="center"/>
    </xf>
    <xf numFmtId="0" fontId="21" fillId="2" borderId="14" xfId="0" applyFont="1" applyFill="1" applyBorder="1"/>
    <xf numFmtId="0" fontId="21" fillId="2" borderId="31" xfId="0" applyFont="1" applyFill="1" applyBorder="1"/>
    <xf numFmtId="0" fontId="30" fillId="2" borderId="13" xfId="0" applyFont="1" applyFill="1" applyBorder="1"/>
    <xf numFmtId="0" fontId="21" fillId="2" borderId="2" xfId="0" applyFont="1" applyFill="1" applyBorder="1"/>
    <xf numFmtId="0" fontId="21" fillId="2" borderId="0" xfId="0" applyFont="1" applyFill="1" applyBorder="1" applyAlignment="1">
      <alignment horizontal="right"/>
    </xf>
    <xf numFmtId="4" fontId="21" fillId="2" borderId="31" xfId="0" applyNumberFormat="1" applyFont="1" applyFill="1" applyBorder="1"/>
    <xf numFmtId="4" fontId="21" fillId="2" borderId="0" xfId="0" applyNumberFormat="1" applyFont="1" applyFill="1" applyBorder="1"/>
    <xf numFmtId="169" fontId="21" fillId="2" borderId="0" xfId="0" applyNumberFormat="1" applyFont="1" applyFill="1" applyBorder="1"/>
    <xf numFmtId="0" fontId="21" fillId="0" borderId="14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2" borderId="12" xfId="0" applyFont="1" applyFill="1" applyBorder="1"/>
    <xf numFmtId="0" fontId="21" fillId="16" borderId="7" xfId="0" applyFont="1" applyFill="1" applyBorder="1"/>
    <xf numFmtId="0" fontId="21" fillId="16" borderId="3" xfId="0" applyFont="1" applyFill="1" applyBorder="1"/>
    <xf numFmtId="0" fontId="21" fillId="16" borderId="11" xfId="0" applyFont="1" applyFill="1" applyBorder="1" applyAlignment="1">
      <alignment horizontal="center"/>
    </xf>
    <xf numFmtId="0" fontId="21" fillId="16" borderId="3" xfId="0" applyFont="1" applyFill="1" applyBorder="1" applyAlignment="1">
      <alignment horizontal="center"/>
    </xf>
    <xf numFmtId="4" fontId="21" fillId="16" borderId="18" xfId="0" applyNumberFormat="1" applyFont="1" applyFill="1" applyBorder="1"/>
    <xf numFmtId="4" fontId="21" fillId="16" borderId="3" xfId="0" applyNumberFormat="1" applyFont="1" applyFill="1" applyBorder="1"/>
    <xf numFmtId="170" fontId="30" fillId="16" borderId="11" xfId="0" applyNumberFormat="1" applyFont="1" applyFill="1" applyBorder="1"/>
    <xf numFmtId="169" fontId="21" fillId="16" borderId="18" xfId="0" applyNumberFormat="1" applyFont="1" applyFill="1" applyBorder="1"/>
    <xf numFmtId="0" fontId="65" fillId="2" borderId="0" xfId="0" applyFont="1" applyFill="1" applyBorder="1" applyAlignment="1">
      <alignment horizontal="right"/>
    </xf>
    <xf numFmtId="0" fontId="21" fillId="16" borderId="7" xfId="0" applyFont="1" applyFill="1" applyBorder="1" applyAlignment="1">
      <alignment horizontal="right"/>
    </xf>
    <xf numFmtId="0" fontId="21" fillId="2" borderId="1" xfId="0" applyFont="1" applyFill="1" applyBorder="1"/>
    <xf numFmtId="0" fontId="21" fillId="2" borderId="6" xfId="0" applyFont="1" applyFill="1" applyBorder="1"/>
    <xf numFmtId="4" fontId="21" fillId="2" borderId="19" xfId="0" applyNumberFormat="1" applyFont="1" applyFill="1" applyBorder="1"/>
    <xf numFmtId="3" fontId="61" fillId="2" borderId="0" xfId="0" applyNumberFormat="1" applyFont="1" applyFill="1" applyBorder="1"/>
    <xf numFmtId="4" fontId="61" fillId="2" borderId="0" xfId="0" applyNumberFormat="1" applyFont="1" applyFill="1" applyBorder="1" applyAlignment="1">
      <alignment horizontal="right"/>
    </xf>
    <xf numFmtId="3" fontId="61" fillId="2" borderId="0" xfId="0" applyNumberFormat="1" applyFont="1" applyFill="1" applyBorder="1" applyAlignment="1">
      <alignment horizontal="right"/>
    </xf>
    <xf numFmtId="0" fontId="21" fillId="2" borderId="0" xfId="0" applyFont="1" applyFill="1"/>
    <xf numFmtId="0" fontId="61" fillId="2" borderId="0" xfId="0" applyFont="1" applyFill="1" applyBorder="1" applyAlignment="1">
      <alignment horizontal="right"/>
    </xf>
    <xf numFmtId="0" fontId="21" fillId="2" borderId="10" xfId="0" applyFont="1" applyFill="1" applyBorder="1"/>
    <xf numFmtId="0" fontId="21" fillId="2" borderId="16" xfId="0" applyFont="1" applyFill="1" applyBorder="1"/>
    <xf numFmtId="0" fontId="21" fillId="2" borderId="22" xfId="0" applyFont="1" applyFill="1" applyBorder="1"/>
    <xf numFmtId="0" fontId="48" fillId="7" borderId="0" xfId="0" applyFont="1" applyFill="1" applyBorder="1" applyAlignment="1">
      <alignment horizontal="left" vertical="center" wrapText="1"/>
    </xf>
    <xf numFmtId="0" fontId="41" fillId="5" borderId="23" xfId="6" applyFont="1" applyAlignment="1">
      <alignment horizontal="center" vertical="center"/>
    </xf>
    <xf numFmtId="0" fontId="21" fillId="2" borderId="8" xfId="0" applyFont="1" applyFill="1" applyBorder="1" applyAlignment="1">
      <alignment horizontal="center" vertical="center" wrapText="1"/>
    </xf>
    <xf numFmtId="0" fontId="21" fillId="15" borderId="8" xfId="0" applyFont="1" applyFill="1" applyBorder="1" applyAlignment="1">
      <alignment horizontal="center" vertical="center" wrapText="1"/>
    </xf>
    <xf numFmtId="10" fontId="21" fillId="0" borderId="11" xfId="690" applyNumberFormat="1" applyFont="1" applyBorder="1"/>
    <xf numFmtId="0" fontId="66" fillId="15" borderId="12" xfId="0" applyFont="1" applyFill="1" applyBorder="1" applyAlignment="1">
      <alignment horizontal="left"/>
    </xf>
    <xf numFmtId="170" fontId="21" fillId="16" borderId="4" xfId="0" applyNumberFormat="1" applyFont="1" applyFill="1" applyBorder="1"/>
    <xf numFmtId="0" fontId="21" fillId="15" borderId="13" xfId="0" applyFont="1" applyFill="1" applyBorder="1"/>
    <xf numFmtId="170" fontId="21" fillId="17" borderId="1" xfId="0" applyNumberFormat="1" applyFont="1" applyFill="1" applyBorder="1"/>
    <xf numFmtId="170" fontId="21" fillId="2" borderId="13" xfId="0" applyNumberFormat="1" applyFont="1" applyFill="1" applyBorder="1"/>
    <xf numFmtId="0" fontId="67" fillId="15" borderId="12" xfId="0" applyFont="1" applyFill="1" applyBorder="1" applyAlignment="1">
      <alignment horizontal="left"/>
    </xf>
    <xf numFmtId="0" fontId="67" fillId="15" borderId="2" xfId="0" applyFont="1" applyFill="1" applyBorder="1" applyAlignment="1">
      <alignment horizontal="left"/>
    </xf>
    <xf numFmtId="0" fontId="22" fillId="7" borderId="15" xfId="0" applyFont="1" applyFill="1" applyBorder="1"/>
    <xf numFmtId="0" fontId="22" fillId="0" borderId="0" xfId="0" applyFont="1" applyBorder="1" applyAlignment="1">
      <alignment horizontal="left" vertical="center" wrapText="1"/>
    </xf>
    <xf numFmtId="0" fontId="22" fillId="2" borderId="0" xfId="0" applyFont="1" applyFill="1" applyBorder="1" applyAlignment="1">
      <alignment horizontal="left" vertical="center" wrapText="1"/>
    </xf>
    <xf numFmtId="0" fontId="22" fillId="11" borderId="0" xfId="0" applyFont="1" applyFill="1" applyBorder="1" applyAlignment="1">
      <alignment horizontal="center"/>
    </xf>
    <xf numFmtId="0" fontId="23" fillId="12" borderId="32" xfId="6" applyFont="1" applyFill="1" applyBorder="1" applyAlignment="1">
      <alignment horizontal="center" vertical="center"/>
    </xf>
    <xf numFmtId="4" fontId="24" fillId="12" borderId="32" xfId="8" applyNumberFormat="1" applyFont="1" applyFill="1" applyBorder="1"/>
    <xf numFmtId="4" fontId="23" fillId="12" borderId="32" xfId="6" applyNumberFormat="1" applyFont="1" applyFill="1" applyBorder="1"/>
    <xf numFmtId="10" fontId="23" fillId="12" borderId="32" xfId="6" applyNumberFormat="1" applyFont="1" applyFill="1" applyBorder="1"/>
    <xf numFmtId="169" fontId="24" fillId="12" borderId="32" xfId="8" applyNumberFormat="1" applyFont="1" applyFill="1" applyBorder="1"/>
    <xf numFmtId="0" fontId="22" fillId="7" borderId="21" xfId="0" applyFont="1" applyFill="1" applyBorder="1"/>
    <xf numFmtId="0" fontId="22" fillId="11" borderId="4" xfId="0" applyFont="1" applyFill="1" applyBorder="1" applyAlignment="1">
      <alignment horizontal="center"/>
    </xf>
    <xf numFmtId="0" fontId="22" fillId="11" borderId="12" xfId="0" applyFont="1" applyFill="1" applyBorder="1" applyAlignment="1">
      <alignment horizontal="center"/>
    </xf>
    <xf numFmtId="4" fontId="24" fillId="6" borderId="23" xfId="8" applyNumberFormat="1" applyFont="1"/>
    <xf numFmtId="4" fontId="23" fillId="5" borderId="23" xfId="6" applyNumberFormat="1" applyFont="1"/>
    <xf numFmtId="10" fontId="23" fillId="5" borderId="23" xfId="6" applyNumberFormat="1" applyFont="1"/>
    <xf numFmtId="169" fontId="24" fillId="6" borderId="23" xfId="8" applyNumberFormat="1" applyFont="1"/>
    <xf numFmtId="0" fontId="22" fillId="11" borderId="1" xfId="0" applyFont="1" applyFill="1" applyBorder="1" applyAlignment="1">
      <alignment horizontal="center"/>
    </xf>
    <xf numFmtId="0" fontId="22" fillId="11" borderId="2" xfId="0" applyFont="1" applyFill="1" applyBorder="1" applyAlignment="1">
      <alignment horizontal="center"/>
    </xf>
    <xf numFmtId="0" fontId="22" fillId="7" borderId="0" xfId="0" applyFont="1" applyFill="1" applyBorder="1" applyAlignment="1">
      <alignment horizontal="left" vertical="center" wrapText="1"/>
    </xf>
    <xf numFmtId="0" fontId="22" fillId="11" borderId="13" xfId="0" applyFont="1" applyFill="1" applyBorder="1" applyAlignment="1">
      <alignment horizontal="center"/>
    </xf>
    <xf numFmtId="0" fontId="23" fillId="5" borderId="23" xfId="6" applyFont="1" applyAlignment="1">
      <alignment horizontal="center" vertical="center"/>
    </xf>
    <xf numFmtId="0" fontId="66" fillId="2" borderId="12" xfId="0" applyFont="1" applyFill="1" applyBorder="1" applyAlignment="1">
      <alignment horizontal="left"/>
    </xf>
    <xf numFmtId="0" fontId="68" fillId="0" borderId="0" xfId="0" applyFont="1" applyAlignment="1">
      <alignment horizontal="center"/>
    </xf>
    <xf numFmtId="3" fontId="68" fillId="0" borderId="0" xfId="0" applyNumberFormat="1" applyFont="1" applyAlignment="1">
      <alignment horizontal="center"/>
    </xf>
    <xf numFmtId="176" fontId="68" fillId="0" borderId="0" xfId="0" applyNumberFormat="1" applyFont="1" applyAlignment="1">
      <alignment horizontal="center"/>
    </xf>
    <xf numFmtId="167" fontId="68" fillId="0" borderId="0" xfId="5" applyNumberFormat="1" applyFont="1" applyAlignment="1">
      <alignment horizontal="center"/>
    </xf>
    <xf numFmtId="167" fontId="68" fillId="0" borderId="0" xfId="0" applyNumberFormat="1" applyFont="1" applyAlignment="1">
      <alignment horizontal="center"/>
    </xf>
    <xf numFmtId="0" fontId="0" fillId="3" borderId="7" xfId="0" applyFill="1" applyBorder="1"/>
    <xf numFmtId="167" fontId="0" fillId="3" borderId="3" xfId="5" applyNumberFormat="1" applyFont="1" applyFill="1" applyBorder="1"/>
    <xf numFmtId="0" fontId="0" fillId="3" borderId="18" xfId="0" applyFill="1" applyBorder="1"/>
    <xf numFmtId="0" fontId="0" fillId="0" borderId="20" xfId="0" applyBorder="1"/>
    <xf numFmtId="0" fontId="0" fillId="0" borderId="14" xfId="0" applyBorder="1"/>
    <xf numFmtId="0" fontId="0" fillId="0" borderId="0" xfId="0" applyBorder="1"/>
    <xf numFmtId="0" fontId="71" fillId="0" borderId="31" xfId="0" applyFont="1" applyBorder="1"/>
    <xf numFmtId="0" fontId="0" fillId="0" borderId="31" xfId="0" applyBorder="1"/>
    <xf numFmtId="0" fontId="0" fillId="3" borderId="3" xfId="0" applyFill="1" applyBorder="1"/>
    <xf numFmtId="0" fontId="0" fillId="26" borderId="7" xfId="0" applyFill="1" applyBorder="1"/>
    <xf numFmtId="3" fontId="0" fillId="26" borderId="3" xfId="0" applyNumberFormat="1" applyFill="1" applyBorder="1"/>
    <xf numFmtId="0" fontId="0" fillId="26" borderId="18" xfId="0" applyFill="1" applyBorder="1"/>
    <xf numFmtId="0" fontId="0" fillId="0" borderId="18" xfId="0" applyBorder="1"/>
    <xf numFmtId="0" fontId="3" fillId="0" borderId="14" xfId="0" applyFont="1" applyBorder="1"/>
    <xf numFmtId="0" fontId="72" fillId="0" borderId="27" xfId="322" applyFont="1"/>
    <xf numFmtId="0" fontId="73" fillId="0" borderId="43" xfId="324" applyFont="1" applyBorder="1" applyAlignment="1">
      <alignment wrapText="1"/>
    </xf>
    <xf numFmtId="0" fontId="75" fillId="26" borderId="45" xfId="9" applyFont="1" applyFill="1" applyBorder="1"/>
    <xf numFmtId="0" fontId="29" fillId="9" borderId="31" xfId="0" applyFont="1" applyFill="1" applyBorder="1" applyAlignment="1">
      <alignment horizontal="center" vertical="center" wrapText="1"/>
    </xf>
    <xf numFmtId="3" fontId="61" fillId="2" borderId="0" xfId="0" applyNumberFormat="1" applyFont="1" applyFill="1"/>
    <xf numFmtId="0" fontId="61" fillId="2" borderId="0" xfId="0" applyFont="1" applyFill="1" applyAlignment="1">
      <alignment horizontal="right"/>
    </xf>
    <xf numFmtId="4" fontId="21" fillId="2" borderId="0" xfId="0" applyNumberFormat="1" applyFont="1" applyFill="1"/>
    <xf numFmtId="3" fontId="61" fillId="2" borderId="0" xfId="0" applyNumberFormat="1" applyFont="1" applyFill="1" applyAlignment="1">
      <alignment horizontal="right"/>
    </xf>
    <xf numFmtId="4" fontId="61" fillId="2" borderId="0" xfId="0" applyNumberFormat="1" applyFont="1" applyFill="1" applyAlignment="1">
      <alignment horizontal="right"/>
    </xf>
    <xf numFmtId="169" fontId="21" fillId="2" borderId="0" xfId="0" applyNumberFormat="1" applyFont="1" applyFill="1"/>
    <xf numFmtId="0" fontId="21" fillId="2" borderId="0" xfId="0" applyFont="1" applyFill="1" applyAlignment="1">
      <alignment horizontal="center"/>
    </xf>
    <xf numFmtId="0" fontId="65" fillId="2" borderId="0" xfId="0" applyFont="1" applyFill="1" applyAlignment="1">
      <alignment horizontal="right"/>
    </xf>
    <xf numFmtId="0" fontId="63" fillId="2" borderId="0" xfId="0" applyFont="1" applyFill="1"/>
    <xf numFmtId="0" fontId="22" fillId="11" borderId="0" xfId="0" applyFont="1" applyFill="1" applyAlignment="1">
      <alignment horizontal="center"/>
    </xf>
    <xf numFmtId="0" fontId="22" fillId="2" borderId="0" xfId="0" applyFont="1" applyFill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1" fillId="15" borderId="0" xfId="0" applyFont="1" applyFill="1"/>
    <xf numFmtId="0" fontId="21" fillId="15" borderId="0" xfId="0" applyFont="1" applyFill="1" applyAlignment="1">
      <alignment horizontal="center"/>
    </xf>
    <xf numFmtId="0" fontId="21" fillId="2" borderId="0" xfId="0" applyFont="1" applyFill="1" applyAlignment="1">
      <alignment horizontal="right"/>
    </xf>
    <xf numFmtId="3" fontId="64" fillId="2" borderId="0" xfId="0" applyNumberFormat="1" applyFont="1" applyFill="1"/>
    <xf numFmtId="0" fontId="64" fillId="2" borderId="0" xfId="0" applyFont="1" applyFill="1"/>
    <xf numFmtId="0" fontId="30" fillId="2" borderId="0" xfId="0" applyFont="1" applyFill="1" applyAlignment="1">
      <alignment horizontal="center"/>
    </xf>
    <xf numFmtId="0" fontId="52" fillId="2" borderId="0" xfId="0" applyFont="1" applyFill="1" applyAlignment="1">
      <alignment horizontal="left"/>
    </xf>
    <xf numFmtId="0" fontId="21" fillId="14" borderId="0" xfId="0" applyFont="1" applyFill="1"/>
    <xf numFmtId="0" fontId="21" fillId="14" borderId="0" xfId="0" applyFont="1" applyFill="1" applyAlignment="1">
      <alignment horizontal="center"/>
    </xf>
    <xf numFmtId="0" fontId="59" fillId="14" borderId="0" xfId="0" applyFont="1" applyFill="1" applyAlignment="1">
      <alignment horizontal="center"/>
    </xf>
    <xf numFmtId="0" fontId="30" fillId="14" borderId="0" xfId="0" applyFont="1" applyFill="1" applyAlignment="1">
      <alignment horizontal="center"/>
    </xf>
    <xf numFmtId="43" fontId="43" fillId="0" borderId="0" xfId="5" applyFont="1" applyBorder="1" applyAlignment="1">
      <alignment horizontal="center" vertical="center" wrapText="1"/>
    </xf>
    <xf numFmtId="10" fontId="42" fillId="10" borderId="23" xfId="690" applyNumberFormat="1" applyFont="1" applyFill="1" applyBorder="1"/>
    <xf numFmtId="0" fontId="40" fillId="0" borderId="0" xfId="0" applyFont="1"/>
    <xf numFmtId="171" fontId="20" fillId="0" borderId="0" xfId="0" applyNumberFormat="1" applyFont="1" applyAlignment="1">
      <alignment horizontal="right" vertical="center"/>
    </xf>
    <xf numFmtId="169" fontId="24" fillId="6" borderId="23" xfId="8" applyNumberFormat="1" applyFont="1" applyAlignment="1">
      <alignment vertical="center"/>
    </xf>
    <xf numFmtId="0" fontId="31" fillId="7" borderId="0" xfId="0" applyFont="1" applyFill="1" applyAlignment="1">
      <alignment horizontal="right" vertical="center"/>
    </xf>
    <xf numFmtId="0" fontId="22" fillId="7" borderId="0" xfId="0" applyFont="1" applyFill="1" applyAlignment="1">
      <alignment vertical="center"/>
    </xf>
    <xf numFmtId="4" fontId="31" fillId="7" borderId="0" xfId="0" applyNumberFormat="1" applyFont="1" applyFill="1" applyAlignment="1">
      <alignment horizontal="right" vertical="center"/>
    </xf>
    <xf numFmtId="0" fontId="22" fillId="11" borderId="0" xfId="0" applyFont="1" applyFill="1" applyAlignment="1">
      <alignment horizontal="left" vertical="center" wrapText="1"/>
    </xf>
    <xf numFmtId="10" fontId="23" fillId="5" borderId="23" xfId="6" applyNumberFormat="1" applyFont="1" applyAlignment="1">
      <alignment vertical="center"/>
    </xf>
    <xf numFmtId="4" fontId="24" fillId="6" borderId="23" xfId="8" applyNumberFormat="1" applyFont="1" applyAlignment="1">
      <alignment vertical="center"/>
    </xf>
    <xf numFmtId="4" fontId="23" fillId="5" borderId="23" xfId="6" applyNumberFormat="1" applyFont="1" applyAlignment="1">
      <alignment vertical="center"/>
    </xf>
    <xf numFmtId="3" fontId="33" fillId="7" borderId="0" xfId="0" applyNumberFormat="1" applyFont="1" applyFill="1" applyAlignment="1">
      <alignment vertical="center"/>
    </xf>
    <xf numFmtId="0" fontId="33" fillId="7" borderId="0" xfId="0" applyFont="1" applyFill="1" applyAlignment="1">
      <alignment vertical="center"/>
    </xf>
    <xf numFmtId="0" fontId="32" fillId="7" borderId="0" xfId="0" applyFont="1" applyFill="1" applyAlignment="1">
      <alignment vertical="center"/>
    </xf>
    <xf numFmtId="0" fontId="20" fillId="0" borderId="0" xfId="0" applyFont="1" applyAlignment="1">
      <alignment horizontal="center" vertical="center"/>
    </xf>
    <xf numFmtId="3" fontId="20" fillId="0" borderId="0" xfId="0" applyNumberFormat="1" applyFont="1" applyAlignment="1">
      <alignment vertical="center"/>
    </xf>
    <xf numFmtId="4" fontId="20" fillId="0" borderId="0" xfId="0" applyNumberFormat="1" applyFont="1" applyAlignment="1">
      <alignment horizontal="left" vertical="center"/>
    </xf>
    <xf numFmtId="4" fontId="20" fillId="0" borderId="0" xfId="0" applyNumberFormat="1" applyFont="1" applyAlignment="1">
      <alignment vertical="center"/>
    </xf>
    <xf numFmtId="171" fontId="20" fillId="0" borderId="0" xfId="0" applyNumberFormat="1" applyFont="1" applyAlignment="1">
      <alignment horizontal="left" vertical="center"/>
    </xf>
    <xf numFmtId="0" fontId="22" fillId="0" borderId="1" xfId="0" applyFont="1" applyBorder="1" applyAlignment="1">
      <alignment horizontal="center" vertical="center"/>
    </xf>
    <xf numFmtId="4" fontId="20" fillId="0" borderId="16" xfId="0" applyNumberFormat="1" applyFont="1" applyBorder="1" applyAlignment="1">
      <alignment horizontal="left" vertical="center"/>
    </xf>
    <xf numFmtId="4" fontId="20" fillId="0" borderId="16" xfId="0" applyNumberFormat="1" applyFont="1" applyBorder="1" applyAlignment="1">
      <alignment vertical="center"/>
    </xf>
    <xf numFmtId="0" fontId="20" fillId="0" borderId="16" xfId="0" applyFont="1" applyBorder="1" applyAlignment="1">
      <alignment vertical="center"/>
    </xf>
    <xf numFmtId="0" fontId="20" fillId="0" borderId="16" xfId="0" applyFont="1" applyBorder="1" applyAlignment="1">
      <alignment horizontal="left" vertical="center"/>
    </xf>
    <xf numFmtId="171" fontId="20" fillId="0" borderId="16" xfId="0" applyNumberFormat="1" applyFont="1" applyBorder="1" applyAlignment="1">
      <alignment horizontal="left" vertical="center"/>
    </xf>
    <xf numFmtId="171" fontId="20" fillId="0" borderId="16" xfId="0" applyNumberFormat="1" applyFont="1" applyBorder="1" applyAlignment="1">
      <alignment horizontal="right" vertical="center"/>
    </xf>
    <xf numFmtId="4" fontId="20" fillId="0" borderId="0" xfId="0" applyNumberFormat="1" applyFont="1" applyAlignment="1">
      <alignment horizontal="right" vertical="center"/>
    </xf>
    <xf numFmtId="0" fontId="20" fillId="4" borderId="0" xfId="0" applyFont="1" applyFill="1" applyAlignment="1">
      <alignment vertical="center"/>
    </xf>
    <xf numFmtId="10" fontId="23" fillId="21" borderId="23" xfId="6" applyNumberFormat="1" applyFont="1" applyFill="1" applyAlignment="1">
      <alignment vertical="center"/>
    </xf>
    <xf numFmtId="0" fontId="29" fillId="9" borderId="0" xfId="0" applyFont="1" applyFill="1" applyAlignment="1">
      <alignment horizontal="center" vertical="center"/>
    </xf>
    <xf numFmtId="172" fontId="29" fillId="0" borderId="0" xfId="0" applyNumberFormat="1" applyFont="1"/>
    <xf numFmtId="0" fontId="29" fillId="0" borderId="0" xfId="0" applyFont="1"/>
    <xf numFmtId="43" fontId="21" fillId="0" borderId="0" xfId="0" applyNumberFormat="1" applyFont="1"/>
    <xf numFmtId="0" fontId="21" fillId="0" borderId="35" xfId="0" applyFont="1" applyBorder="1" applyAlignment="1">
      <alignment vertical="center"/>
    </xf>
    <xf numFmtId="43" fontId="21" fillId="0" borderId="0" xfId="5" applyFont="1" applyFill="1" applyBorder="1"/>
    <xf numFmtId="0" fontId="26" fillId="0" borderId="0" xfId="0" applyFont="1" applyAlignment="1">
      <alignment vertical="center"/>
    </xf>
    <xf numFmtId="4" fontId="20" fillId="0" borderId="41" xfId="0" applyNumberFormat="1" applyFont="1" applyBorder="1" applyAlignment="1">
      <alignment vertical="center"/>
    </xf>
    <xf numFmtId="171" fontId="20" fillId="0" borderId="0" xfId="0" applyNumberFormat="1" applyFont="1" applyAlignment="1">
      <alignment horizontal="left" vertical="center" wrapText="1"/>
    </xf>
    <xf numFmtId="10" fontId="21" fillId="27" borderId="5" xfId="690" applyNumberFormat="1" applyFont="1" applyFill="1" applyBorder="1"/>
    <xf numFmtId="0" fontId="20" fillId="0" borderId="0" xfId="0" applyFont="1" applyAlignment="1">
      <alignment horizontal="center" vertical="center" wrapText="1"/>
    </xf>
    <xf numFmtId="171" fontId="20" fillId="0" borderId="0" xfId="0" applyNumberFormat="1" applyFont="1" applyBorder="1" applyAlignment="1">
      <alignment horizontal="left" vertical="center"/>
    </xf>
    <xf numFmtId="4" fontId="20" fillId="0" borderId="0" xfId="0" applyNumberFormat="1" applyFont="1" applyBorder="1" applyAlignment="1">
      <alignment vertical="center"/>
    </xf>
    <xf numFmtId="10" fontId="21" fillId="27" borderId="0" xfId="690" applyNumberFormat="1" applyFont="1" applyFill="1" applyBorder="1"/>
    <xf numFmtId="43" fontId="21" fillId="0" borderId="5" xfId="5" applyNumberFormat="1" applyFont="1" applyBorder="1"/>
    <xf numFmtId="0" fontId="83" fillId="18" borderId="47" xfId="0" applyFont="1" applyFill="1" applyBorder="1" applyAlignment="1">
      <alignment horizontal="left" vertical="center"/>
    </xf>
    <xf numFmtId="0" fontId="87" fillId="10" borderId="8" xfId="0" applyFont="1" applyFill="1" applyBorder="1" applyAlignment="1">
      <alignment horizontal="left" vertical="center" wrapText="1"/>
    </xf>
    <xf numFmtId="0" fontId="74" fillId="0" borderId="0" xfId="0" applyFont="1"/>
    <xf numFmtId="0" fontId="88" fillId="0" borderId="0" xfId="9" applyFont="1"/>
    <xf numFmtId="0" fontId="89" fillId="13" borderId="7" xfId="0" applyFont="1" applyFill="1" applyBorder="1"/>
    <xf numFmtId="0" fontId="86" fillId="0" borderId="0" xfId="0" applyFont="1"/>
    <xf numFmtId="0" fontId="83" fillId="3" borderId="11" xfId="0" applyFont="1" applyFill="1" applyBorder="1" applyAlignment="1">
      <alignment horizontal="center" vertical="center" wrapText="1"/>
    </xf>
    <xf numFmtId="0" fontId="20" fillId="18" borderId="0" xfId="0" applyFont="1" applyFill="1" applyBorder="1" applyAlignment="1">
      <alignment vertical="center"/>
    </xf>
    <xf numFmtId="0" fontId="86" fillId="0" borderId="0" xfId="0" applyFont="1" applyBorder="1"/>
    <xf numFmtId="0" fontId="21" fillId="0" borderId="0" xfId="0" applyFont="1" applyBorder="1" applyAlignment="1">
      <alignment horizontal="left" vertical="top"/>
    </xf>
    <xf numFmtId="0" fontId="21" fillId="0" borderId="0" xfId="0" applyFont="1" applyBorder="1" applyAlignment="1">
      <alignment horizontal="left"/>
    </xf>
    <xf numFmtId="43" fontId="21" fillId="0" borderId="0" xfId="5" applyNumberFormat="1" applyFont="1" applyBorder="1"/>
    <xf numFmtId="0" fontId="20" fillId="21" borderId="5" xfId="0" applyFont="1" applyFill="1" applyBorder="1" applyAlignment="1">
      <alignment vertical="center"/>
    </xf>
    <xf numFmtId="171" fontId="83" fillId="0" borderId="5" xfId="0" applyNumberFormat="1" applyFont="1" applyBorder="1" applyAlignment="1">
      <alignment horizontal="right" vertical="center"/>
    </xf>
    <xf numFmtId="0" fontId="86" fillId="0" borderId="5" xfId="0" applyFont="1" applyBorder="1" applyAlignment="1">
      <alignment horizontal="left" vertical="top"/>
    </xf>
    <xf numFmtId="0" fontId="86" fillId="0" borderId="5" xfId="0" applyFont="1" applyBorder="1" applyAlignment="1">
      <alignment horizontal="left"/>
    </xf>
    <xf numFmtId="43" fontId="86" fillId="0" borderId="5" xfId="0" applyNumberFormat="1" applyFont="1" applyBorder="1"/>
    <xf numFmtId="0" fontId="20" fillId="21" borderId="0" xfId="0" applyFont="1" applyFill="1" applyBorder="1" applyAlignment="1">
      <alignment vertical="center"/>
    </xf>
    <xf numFmtId="171" fontId="83" fillId="0" borderId="0" xfId="0" applyNumberFormat="1" applyFont="1" applyBorder="1" applyAlignment="1">
      <alignment horizontal="right" vertical="center"/>
    </xf>
    <xf numFmtId="0" fontId="86" fillId="0" borderId="0" xfId="0" applyFont="1" applyBorder="1" applyAlignment="1">
      <alignment horizontal="left" vertical="top"/>
    </xf>
    <xf numFmtId="0" fontId="86" fillId="0" borderId="0" xfId="0" applyFont="1" applyBorder="1" applyAlignment="1">
      <alignment horizontal="left"/>
    </xf>
    <xf numFmtId="43" fontId="86" fillId="0" borderId="0" xfId="0" applyNumberFormat="1" applyFont="1" applyBorder="1"/>
    <xf numFmtId="0" fontId="83" fillId="18" borderId="0" xfId="0" applyFont="1" applyFill="1" applyBorder="1" applyAlignment="1">
      <alignment vertical="center"/>
    </xf>
    <xf numFmtId="0" fontId="22" fillId="11" borderId="0" xfId="0" applyFont="1" applyFill="1" applyBorder="1" applyAlignment="1">
      <alignment horizontal="center" vertical="center"/>
    </xf>
    <xf numFmtId="0" fontId="83" fillId="0" borderId="40" xfId="0" applyFont="1" applyBorder="1" applyAlignment="1">
      <alignment vertical="center"/>
    </xf>
    <xf numFmtId="171" fontId="17" fillId="0" borderId="0" xfId="684" applyNumberFormat="1" applyAlignment="1" applyProtection="1">
      <alignment horizontal="left" vertical="center"/>
    </xf>
    <xf numFmtId="0" fontId="22" fillId="11" borderId="13" xfId="0" applyFont="1" applyFill="1" applyBorder="1" applyAlignment="1">
      <alignment horizontal="center" vertical="center"/>
    </xf>
    <xf numFmtId="4" fontId="24" fillId="6" borderId="50" xfId="8" applyNumberFormat="1" applyFont="1" applyBorder="1" applyAlignment="1">
      <alignment vertical="center"/>
    </xf>
    <xf numFmtId="4" fontId="23" fillId="5" borderId="50" xfId="6" applyNumberFormat="1" applyFont="1" applyBorder="1" applyAlignment="1">
      <alignment vertical="center"/>
    </xf>
    <xf numFmtId="10" fontId="23" fillId="21" borderId="50" xfId="6" applyNumberFormat="1" applyFont="1" applyFill="1" applyBorder="1" applyAlignment="1">
      <alignment vertical="center"/>
    </xf>
    <xf numFmtId="169" fontId="24" fillId="6" borderId="50" xfId="8" applyNumberFormat="1" applyFont="1" applyBorder="1" applyAlignment="1">
      <alignment vertical="center"/>
    </xf>
    <xf numFmtId="0" fontId="22" fillId="23" borderId="13" xfId="0" applyFont="1" applyFill="1" applyBorder="1" applyAlignment="1">
      <alignment horizontal="center" vertical="center"/>
    </xf>
    <xf numFmtId="4" fontId="24" fillId="6" borderId="33" xfId="8" applyNumberFormat="1" applyFont="1" applyBorder="1" applyAlignment="1">
      <alignment vertical="center"/>
    </xf>
    <xf numFmtId="4" fontId="23" fillId="5" borderId="33" xfId="6" applyNumberFormat="1" applyFont="1" applyBorder="1" applyAlignment="1">
      <alignment vertical="center"/>
    </xf>
    <xf numFmtId="10" fontId="23" fillId="21" borderId="33" xfId="6" applyNumberFormat="1" applyFont="1" applyFill="1" applyBorder="1" applyAlignment="1">
      <alignment vertical="center"/>
    </xf>
    <xf numFmtId="169" fontId="24" fillId="6" borderId="33" xfId="8" applyNumberFormat="1" applyFont="1" applyBorder="1" applyAlignment="1">
      <alignment vertical="center"/>
    </xf>
    <xf numFmtId="0" fontId="82" fillId="20" borderId="4" xfId="0" applyFont="1" applyFill="1" applyBorder="1" applyAlignment="1">
      <alignment horizontal="center" vertical="center"/>
    </xf>
    <xf numFmtId="0" fontId="90" fillId="7" borderId="0" xfId="0" applyFont="1" applyFill="1" applyAlignment="1">
      <alignment horizontal="right" vertical="center"/>
    </xf>
    <xf numFmtId="0" fontId="86" fillId="0" borderId="46" xfId="9" applyFont="1" applyFill="1" applyBorder="1"/>
    <xf numFmtId="0" fontId="86" fillId="0" borderId="0" xfId="9" applyFont="1" applyFill="1" applyBorder="1"/>
    <xf numFmtId="0" fontId="86" fillId="0" borderId="41" xfId="0" applyFont="1" applyBorder="1"/>
    <xf numFmtId="0" fontId="86" fillId="15" borderId="13" xfId="0" applyFont="1" applyFill="1" applyBorder="1" applyAlignment="1">
      <alignment horizontal="center"/>
    </xf>
    <xf numFmtId="0" fontId="86" fillId="15" borderId="0" xfId="0" applyFont="1" applyFill="1" applyAlignment="1">
      <alignment horizontal="center"/>
    </xf>
    <xf numFmtId="0" fontId="86" fillId="16" borderId="4" xfId="0" applyFont="1" applyFill="1" applyBorder="1" applyAlignment="1">
      <alignment horizontal="center"/>
    </xf>
    <xf numFmtId="0" fontId="83" fillId="18" borderId="21" xfId="0" applyFont="1" applyFill="1" applyBorder="1" applyAlignment="1">
      <alignment horizontal="center" vertical="center"/>
    </xf>
    <xf numFmtId="171" fontId="87" fillId="0" borderId="0" xfId="0" applyNumberFormat="1" applyFont="1" applyBorder="1" applyAlignment="1">
      <alignment horizontal="left" vertical="center"/>
    </xf>
    <xf numFmtId="171" fontId="86" fillId="0" borderId="5" xfId="0" applyNumberFormat="1" applyFont="1" applyBorder="1" applyAlignment="1">
      <alignment horizontal="left" vertical="center"/>
    </xf>
    <xf numFmtId="171" fontId="86" fillId="0" borderId="0" xfId="0" applyNumberFormat="1" applyFont="1" applyBorder="1" applyAlignment="1">
      <alignment horizontal="left" vertical="center"/>
    </xf>
    <xf numFmtId="0" fontId="86" fillId="0" borderId="0" xfId="0" applyFont="1" applyAlignment="1">
      <alignment vertical="center"/>
    </xf>
    <xf numFmtId="0" fontId="86" fillId="0" borderId="0" xfId="0" applyFont="1" applyBorder="1" applyAlignment="1">
      <alignment vertical="center"/>
    </xf>
    <xf numFmtId="0" fontId="20" fillId="24" borderId="0" xfId="0" applyFont="1" applyFill="1" applyBorder="1" applyAlignment="1">
      <alignment vertical="center"/>
    </xf>
    <xf numFmtId="0" fontId="87" fillId="10" borderId="20" xfId="0" applyFont="1" applyFill="1" applyBorder="1" applyAlignment="1">
      <alignment horizontal="left" vertical="center" wrapText="1"/>
    </xf>
    <xf numFmtId="0" fontId="87" fillId="10" borderId="6" xfId="0" applyFont="1" applyFill="1" applyBorder="1" applyAlignment="1">
      <alignment horizontal="left" vertical="center" wrapText="1"/>
    </xf>
    <xf numFmtId="0" fontId="87" fillId="10" borderId="19" xfId="0" applyFont="1" applyFill="1" applyBorder="1" applyAlignment="1">
      <alignment horizontal="left" vertical="center" wrapText="1"/>
    </xf>
    <xf numFmtId="43" fontId="86" fillId="0" borderId="0" xfId="0" applyNumberFormat="1" applyFont="1" applyBorder="1" applyAlignment="1">
      <alignment vertical="center"/>
    </xf>
    <xf numFmtId="4" fontId="83" fillId="0" borderId="16" xfId="0" applyNumberFormat="1" applyFont="1" applyBorder="1" applyAlignment="1">
      <alignment horizontal="left" vertical="center"/>
    </xf>
    <xf numFmtId="43" fontId="91" fillId="0" borderId="11" xfId="5" applyFont="1" applyFill="1" applyBorder="1" applyAlignment="1">
      <alignment horizontal="right"/>
    </xf>
    <xf numFmtId="43" fontId="91" fillId="0" borderId="11" xfId="5" applyFont="1" applyFill="1" applyBorder="1"/>
    <xf numFmtId="0" fontId="92" fillId="28" borderId="11" xfId="0" applyFont="1" applyFill="1" applyBorder="1" applyAlignment="1">
      <alignment horizontal="center" vertical="center" wrapText="1"/>
    </xf>
    <xf numFmtId="0" fontId="92" fillId="0" borderId="0" xfId="0" applyFont="1"/>
    <xf numFmtId="0" fontId="92" fillId="0" borderId="11" xfId="0" applyFont="1" applyFill="1" applyBorder="1" applyAlignment="1">
      <alignment horizontal="center" vertical="center" wrapText="1"/>
    </xf>
    <xf numFmtId="0" fontId="92" fillId="0" borderId="11" xfId="0" applyFont="1" applyBorder="1" applyAlignment="1">
      <alignment horizontal="center" vertical="center" wrapText="1"/>
    </xf>
    <xf numFmtId="43" fontId="92" fillId="0" borderId="11" xfId="5" applyFont="1" applyBorder="1" applyAlignment="1">
      <alignment horizontal="center" vertical="center" wrapText="1"/>
    </xf>
    <xf numFmtId="0" fontId="93" fillId="0" borderId="0" xfId="684" applyFont="1" applyAlignment="1" applyProtection="1">
      <alignment horizontal="justify" vertical="center"/>
    </xf>
    <xf numFmtId="43" fontId="92" fillId="0" borderId="11" xfId="5" applyFont="1" applyFill="1" applyBorder="1" applyAlignment="1">
      <alignment horizontal="center" vertical="center" wrapText="1"/>
    </xf>
    <xf numFmtId="4" fontId="94" fillId="0" borderId="11" xfId="0" applyNumberFormat="1" applyFont="1" applyBorder="1" applyAlignment="1">
      <alignment horizontal="center" vertical="center" wrapText="1"/>
    </xf>
    <xf numFmtId="0" fontId="92" fillId="28" borderId="11" xfId="0" applyFont="1" applyFill="1" applyBorder="1" applyAlignment="1">
      <alignment horizontal="center"/>
    </xf>
    <xf numFmtId="4" fontId="0" fillId="0" borderId="0" xfId="0" applyNumberFormat="1" applyBorder="1"/>
    <xf numFmtId="0" fontId="95" fillId="29" borderId="53" xfId="4" applyFont="1" applyFill="1" applyBorder="1" applyAlignment="1">
      <alignment vertical="center"/>
    </xf>
    <xf numFmtId="0" fontId="96" fillId="0" borderId="54" xfId="4" applyFont="1" applyBorder="1" applyAlignment="1">
      <alignment horizontal="left" vertical="center"/>
    </xf>
    <xf numFmtId="0" fontId="3" fillId="0" borderId="0" xfId="4"/>
    <xf numFmtId="0" fontId="95" fillId="29" borderId="55" xfId="4" applyFont="1" applyFill="1" applyBorder="1" applyAlignment="1">
      <alignment vertical="center"/>
    </xf>
    <xf numFmtId="0" fontId="96" fillId="0" borderId="56" xfId="4" applyFont="1" applyBorder="1" applyAlignment="1">
      <alignment horizontal="left" vertical="center"/>
    </xf>
    <xf numFmtId="0" fontId="95" fillId="29" borderId="55" xfId="4" applyFont="1" applyFill="1" applyBorder="1" applyAlignment="1">
      <alignment vertical="center" wrapText="1"/>
    </xf>
    <xf numFmtId="167" fontId="96" fillId="0" borderId="56" xfId="5" applyNumberFormat="1" applyFont="1" applyBorder="1" applyAlignment="1">
      <alignment horizontal="left" vertical="center"/>
    </xf>
    <xf numFmtId="0" fontId="95" fillId="29" borderId="57" xfId="4" applyFont="1" applyFill="1" applyBorder="1" applyAlignment="1">
      <alignment vertical="center"/>
    </xf>
    <xf numFmtId="0" fontId="96" fillId="0" borderId="58" xfId="4" applyFont="1" applyBorder="1" applyAlignment="1">
      <alignment horizontal="left" vertical="center"/>
    </xf>
    <xf numFmtId="43" fontId="92" fillId="0" borderId="11" xfId="0" applyNumberFormat="1" applyFont="1" applyBorder="1"/>
    <xf numFmtId="0" fontId="3" fillId="0" borderId="14" xfId="0" applyFont="1" applyBorder="1" applyAlignment="1">
      <alignment wrapText="1"/>
    </xf>
    <xf numFmtId="0" fontId="3" fillId="0" borderId="0" xfId="0" applyFont="1" applyAlignment="1">
      <alignment horizontal="right"/>
    </xf>
    <xf numFmtId="167" fontId="0" fillId="0" borderId="0" xfId="5" applyNumberFormat="1" applyFont="1"/>
    <xf numFmtId="43" fontId="92" fillId="0" borderId="0" xfId="0" applyNumberFormat="1" applyFont="1"/>
    <xf numFmtId="0" fontId="70" fillId="0" borderId="0" xfId="0" applyFont="1" applyAlignment="1">
      <alignment horizontal="center" vertical="top"/>
    </xf>
    <xf numFmtId="0" fontId="29" fillId="18" borderId="11" xfId="0" applyFont="1" applyFill="1" applyBorder="1" applyAlignment="1">
      <alignment horizontal="left" vertical="top" wrapText="1"/>
    </xf>
    <xf numFmtId="0" fontId="48" fillId="7" borderId="8" xfId="0" applyFont="1" applyFill="1" applyBorder="1" applyAlignment="1">
      <alignment horizontal="left" vertical="center" wrapText="1"/>
    </xf>
    <xf numFmtId="0" fontId="48" fillId="7" borderId="20" xfId="0" applyFont="1" applyFill="1" applyBorder="1" applyAlignment="1">
      <alignment horizontal="left" vertical="center" wrapText="1"/>
    </xf>
    <xf numFmtId="0" fontId="48" fillId="7" borderId="6" xfId="0" applyFont="1" applyFill="1" applyBorder="1" applyAlignment="1">
      <alignment horizontal="left" vertical="center" wrapText="1"/>
    </xf>
    <xf numFmtId="0" fontId="48" fillId="7" borderId="19" xfId="0" applyFont="1" applyFill="1" applyBorder="1" applyAlignment="1">
      <alignment horizontal="left" vertical="center" wrapText="1"/>
    </xf>
    <xf numFmtId="0" fontId="41" fillId="5" borderId="23" xfId="6" applyFont="1" applyAlignment="1">
      <alignment horizontal="center" vertical="center"/>
    </xf>
    <xf numFmtId="0" fontId="48" fillId="10" borderId="8" xfId="0" applyFont="1" applyFill="1" applyBorder="1" applyAlignment="1">
      <alignment horizontal="left" vertical="center" wrapText="1"/>
    </xf>
    <xf numFmtId="0" fontId="48" fillId="10" borderId="20" xfId="0" applyFont="1" applyFill="1" applyBorder="1" applyAlignment="1">
      <alignment horizontal="left" vertical="center" wrapText="1"/>
    </xf>
    <xf numFmtId="0" fontId="48" fillId="10" borderId="6" xfId="0" applyFont="1" applyFill="1" applyBorder="1" applyAlignment="1">
      <alignment horizontal="left" vertical="center" wrapText="1"/>
    </xf>
    <xf numFmtId="0" fontId="48" fillId="10" borderId="19" xfId="0" applyFont="1" applyFill="1" applyBorder="1" applyAlignment="1">
      <alignment horizontal="left" vertical="center" wrapText="1"/>
    </xf>
    <xf numFmtId="0" fontId="45" fillId="8" borderId="7" xfId="0" applyFont="1" applyFill="1" applyBorder="1" applyAlignment="1">
      <alignment horizontal="center"/>
    </xf>
    <xf numFmtId="0" fontId="45" fillId="8" borderId="3" xfId="0" applyFont="1" applyFill="1" applyBorder="1" applyAlignment="1">
      <alignment horizontal="center"/>
    </xf>
    <xf numFmtId="0" fontId="45" fillId="8" borderId="18" xfId="0" applyFont="1" applyFill="1" applyBorder="1" applyAlignment="1">
      <alignment horizontal="center"/>
    </xf>
    <xf numFmtId="0" fontId="46" fillId="9" borderId="8" xfId="0" applyFont="1" applyFill="1" applyBorder="1" applyAlignment="1">
      <alignment horizontal="center" vertical="center"/>
    </xf>
    <xf numFmtId="0" fontId="46" fillId="9" borderId="20" xfId="0" applyFont="1" applyFill="1" applyBorder="1" applyAlignment="1">
      <alignment horizontal="center" vertical="center"/>
    </xf>
    <xf numFmtId="0" fontId="46" fillId="9" borderId="14" xfId="0" applyFont="1" applyFill="1" applyBorder="1" applyAlignment="1">
      <alignment horizontal="center" vertical="center"/>
    </xf>
    <xf numFmtId="0" fontId="46" fillId="9" borderId="31" xfId="0" applyFont="1" applyFill="1" applyBorder="1" applyAlignment="1">
      <alignment horizontal="center" vertical="center"/>
    </xf>
    <xf numFmtId="0" fontId="46" fillId="9" borderId="6" xfId="0" applyFont="1" applyFill="1" applyBorder="1" applyAlignment="1">
      <alignment horizontal="center" vertical="center"/>
    </xf>
    <xf numFmtId="0" fontId="46" fillId="9" borderId="19" xfId="0" applyFont="1" applyFill="1" applyBorder="1" applyAlignment="1">
      <alignment horizontal="center" vertical="center"/>
    </xf>
    <xf numFmtId="0" fontId="46" fillId="9" borderId="4" xfId="0" applyFont="1" applyFill="1" applyBorder="1" applyAlignment="1">
      <alignment horizontal="center" vertical="center"/>
    </xf>
    <xf numFmtId="0" fontId="46" fillId="9" borderId="13" xfId="0" applyFont="1" applyFill="1" applyBorder="1" applyAlignment="1">
      <alignment horizontal="center" vertical="center"/>
    </xf>
    <xf numFmtId="0" fontId="46" fillId="9" borderId="1" xfId="0" applyFont="1" applyFill="1" applyBorder="1" applyAlignment="1">
      <alignment horizontal="center" vertical="center"/>
    </xf>
    <xf numFmtId="0" fontId="46" fillId="9" borderId="8" xfId="0" applyFont="1" applyFill="1" applyBorder="1" applyAlignment="1">
      <alignment horizontal="center" vertical="center" wrapText="1"/>
    </xf>
    <xf numFmtId="0" fontId="46" fillId="9" borderId="20" xfId="0" applyFont="1" applyFill="1" applyBorder="1" applyAlignment="1">
      <alignment horizontal="center" vertical="center" wrapText="1"/>
    </xf>
    <xf numFmtId="0" fontId="46" fillId="9" borderId="4" xfId="0" applyFont="1" applyFill="1" applyBorder="1" applyAlignment="1">
      <alignment horizontal="center" vertical="center" wrapText="1"/>
    </xf>
    <xf numFmtId="0" fontId="46" fillId="9" borderId="13" xfId="0" applyFont="1" applyFill="1" applyBorder="1" applyAlignment="1">
      <alignment horizontal="center" vertical="center" wrapText="1"/>
    </xf>
    <xf numFmtId="0" fontId="46" fillId="9" borderId="1" xfId="0" applyFont="1" applyFill="1" applyBorder="1" applyAlignment="1">
      <alignment horizontal="center" vertical="center" wrapText="1"/>
    </xf>
    <xf numFmtId="0" fontId="49" fillId="9" borderId="14" xfId="0" applyFont="1" applyFill="1" applyBorder="1" applyAlignment="1">
      <alignment horizontal="center" vertical="center" wrapText="1"/>
    </xf>
    <xf numFmtId="0" fontId="49" fillId="9" borderId="6" xfId="0" applyFont="1" applyFill="1" applyBorder="1" applyAlignment="1">
      <alignment horizontal="center" vertical="center" wrapText="1"/>
    </xf>
    <xf numFmtId="0" fontId="49" fillId="9" borderId="0" xfId="0" applyFont="1" applyFill="1" applyBorder="1" applyAlignment="1">
      <alignment horizontal="center" vertical="center"/>
    </xf>
    <xf numFmtId="0" fontId="49" fillId="9" borderId="2" xfId="0" applyFont="1" applyFill="1" applyBorder="1" applyAlignment="1">
      <alignment horizontal="center" vertical="center"/>
    </xf>
    <xf numFmtId="0" fontId="49" fillId="9" borderId="14" xfId="0" applyFont="1" applyFill="1" applyBorder="1" applyAlignment="1">
      <alignment horizontal="center" vertical="center"/>
    </xf>
    <xf numFmtId="0" fontId="49" fillId="9" borderId="6" xfId="0" applyFont="1" applyFill="1" applyBorder="1" applyAlignment="1">
      <alignment horizontal="center" vertical="center"/>
    </xf>
    <xf numFmtId="3" fontId="50" fillId="9" borderId="13" xfId="0" applyNumberFormat="1" applyFont="1" applyFill="1" applyBorder="1" applyAlignment="1">
      <alignment horizontal="center" vertical="center"/>
    </xf>
    <xf numFmtId="3" fontId="50" fillId="9" borderId="1" xfId="0" applyNumberFormat="1" applyFont="1" applyFill="1" applyBorder="1" applyAlignment="1">
      <alignment horizontal="center" vertical="center"/>
    </xf>
    <xf numFmtId="0" fontId="22" fillId="7" borderId="8" xfId="0" applyFont="1" applyFill="1" applyBorder="1" applyAlignment="1">
      <alignment horizontal="left" vertical="center" wrapText="1"/>
    </xf>
    <xf numFmtId="0" fontId="22" fillId="7" borderId="20" xfId="0" applyFont="1" applyFill="1" applyBorder="1" applyAlignment="1">
      <alignment horizontal="left" vertical="center" wrapText="1"/>
    </xf>
    <xf numFmtId="0" fontId="22" fillId="7" borderId="6" xfId="0" applyFont="1" applyFill="1" applyBorder="1" applyAlignment="1">
      <alignment horizontal="left" vertical="center" wrapText="1"/>
    </xf>
    <xf numFmtId="0" fontId="22" fillId="7" borderId="19" xfId="0" applyFont="1" applyFill="1" applyBorder="1" applyAlignment="1">
      <alignment horizontal="left" vertical="center" wrapText="1"/>
    </xf>
    <xf numFmtId="0" fontId="23" fillId="5" borderId="23" xfId="6" applyFont="1" applyAlignment="1">
      <alignment horizontal="center" vertical="center"/>
    </xf>
    <xf numFmtId="0" fontId="30" fillId="14" borderId="6" xfId="0" applyFont="1" applyFill="1" applyBorder="1" applyAlignment="1">
      <alignment horizontal="center"/>
    </xf>
    <xf numFmtId="0" fontId="30" fillId="14" borderId="19" xfId="0" applyFont="1" applyFill="1" applyBorder="1" applyAlignment="1">
      <alignment horizontal="center"/>
    </xf>
    <xf numFmtId="0" fontId="59" fillId="14" borderId="8" xfId="0" applyFont="1" applyFill="1" applyBorder="1" applyAlignment="1">
      <alignment horizontal="center"/>
    </xf>
    <xf numFmtId="0" fontId="59" fillId="14" borderId="20" xfId="0" applyFont="1" applyFill="1" applyBorder="1" applyAlignment="1">
      <alignment horizontal="center"/>
    </xf>
    <xf numFmtId="0" fontId="21" fillId="15" borderId="8" xfId="0" applyFont="1" applyFill="1" applyBorder="1" applyAlignment="1">
      <alignment horizontal="center" vertical="center"/>
    </xf>
    <xf numFmtId="0" fontId="21" fillId="15" borderId="6" xfId="0" applyFont="1" applyFill="1" applyBorder="1" applyAlignment="1">
      <alignment horizontal="center" vertical="center"/>
    </xf>
    <xf numFmtId="0" fontId="21" fillId="2" borderId="8" xfId="0" applyFont="1" applyFill="1" applyBorder="1" applyAlignment="1">
      <alignment horizontal="center" vertical="center" wrapText="1"/>
    </xf>
    <xf numFmtId="0" fontId="21" fillId="2" borderId="6" xfId="0" applyFont="1" applyFill="1" applyBorder="1" applyAlignment="1">
      <alignment horizontal="center" vertical="center" wrapText="1"/>
    </xf>
    <xf numFmtId="0" fontId="59" fillId="14" borderId="8" xfId="0" applyFont="1" applyFill="1" applyBorder="1" applyAlignment="1">
      <alignment horizontal="center" wrapText="1"/>
    </xf>
    <xf numFmtId="0" fontId="59" fillId="14" borderId="20" xfId="0" applyFont="1" applyFill="1" applyBorder="1" applyAlignment="1">
      <alignment horizontal="center" wrapText="1"/>
    </xf>
    <xf numFmtId="0" fontId="59" fillId="14" borderId="14" xfId="0" applyFont="1" applyFill="1" applyBorder="1" applyAlignment="1">
      <alignment horizontal="center" wrapText="1"/>
    </xf>
    <xf numFmtId="0" fontId="59" fillId="14" borderId="31" xfId="0" applyFont="1" applyFill="1" applyBorder="1" applyAlignment="1">
      <alignment horizontal="center" wrapText="1"/>
    </xf>
    <xf numFmtId="0" fontId="21" fillId="15" borderId="8" xfId="0" applyFont="1" applyFill="1" applyBorder="1" applyAlignment="1">
      <alignment horizontal="center" vertical="center" wrapText="1"/>
    </xf>
    <xf numFmtId="0" fontId="21" fillId="15" borderId="14" xfId="0" applyFont="1" applyFill="1" applyBorder="1" applyAlignment="1">
      <alignment horizontal="center" vertical="center" wrapText="1"/>
    </xf>
    <xf numFmtId="0" fontId="21" fillId="15" borderId="6" xfId="0" applyFont="1" applyFill="1" applyBorder="1" applyAlignment="1">
      <alignment horizontal="center" vertical="center" wrapText="1"/>
    </xf>
    <xf numFmtId="0" fontId="21" fillId="15" borderId="14" xfId="0" applyFont="1" applyFill="1" applyBorder="1" applyAlignment="1">
      <alignment horizontal="center" vertical="center"/>
    </xf>
    <xf numFmtId="0" fontId="29" fillId="8" borderId="7" xfId="0" applyFont="1" applyFill="1" applyBorder="1" applyAlignment="1">
      <alignment horizontal="center" vertical="center" wrapText="1"/>
    </xf>
    <xf numFmtId="0" fontId="29" fillId="8" borderId="3" xfId="0" applyFont="1" applyFill="1" applyBorder="1" applyAlignment="1">
      <alignment horizontal="center" vertical="center" wrapText="1"/>
    </xf>
    <xf numFmtId="0" fontId="29" fillId="8" borderId="18" xfId="0" applyFont="1" applyFill="1" applyBorder="1" applyAlignment="1">
      <alignment horizontal="center" vertical="center" wrapText="1"/>
    </xf>
    <xf numFmtId="0" fontId="29" fillId="9" borderId="8" xfId="0" applyFont="1" applyFill="1" applyBorder="1" applyAlignment="1">
      <alignment horizontal="center" vertical="center"/>
    </xf>
    <xf numFmtId="0" fontId="29" fillId="9" borderId="20" xfId="0" applyFont="1" applyFill="1" applyBorder="1" applyAlignment="1">
      <alignment horizontal="center" vertical="center"/>
    </xf>
    <xf numFmtId="0" fontId="29" fillId="9" borderId="14" xfId="0" applyFont="1" applyFill="1" applyBorder="1" applyAlignment="1">
      <alignment horizontal="center" vertical="center"/>
    </xf>
    <xf numFmtId="0" fontId="29" fillId="9" borderId="31" xfId="0" applyFont="1" applyFill="1" applyBorder="1" applyAlignment="1">
      <alignment horizontal="center" vertical="center"/>
    </xf>
    <xf numFmtId="0" fontId="29" fillId="9" borderId="6" xfId="0" applyFont="1" applyFill="1" applyBorder="1" applyAlignment="1">
      <alignment horizontal="center" vertical="center"/>
    </xf>
    <xf numFmtId="0" fontId="29" fillId="9" borderId="19" xfId="0" applyFont="1" applyFill="1" applyBorder="1" applyAlignment="1">
      <alignment horizontal="center" vertical="center"/>
    </xf>
    <xf numFmtId="0" fontId="29" fillId="9" borderId="4" xfId="0" applyFont="1" applyFill="1" applyBorder="1" applyAlignment="1">
      <alignment horizontal="center" vertical="center"/>
    </xf>
    <xf numFmtId="0" fontId="29" fillId="9" borderId="13" xfId="0" applyFont="1" applyFill="1" applyBorder="1" applyAlignment="1">
      <alignment horizontal="center" vertical="center"/>
    </xf>
    <xf numFmtId="0" fontId="29" fillId="9" borderId="1" xfId="0" applyFont="1" applyFill="1" applyBorder="1" applyAlignment="1">
      <alignment horizontal="center" vertical="center"/>
    </xf>
    <xf numFmtId="0" fontId="29" fillId="9" borderId="8" xfId="0" applyFont="1" applyFill="1" applyBorder="1" applyAlignment="1">
      <alignment horizontal="center" vertical="center" wrapText="1"/>
    </xf>
    <xf numFmtId="0" fontId="29" fillId="9" borderId="20" xfId="0" applyFont="1" applyFill="1" applyBorder="1" applyAlignment="1">
      <alignment horizontal="center" vertical="center" wrapText="1"/>
    </xf>
    <xf numFmtId="0" fontId="29" fillId="9" borderId="14" xfId="0" applyFont="1" applyFill="1" applyBorder="1" applyAlignment="1">
      <alignment horizontal="center" vertical="center" wrapText="1"/>
    </xf>
    <xf numFmtId="0" fontId="29" fillId="9" borderId="31" xfId="0" applyFont="1" applyFill="1" applyBorder="1" applyAlignment="1">
      <alignment horizontal="center" vertical="center" wrapText="1"/>
    </xf>
    <xf numFmtId="0" fontId="29" fillId="9" borderId="4" xfId="0" applyFont="1" applyFill="1" applyBorder="1" applyAlignment="1">
      <alignment horizontal="center" vertical="center" wrapText="1"/>
    </xf>
    <xf numFmtId="0" fontId="29" fillId="9" borderId="13" xfId="0" applyFont="1" applyFill="1" applyBorder="1" applyAlignment="1">
      <alignment horizontal="center" vertical="center" wrapText="1"/>
    </xf>
    <xf numFmtId="0" fontId="29" fillId="9" borderId="1" xfId="0" applyFont="1" applyFill="1" applyBorder="1" applyAlignment="1">
      <alignment horizontal="center" vertical="center" wrapText="1"/>
    </xf>
    <xf numFmtId="0" fontId="25" fillId="10" borderId="8" xfId="0" applyFont="1" applyFill="1" applyBorder="1" applyAlignment="1">
      <alignment horizontal="left" vertical="center" wrapText="1"/>
    </xf>
    <xf numFmtId="0" fontId="25" fillId="10" borderId="20" xfId="0" applyFont="1" applyFill="1" applyBorder="1" applyAlignment="1">
      <alignment horizontal="left" vertical="center" wrapText="1"/>
    </xf>
    <xf numFmtId="0" fontId="25" fillId="10" borderId="6" xfId="0" applyFont="1" applyFill="1" applyBorder="1" applyAlignment="1">
      <alignment horizontal="left" vertical="center" wrapText="1"/>
    </xf>
    <xf numFmtId="0" fontId="25" fillId="10" borderId="19" xfId="0" applyFont="1" applyFill="1" applyBorder="1" applyAlignment="1">
      <alignment horizontal="left" vertical="center" wrapText="1"/>
    </xf>
    <xf numFmtId="2" fontId="23" fillId="21" borderId="23" xfId="6" applyNumberFormat="1" applyFont="1" applyFill="1" applyBorder="1" applyAlignment="1">
      <alignment horizontal="center" vertical="center"/>
    </xf>
    <xf numFmtId="0" fontId="22" fillId="10" borderId="8" xfId="0" applyFont="1" applyFill="1" applyBorder="1" applyAlignment="1">
      <alignment horizontal="left" vertical="center" wrapText="1"/>
    </xf>
    <xf numFmtId="0" fontId="22" fillId="10" borderId="20" xfId="0" applyFont="1" applyFill="1" applyBorder="1" applyAlignment="1">
      <alignment horizontal="left" vertical="center" wrapText="1"/>
    </xf>
    <xf numFmtId="0" fontId="22" fillId="10" borderId="6" xfId="0" applyFont="1" applyFill="1" applyBorder="1" applyAlignment="1">
      <alignment horizontal="left" vertical="center" wrapText="1"/>
    </xf>
    <xf numFmtId="0" fontId="22" fillId="10" borderId="19" xfId="0" applyFont="1" applyFill="1" applyBorder="1" applyAlignment="1">
      <alignment horizontal="left" vertical="center" wrapText="1"/>
    </xf>
    <xf numFmtId="0" fontId="23" fillId="21" borderId="23" xfId="6" applyFont="1" applyFill="1" applyBorder="1" applyAlignment="1">
      <alignment horizontal="center" vertical="center"/>
    </xf>
    <xf numFmtId="0" fontId="82" fillId="10" borderId="8" xfId="0" applyFont="1" applyFill="1" applyBorder="1" applyAlignment="1">
      <alignment horizontal="left" vertical="center" wrapText="1"/>
    </xf>
    <xf numFmtId="2" fontId="23" fillId="21" borderId="50" xfId="6" applyNumberFormat="1" applyFont="1" applyFill="1" applyBorder="1" applyAlignment="1">
      <alignment horizontal="center" vertical="center"/>
    </xf>
    <xf numFmtId="2" fontId="23" fillId="21" borderId="33" xfId="6" applyNumberFormat="1" applyFont="1" applyFill="1" applyBorder="1" applyAlignment="1">
      <alignment horizontal="center" vertical="center"/>
    </xf>
    <xf numFmtId="0" fontId="87" fillId="10" borderId="8" xfId="0" applyFont="1" applyFill="1" applyBorder="1" applyAlignment="1">
      <alignment horizontal="left" vertical="center" wrapText="1"/>
    </xf>
    <xf numFmtId="0" fontId="25" fillId="10" borderId="14" xfId="0" applyFont="1" applyFill="1" applyBorder="1" applyAlignment="1">
      <alignment horizontal="left" vertical="center" wrapText="1"/>
    </xf>
    <xf numFmtId="0" fontId="25" fillId="10" borderId="31" xfId="0" applyFont="1" applyFill="1" applyBorder="1" applyAlignment="1">
      <alignment horizontal="left" vertical="center" wrapText="1"/>
    </xf>
    <xf numFmtId="2" fontId="23" fillId="21" borderId="51" xfId="6" applyNumberFormat="1" applyFont="1" applyFill="1" applyBorder="1" applyAlignment="1">
      <alignment horizontal="center" vertical="center"/>
    </xf>
    <xf numFmtId="0" fontId="87" fillId="10" borderId="14" xfId="0" applyFont="1" applyFill="1" applyBorder="1" applyAlignment="1">
      <alignment horizontal="left" vertical="center" wrapText="1"/>
    </xf>
    <xf numFmtId="2" fontId="23" fillId="21" borderId="52" xfId="6" applyNumberFormat="1" applyFont="1" applyFill="1" applyBorder="1" applyAlignment="1">
      <alignment horizontal="center" vertical="center"/>
    </xf>
    <xf numFmtId="0" fontId="84" fillId="8" borderId="7" xfId="0" applyFont="1" applyFill="1" applyBorder="1" applyAlignment="1">
      <alignment horizontal="center" vertical="center" wrapText="1"/>
    </xf>
    <xf numFmtId="0" fontId="84" fillId="8" borderId="3" xfId="0" applyFont="1" applyFill="1" applyBorder="1" applyAlignment="1">
      <alignment horizontal="center" vertical="center" wrapText="1"/>
    </xf>
    <xf numFmtId="0" fontId="84" fillId="8" borderId="18" xfId="0" applyFont="1" applyFill="1" applyBorder="1" applyAlignment="1">
      <alignment horizontal="center" vertical="center" wrapText="1"/>
    </xf>
    <xf numFmtId="0" fontId="87" fillId="10" borderId="20" xfId="0" applyFont="1" applyFill="1" applyBorder="1" applyAlignment="1">
      <alignment horizontal="left" vertical="center" wrapText="1"/>
    </xf>
    <xf numFmtId="0" fontId="87" fillId="10" borderId="6" xfId="0" applyFont="1" applyFill="1" applyBorder="1" applyAlignment="1">
      <alignment horizontal="left" vertical="center" wrapText="1"/>
    </xf>
    <xf numFmtId="0" fontId="87" fillId="10" borderId="19" xfId="0" applyFont="1" applyFill="1" applyBorder="1" applyAlignment="1">
      <alignment horizontal="left" vertical="center" wrapText="1"/>
    </xf>
    <xf numFmtId="0" fontId="23" fillId="21" borderId="50" xfId="6" applyFont="1" applyFill="1" applyBorder="1" applyAlignment="1">
      <alignment horizontal="center" vertical="center"/>
    </xf>
    <xf numFmtId="0" fontId="23" fillId="21" borderId="33" xfId="6" applyFont="1" applyFill="1" applyBorder="1" applyAlignment="1">
      <alignment horizontal="center" vertical="center"/>
    </xf>
  </cellXfs>
  <cellStyles count="754">
    <cellStyle name="Calculation" xfId="8" builtinId="22"/>
    <cellStyle name="Comma" xfId="5" builtinId="3"/>
    <cellStyle name="Comma 2" xfId="1" xr:uid="{00000000-0005-0000-0000-000000000000}"/>
    <cellStyle name="Comma 3" xfId="2" xr:uid="{00000000-0005-0000-0000-000001000000}"/>
    <cellStyle name="Explanatory Text" xfId="9" builtinId="53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Followed Hyperlink" xfId="167" builtinId="9" hidden="1"/>
    <cellStyle name="Followed Hyperlink" xfId="169" builtinId="9" hidden="1"/>
    <cellStyle name="Followed Hyperlink" xfId="171" builtinId="9" hidden="1"/>
    <cellStyle name="Followed Hyperlink" xfId="173" builtinId="9" hidden="1"/>
    <cellStyle name="Followed Hyperlink" xfId="175" builtinId="9" hidden="1"/>
    <cellStyle name="Followed Hyperlink" xfId="177" builtinId="9" hidden="1"/>
    <cellStyle name="Followed Hyperlink" xfId="179" builtinId="9" hidden="1"/>
    <cellStyle name="Followed Hyperlink" xfId="181" builtinId="9" hidden="1"/>
    <cellStyle name="Followed Hyperlink" xfId="183" builtinId="9" hidden="1"/>
    <cellStyle name="Followed Hyperlink" xfId="185" builtinId="9" hidden="1"/>
    <cellStyle name="Followed Hyperlink" xfId="187" builtinId="9" hidden="1"/>
    <cellStyle name="Followed Hyperlink" xfId="189" builtinId="9" hidden="1"/>
    <cellStyle name="Followed Hyperlink" xfId="191" builtinId="9" hidden="1"/>
    <cellStyle name="Followed Hyperlink" xfId="193" builtinId="9" hidden="1"/>
    <cellStyle name="Followed Hyperlink" xfId="195" builtinId="9" hidden="1"/>
    <cellStyle name="Followed Hyperlink" xfId="197" builtinId="9" hidden="1"/>
    <cellStyle name="Followed Hyperlink" xfId="199" builtinId="9" hidden="1"/>
    <cellStyle name="Followed Hyperlink" xfId="201" builtinId="9" hidden="1"/>
    <cellStyle name="Followed Hyperlink" xfId="203" builtinId="9" hidden="1"/>
    <cellStyle name="Followed Hyperlink" xfId="205" builtinId="9" hidden="1"/>
    <cellStyle name="Followed Hyperlink" xfId="207" builtinId="9" hidden="1"/>
    <cellStyle name="Followed Hyperlink" xfId="209" builtinId="9" hidden="1"/>
    <cellStyle name="Followed Hyperlink" xfId="211" builtinId="9" hidden="1"/>
    <cellStyle name="Followed Hyperlink" xfId="213" builtinId="9" hidden="1"/>
    <cellStyle name="Followed Hyperlink" xfId="215" builtinId="9" hidden="1"/>
    <cellStyle name="Followed Hyperlink" xfId="217" builtinId="9" hidden="1"/>
    <cellStyle name="Followed Hyperlink" xfId="219" builtinId="9" hidden="1"/>
    <cellStyle name="Followed Hyperlink" xfId="221" builtinId="9" hidden="1"/>
    <cellStyle name="Followed Hyperlink" xfId="223" builtinId="9" hidden="1"/>
    <cellStyle name="Followed Hyperlink" xfId="225" builtinId="9" hidden="1"/>
    <cellStyle name="Followed Hyperlink" xfId="227" builtinId="9" hidden="1"/>
    <cellStyle name="Followed Hyperlink" xfId="229" builtinId="9" hidden="1"/>
    <cellStyle name="Followed Hyperlink" xfId="231" builtinId="9" hidden="1"/>
    <cellStyle name="Followed Hyperlink" xfId="233" builtinId="9" hidden="1"/>
    <cellStyle name="Followed Hyperlink" xfId="235" builtinId="9" hidden="1"/>
    <cellStyle name="Followed Hyperlink" xfId="237" builtinId="9" hidden="1"/>
    <cellStyle name="Followed Hyperlink" xfId="239" builtinId="9" hidden="1"/>
    <cellStyle name="Followed Hyperlink" xfId="241" builtinId="9" hidden="1"/>
    <cellStyle name="Followed Hyperlink" xfId="243" builtinId="9" hidden="1"/>
    <cellStyle name="Followed Hyperlink" xfId="245" builtinId="9" hidden="1"/>
    <cellStyle name="Followed Hyperlink" xfId="247" builtinId="9" hidden="1"/>
    <cellStyle name="Followed Hyperlink" xfId="249" builtinId="9" hidden="1"/>
    <cellStyle name="Followed Hyperlink" xfId="251" builtinId="9" hidden="1"/>
    <cellStyle name="Followed Hyperlink" xfId="253" builtinId="9" hidden="1"/>
    <cellStyle name="Followed Hyperlink" xfId="255" builtinId="9" hidden="1"/>
    <cellStyle name="Followed Hyperlink" xfId="257" builtinId="9" hidden="1"/>
    <cellStyle name="Followed Hyperlink" xfId="259" builtinId="9" hidden="1"/>
    <cellStyle name="Followed Hyperlink" xfId="261" builtinId="9" hidden="1"/>
    <cellStyle name="Followed Hyperlink" xfId="263" builtinId="9" hidden="1"/>
    <cellStyle name="Followed Hyperlink" xfId="265" builtinId="9" hidden="1"/>
    <cellStyle name="Followed Hyperlink" xfId="267" builtinId="9" hidden="1"/>
    <cellStyle name="Followed Hyperlink" xfId="269" builtinId="9" hidden="1"/>
    <cellStyle name="Followed Hyperlink" xfId="271" builtinId="9" hidden="1"/>
    <cellStyle name="Followed Hyperlink" xfId="273" builtinId="9" hidden="1"/>
    <cellStyle name="Followed Hyperlink" xfId="275" builtinId="9" hidden="1"/>
    <cellStyle name="Followed Hyperlink" xfId="277" builtinId="9" hidden="1"/>
    <cellStyle name="Followed Hyperlink" xfId="279" builtinId="9" hidden="1"/>
    <cellStyle name="Followed Hyperlink" xfId="281" builtinId="9" hidden="1"/>
    <cellStyle name="Followed Hyperlink" xfId="283" builtinId="9" hidden="1"/>
    <cellStyle name="Followed Hyperlink" xfId="285" builtinId="9" hidden="1"/>
    <cellStyle name="Followed Hyperlink" xfId="287" builtinId="9" hidden="1"/>
    <cellStyle name="Followed Hyperlink" xfId="289" builtinId="9" hidden="1"/>
    <cellStyle name="Followed Hyperlink" xfId="291" builtinId="9" hidden="1"/>
    <cellStyle name="Followed Hyperlink" xfId="293" builtinId="9" hidden="1"/>
    <cellStyle name="Followed Hyperlink" xfId="295" builtinId="9" hidden="1"/>
    <cellStyle name="Followed Hyperlink" xfId="297" builtinId="9" hidden="1"/>
    <cellStyle name="Followed Hyperlink" xfId="299" builtinId="9" hidden="1"/>
    <cellStyle name="Followed Hyperlink" xfId="301" builtinId="9" hidden="1"/>
    <cellStyle name="Followed Hyperlink" xfId="303" builtinId="9" hidden="1"/>
    <cellStyle name="Followed Hyperlink" xfId="305" builtinId="9" hidden="1"/>
    <cellStyle name="Followed Hyperlink" xfId="307" builtinId="9" hidden="1"/>
    <cellStyle name="Followed Hyperlink" xfId="309" builtinId="9" hidden="1"/>
    <cellStyle name="Followed Hyperlink" xfId="311" builtinId="9" hidden="1"/>
    <cellStyle name="Followed Hyperlink" xfId="313" builtinId="9" hidden="1"/>
    <cellStyle name="Followed Hyperlink" xfId="315" builtinId="9" hidden="1"/>
    <cellStyle name="Followed Hyperlink" xfId="317" builtinId="9" hidden="1"/>
    <cellStyle name="Followed Hyperlink" xfId="319" builtinId="9" hidden="1"/>
    <cellStyle name="Followed Hyperlink" xfId="321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Followed Hyperlink" xfId="514" builtinId="9" hidden="1"/>
    <cellStyle name="Followed Hyperlink" xfId="516" builtinId="9" hidden="1"/>
    <cellStyle name="Followed Hyperlink" xfId="518" builtinId="9" hidden="1"/>
    <cellStyle name="Followed Hyperlink" xfId="520" builtinId="9" hidden="1"/>
    <cellStyle name="Followed Hyperlink" xfId="522" builtinId="9" hidden="1"/>
    <cellStyle name="Followed Hyperlink" xfId="524" builtinId="9" hidden="1"/>
    <cellStyle name="Followed Hyperlink" xfId="526" builtinId="9" hidden="1"/>
    <cellStyle name="Followed Hyperlink" xfId="528" builtinId="9" hidden="1"/>
    <cellStyle name="Followed Hyperlink" xfId="530" builtinId="9" hidden="1"/>
    <cellStyle name="Followed Hyperlink" xfId="532" builtinId="9" hidden="1"/>
    <cellStyle name="Followed Hyperlink" xfId="534" builtinId="9" hidden="1"/>
    <cellStyle name="Followed Hyperlink" xfId="536" builtinId="9" hidden="1"/>
    <cellStyle name="Followed Hyperlink" xfId="538" builtinId="9" hidden="1"/>
    <cellStyle name="Followed Hyperlink" xfId="540" builtinId="9" hidden="1"/>
    <cellStyle name="Followed Hyperlink" xfId="542" builtinId="9" hidden="1"/>
    <cellStyle name="Followed Hyperlink" xfId="544" builtinId="9" hidden="1"/>
    <cellStyle name="Followed Hyperlink" xfId="546" builtinId="9" hidden="1"/>
    <cellStyle name="Followed Hyperlink" xfId="548" builtinId="9" hidden="1"/>
    <cellStyle name="Followed Hyperlink" xfId="550" builtinId="9" hidden="1"/>
    <cellStyle name="Followed Hyperlink" xfId="552" builtinId="9" hidden="1"/>
    <cellStyle name="Followed Hyperlink" xfId="554" builtinId="9" hidden="1"/>
    <cellStyle name="Followed Hyperlink" xfId="556" builtinId="9" hidden="1"/>
    <cellStyle name="Followed Hyperlink" xfId="558" builtinId="9" hidden="1"/>
    <cellStyle name="Followed Hyperlink" xfId="560" builtinId="9" hidden="1"/>
    <cellStyle name="Followed Hyperlink" xfId="562" builtinId="9" hidden="1"/>
    <cellStyle name="Followed Hyperlink" xfId="564" builtinId="9" hidden="1"/>
    <cellStyle name="Followed Hyperlink" xfId="566" builtinId="9" hidden="1"/>
    <cellStyle name="Followed Hyperlink" xfId="568" builtinId="9" hidden="1"/>
    <cellStyle name="Followed Hyperlink" xfId="570" builtinId="9" hidden="1"/>
    <cellStyle name="Followed Hyperlink" xfId="572" builtinId="9" hidden="1"/>
    <cellStyle name="Followed Hyperlink" xfId="574" builtinId="9" hidden="1"/>
    <cellStyle name="Followed Hyperlink" xfId="576" builtinId="9" hidden="1"/>
    <cellStyle name="Followed Hyperlink" xfId="578" builtinId="9" hidden="1"/>
    <cellStyle name="Followed Hyperlink" xfId="580" builtinId="9" hidden="1"/>
    <cellStyle name="Followed Hyperlink" xfId="581" builtinId="9" hidden="1"/>
    <cellStyle name="Followed Hyperlink" xfId="582" builtinId="9" hidden="1"/>
    <cellStyle name="Followed Hyperlink" xfId="583" builtinId="9" hidden="1"/>
    <cellStyle name="Followed Hyperlink" xfId="584" builtinId="9" hidden="1"/>
    <cellStyle name="Followed Hyperlink" xfId="585" builtinId="9" hidden="1"/>
    <cellStyle name="Followed Hyperlink" xfId="586" builtinId="9" hidden="1"/>
    <cellStyle name="Followed Hyperlink" xfId="587" builtinId="9" hidden="1"/>
    <cellStyle name="Followed Hyperlink" xfId="588" builtinId="9" hidden="1"/>
    <cellStyle name="Followed Hyperlink" xfId="589" builtinId="9" hidden="1"/>
    <cellStyle name="Followed Hyperlink" xfId="590" builtinId="9" hidden="1"/>
    <cellStyle name="Followed Hyperlink" xfId="591" builtinId="9" hidden="1"/>
    <cellStyle name="Followed Hyperlink" xfId="592" builtinId="9" hidden="1"/>
    <cellStyle name="Followed Hyperlink" xfId="593" builtinId="9" hidden="1"/>
    <cellStyle name="Followed Hyperlink" xfId="594" builtinId="9" hidden="1"/>
    <cellStyle name="Followed Hyperlink" xfId="595" builtinId="9" hidden="1"/>
    <cellStyle name="Followed Hyperlink" xfId="596" builtinId="9" hidden="1"/>
    <cellStyle name="Followed Hyperlink" xfId="597" builtinId="9" hidden="1"/>
    <cellStyle name="Followed Hyperlink" xfId="598" builtinId="9" hidden="1"/>
    <cellStyle name="Followed Hyperlink" xfId="599" builtinId="9" hidden="1"/>
    <cellStyle name="Followed Hyperlink" xfId="600" builtinId="9" hidden="1"/>
    <cellStyle name="Followed Hyperlink" xfId="601" builtinId="9" hidden="1"/>
    <cellStyle name="Followed Hyperlink" xfId="602" builtinId="9" hidden="1"/>
    <cellStyle name="Followed Hyperlink" xfId="603" builtinId="9" hidden="1"/>
    <cellStyle name="Followed Hyperlink" xfId="604" builtinId="9" hidden="1"/>
    <cellStyle name="Followed Hyperlink" xfId="605" builtinId="9" hidden="1"/>
    <cellStyle name="Followed Hyperlink" xfId="606" builtinId="9" hidden="1"/>
    <cellStyle name="Followed Hyperlink" xfId="607" builtinId="9" hidden="1"/>
    <cellStyle name="Followed Hyperlink" xfId="608" builtinId="9" hidden="1"/>
    <cellStyle name="Followed Hyperlink" xfId="609" builtinId="9" hidden="1"/>
    <cellStyle name="Followed Hyperlink" xfId="610" builtinId="9" hidden="1"/>
    <cellStyle name="Followed Hyperlink" xfId="611" builtinId="9" hidden="1"/>
    <cellStyle name="Followed Hyperlink" xfId="612" builtinId="9" hidden="1"/>
    <cellStyle name="Followed Hyperlink" xfId="613" builtinId="9" hidden="1"/>
    <cellStyle name="Followed Hyperlink" xfId="614" builtinId="9" hidden="1"/>
    <cellStyle name="Followed Hyperlink" xfId="615" builtinId="9" hidden="1"/>
    <cellStyle name="Followed Hyperlink" xfId="616" builtinId="9" hidden="1"/>
    <cellStyle name="Followed Hyperlink" xfId="617" builtinId="9" hidden="1"/>
    <cellStyle name="Followed Hyperlink" xfId="618" builtinId="9" hidden="1"/>
    <cellStyle name="Followed Hyperlink" xfId="619" builtinId="9" hidden="1"/>
    <cellStyle name="Followed Hyperlink" xfId="620" builtinId="9" hidden="1"/>
    <cellStyle name="Followed Hyperlink" xfId="621" builtinId="9" hidden="1"/>
    <cellStyle name="Followed Hyperlink" xfId="622" builtinId="9" hidden="1"/>
    <cellStyle name="Followed Hyperlink" xfId="623" builtinId="9" hidden="1"/>
    <cellStyle name="Followed Hyperlink" xfId="624" builtinId="9" hidden="1"/>
    <cellStyle name="Followed Hyperlink" xfId="625" builtinId="9" hidden="1"/>
    <cellStyle name="Followed Hyperlink" xfId="626" builtinId="9" hidden="1"/>
    <cellStyle name="Followed Hyperlink" xfId="627" builtinId="9" hidden="1"/>
    <cellStyle name="Followed Hyperlink" xfId="628" builtinId="9" hidden="1"/>
    <cellStyle name="Followed Hyperlink" xfId="629" builtinId="9" hidden="1"/>
    <cellStyle name="Followed Hyperlink" xfId="630" builtinId="9" hidden="1"/>
    <cellStyle name="Followed Hyperlink" xfId="631" builtinId="9" hidden="1"/>
    <cellStyle name="Followed Hyperlink" xfId="632" builtinId="9" hidden="1"/>
    <cellStyle name="Followed Hyperlink" xfId="633" builtinId="9" hidden="1"/>
    <cellStyle name="Followed Hyperlink" xfId="634" builtinId="9" hidden="1"/>
    <cellStyle name="Followed Hyperlink" xfId="635" builtinId="9" hidden="1"/>
    <cellStyle name="Followed Hyperlink" xfId="636" builtinId="9" hidden="1"/>
    <cellStyle name="Followed Hyperlink" xfId="637" builtinId="9" hidden="1"/>
    <cellStyle name="Followed Hyperlink" xfId="638" builtinId="9" hidden="1"/>
    <cellStyle name="Followed Hyperlink" xfId="639" builtinId="9" hidden="1"/>
    <cellStyle name="Followed Hyperlink" xfId="640" builtinId="9" hidden="1"/>
    <cellStyle name="Followed Hyperlink" xfId="641" builtinId="9" hidden="1"/>
    <cellStyle name="Followed Hyperlink" xfId="642" builtinId="9" hidden="1"/>
    <cellStyle name="Followed Hyperlink" xfId="643" builtinId="9" hidden="1"/>
    <cellStyle name="Followed Hyperlink" xfId="644" builtinId="9" hidden="1"/>
    <cellStyle name="Followed Hyperlink" xfId="645" builtinId="9" hidden="1"/>
    <cellStyle name="Followed Hyperlink" xfId="646" builtinId="9" hidden="1"/>
    <cellStyle name="Followed Hyperlink" xfId="647" builtinId="9" hidden="1"/>
    <cellStyle name="Followed Hyperlink" xfId="648" builtinId="9" hidden="1"/>
    <cellStyle name="Followed Hyperlink" xfId="649" builtinId="9" hidden="1"/>
    <cellStyle name="Followed Hyperlink" xfId="650" builtinId="9" hidden="1"/>
    <cellStyle name="Followed Hyperlink" xfId="651" builtinId="9" hidden="1"/>
    <cellStyle name="Followed Hyperlink" xfId="652" builtinId="9" hidden="1"/>
    <cellStyle name="Followed Hyperlink" xfId="653" builtinId="9" hidden="1"/>
    <cellStyle name="Followed Hyperlink" xfId="654" builtinId="9" hidden="1"/>
    <cellStyle name="Followed Hyperlink" xfId="655" builtinId="9" hidden="1"/>
    <cellStyle name="Followed Hyperlink" xfId="656" builtinId="9" hidden="1"/>
    <cellStyle name="Followed Hyperlink" xfId="657" builtinId="9" hidden="1"/>
    <cellStyle name="Followed Hyperlink" xfId="658" builtinId="9" hidden="1"/>
    <cellStyle name="Followed Hyperlink" xfId="659" builtinId="9" hidden="1"/>
    <cellStyle name="Followed Hyperlink" xfId="660" builtinId="9" hidden="1"/>
    <cellStyle name="Followed Hyperlink" xfId="661" builtinId="9" hidden="1"/>
    <cellStyle name="Followed Hyperlink" xfId="662" builtinId="9" hidden="1"/>
    <cellStyle name="Followed Hyperlink" xfId="663" builtinId="9" hidden="1"/>
    <cellStyle name="Followed Hyperlink" xfId="664" builtinId="9" hidden="1"/>
    <cellStyle name="Followed Hyperlink" xfId="665" builtinId="9" hidden="1"/>
    <cellStyle name="Followed Hyperlink" xfId="666" builtinId="9" hidden="1"/>
    <cellStyle name="Followed Hyperlink" xfId="667" builtinId="9" hidden="1"/>
    <cellStyle name="Followed Hyperlink" xfId="668" builtinId="9" hidden="1"/>
    <cellStyle name="Followed Hyperlink" xfId="669" builtinId="9" hidden="1"/>
    <cellStyle name="Followed Hyperlink" xfId="670" builtinId="9" hidden="1"/>
    <cellStyle name="Followed Hyperlink" xfId="671" builtinId="9" hidden="1"/>
    <cellStyle name="Followed Hyperlink" xfId="672" builtinId="9" hidden="1"/>
    <cellStyle name="Followed Hyperlink" xfId="673" builtinId="9" hidden="1"/>
    <cellStyle name="Followed Hyperlink" xfId="674" builtinId="9" hidden="1"/>
    <cellStyle name="Followed Hyperlink" xfId="675" builtinId="9" hidden="1"/>
    <cellStyle name="Followed Hyperlink" xfId="676" builtinId="9" hidden="1"/>
    <cellStyle name="Followed Hyperlink" xfId="677" builtinId="9" hidden="1"/>
    <cellStyle name="Followed Hyperlink" xfId="678" builtinId="9" hidden="1"/>
    <cellStyle name="Followed Hyperlink" xfId="679" builtinId="9" hidden="1"/>
    <cellStyle name="Followed Hyperlink" xfId="680" builtinId="9" hidden="1"/>
    <cellStyle name="Followed Hyperlink" xfId="681" builtinId="9" hidden="1"/>
    <cellStyle name="Followed Hyperlink" xfId="682" builtinId="9" hidden="1"/>
    <cellStyle name="Followed Hyperlink" xfId="683" builtinId="9" hidden="1"/>
    <cellStyle name="Followed Hyperlink" xfId="685" builtinId="9" hidden="1"/>
    <cellStyle name="Followed Hyperlink" xfId="686" builtinId="9" hidden="1"/>
    <cellStyle name="Followed Hyperlink" xfId="687" builtinId="9" hidden="1"/>
    <cellStyle name="Followed Hyperlink" xfId="688" builtinId="9" hidden="1"/>
    <cellStyle name="Followed Hyperlink" xfId="689" builtinId="9" hidden="1"/>
    <cellStyle name="Followed Hyperlink" xfId="691" builtinId="9" hidden="1"/>
    <cellStyle name="Followed Hyperlink" xfId="692" builtinId="9" hidden="1"/>
    <cellStyle name="Followed Hyperlink" xfId="693" builtinId="9" hidden="1"/>
    <cellStyle name="Followed Hyperlink" xfId="694" builtinId="9" hidden="1"/>
    <cellStyle name="Followed Hyperlink" xfId="695" builtinId="9" hidden="1"/>
    <cellStyle name="Followed Hyperlink" xfId="696" builtinId="9" hidden="1"/>
    <cellStyle name="Followed Hyperlink" xfId="697" builtinId="9" hidden="1"/>
    <cellStyle name="Followed Hyperlink" xfId="698" builtinId="9" hidden="1"/>
    <cellStyle name="Followed Hyperlink" xfId="699" builtinId="9" hidden="1"/>
    <cellStyle name="Followed Hyperlink" xfId="700" builtinId="9" hidden="1"/>
    <cellStyle name="Followed Hyperlink" xfId="701" builtinId="9" hidden="1"/>
    <cellStyle name="Followed Hyperlink" xfId="702" builtinId="9" hidden="1"/>
    <cellStyle name="Followed Hyperlink" xfId="703" builtinId="9" hidden="1"/>
    <cellStyle name="Followed Hyperlink" xfId="704" builtinId="9" hidden="1"/>
    <cellStyle name="Followed Hyperlink" xfId="705" builtinId="9" hidden="1"/>
    <cellStyle name="Followed Hyperlink" xfId="706" builtinId="9" hidden="1"/>
    <cellStyle name="Followed Hyperlink" xfId="707" builtinId="9" hidden="1"/>
    <cellStyle name="Followed Hyperlink" xfId="708" builtinId="9" hidden="1"/>
    <cellStyle name="Followed Hyperlink" xfId="709" builtinId="9" hidden="1"/>
    <cellStyle name="Followed Hyperlink" xfId="710" builtinId="9" hidden="1"/>
    <cellStyle name="Followed Hyperlink" xfId="711" builtinId="9" hidden="1"/>
    <cellStyle name="Followed Hyperlink" xfId="712" builtinId="9" hidden="1"/>
    <cellStyle name="Followed Hyperlink" xfId="713" builtinId="9" hidden="1"/>
    <cellStyle name="Followed Hyperlink" xfId="714" builtinId="9" hidden="1"/>
    <cellStyle name="Followed Hyperlink" xfId="715" builtinId="9" hidden="1"/>
    <cellStyle name="Followed Hyperlink" xfId="716" builtinId="9" hidden="1"/>
    <cellStyle name="Followed Hyperlink" xfId="717" builtinId="9" hidden="1"/>
    <cellStyle name="Followed Hyperlink" xfId="718" builtinId="9" hidden="1"/>
    <cellStyle name="Followed Hyperlink" xfId="719" builtinId="9" hidden="1"/>
    <cellStyle name="Followed Hyperlink" xfId="720" builtinId="9" hidden="1"/>
    <cellStyle name="Followed Hyperlink" xfId="721" builtinId="9" hidden="1"/>
    <cellStyle name="Followed Hyperlink" xfId="722" builtinId="9" hidden="1"/>
    <cellStyle name="Followed Hyperlink" xfId="723" builtinId="9" hidden="1"/>
    <cellStyle name="Followed Hyperlink" xfId="724" builtinId="9" hidden="1"/>
    <cellStyle name="Followed Hyperlink" xfId="725" builtinId="9" hidden="1"/>
    <cellStyle name="Followed Hyperlink" xfId="726" builtinId="9" hidden="1"/>
    <cellStyle name="Followed Hyperlink" xfId="727" builtinId="9" hidden="1"/>
    <cellStyle name="Followed Hyperlink" xfId="728" builtinId="9" hidden="1"/>
    <cellStyle name="Followed Hyperlink" xfId="729" builtinId="9" hidden="1"/>
    <cellStyle name="Followed Hyperlink" xfId="730" builtinId="9" hidden="1"/>
    <cellStyle name="Followed Hyperlink" xfId="731" builtinId="9" hidden="1"/>
    <cellStyle name="Followed Hyperlink" xfId="732" builtinId="9" hidden="1"/>
    <cellStyle name="Followed Hyperlink" xfId="733" builtinId="9" hidden="1"/>
    <cellStyle name="Followed Hyperlink" xfId="734" builtinId="9" hidden="1"/>
    <cellStyle name="Followed Hyperlink" xfId="735" builtinId="9" hidden="1"/>
    <cellStyle name="Followed Hyperlink" xfId="736" builtinId="9" hidden="1"/>
    <cellStyle name="Followed Hyperlink" xfId="737" builtinId="9" hidden="1"/>
    <cellStyle name="Followed Hyperlink" xfId="738" builtinId="9" hidden="1"/>
    <cellStyle name="Followed Hyperlink" xfId="739" builtinId="9" hidden="1"/>
    <cellStyle name="Followed Hyperlink" xfId="740" builtinId="9" hidden="1"/>
    <cellStyle name="Followed Hyperlink" xfId="741" builtinId="9" hidden="1"/>
    <cellStyle name="Followed Hyperlink" xfId="742" builtinId="9" hidden="1"/>
    <cellStyle name="Followed Hyperlink" xfId="743" builtinId="9" hidden="1"/>
    <cellStyle name="Followed Hyperlink" xfId="745" builtinId="9" hidden="1"/>
    <cellStyle name="Followed Hyperlink" xfId="746" builtinId="9" hidden="1"/>
    <cellStyle name="Followed Hyperlink" xfId="747" builtinId="9" hidden="1"/>
    <cellStyle name="Followed Hyperlink" xfId="748" builtinId="9" hidden="1"/>
    <cellStyle name="Followed Hyperlink" xfId="749" builtinId="9" hidden="1"/>
    <cellStyle name="Followed Hyperlink" xfId="750" builtinId="9" hidden="1"/>
    <cellStyle name="Followed Hyperlink" xfId="751" builtinId="9" hidden="1"/>
    <cellStyle name="Followed Hyperlink" xfId="752" builtinId="9" hidden="1"/>
    <cellStyle name="Followed Hyperlink" xfId="753" builtinId="9" hidden="1"/>
    <cellStyle name="Heading 1" xfId="322" builtinId="16"/>
    <cellStyle name="Heading 2" xfId="323" builtinId="17"/>
    <cellStyle name="Heading 3" xfId="324" builtinId="18"/>
    <cellStyle name="Heading 4" xfId="325" builtinId="19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Hyperlink" xfId="194" builtinId="8" hidden="1"/>
    <cellStyle name="Hyperlink" xfId="196" builtinId="8" hidden="1"/>
    <cellStyle name="Hyperlink" xfId="198" builtinId="8" hidden="1"/>
    <cellStyle name="Hyperlink" xfId="200" builtinId="8" hidden="1"/>
    <cellStyle name="Hyperlink" xfId="202" builtinId="8" hidden="1"/>
    <cellStyle name="Hyperlink" xfId="204" builtinId="8" hidden="1"/>
    <cellStyle name="Hyperlink" xfId="206" builtinId="8" hidden="1"/>
    <cellStyle name="Hyperlink" xfId="208" builtinId="8" hidden="1"/>
    <cellStyle name="Hyperlink" xfId="210" builtinId="8" hidden="1"/>
    <cellStyle name="Hyperlink" xfId="212" builtinId="8" hidden="1"/>
    <cellStyle name="Hyperlink" xfId="214" builtinId="8" hidden="1"/>
    <cellStyle name="Hyperlink" xfId="216" builtinId="8" hidden="1"/>
    <cellStyle name="Hyperlink" xfId="218" builtinId="8" hidden="1"/>
    <cellStyle name="Hyperlink" xfId="220" builtinId="8" hidden="1"/>
    <cellStyle name="Hyperlink" xfId="222" builtinId="8" hidden="1"/>
    <cellStyle name="Hyperlink" xfId="224" builtinId="8" hidden="1"/>
    <cellStyle name="Hyperlink" xfId="226" builtinId="8" hidden="1"/>
    <cellStyle name="Hyperlink" xfId="228" builtinId="8" hidden="1"/>
    <cellStyle name="Hyperlink" xfId="230" builtinId="8" hidden="1"/>
    <cellStyle name="Hyperlink" xfId="232" builtinId="8" hidden="1"/>
    <cellStyle name="Hyperlink" xfId="234" builtinId="8" hidden="1"/>
    <cellStyle name="Hyperlink" xfId="236" builtinId="8" hidden="1"/>
    <cellStyle name="Hyperlink" xfId="238" builtinId="8" hidden="1"/>
    <cellStyle name="Hyperlink" xfId="240" builtinId="8" hidden="1"/>
    <cellStyle name="Hyperlink" xfId="242" builtinId="8" hidden="1"/>
    <cellStyle name="Hyperlink" xfId="244" builtinId="8" hidden="1"/>
    <cellStyle name="Hyperlink" xfId="246" builtinId="8" hidden="1"/>
    <cellStyle name="Hyperlink" xfId="248" builtinId="8" hidden="1"/>
    <cellStyle name="Hyperlink" xfId="250" builtinId="8" hidden="1"/>
    <cellStyle name="Hyperlink" xfId="252" builtinId="8" hidden="1"/>
    <cellStyle name="Hyperlink" xfId="254" builtinId="8" hidden="1"/>
    <cellStyle name="Hyperlink" xfId="256" builtinId="8" hidden="1"/>
    <cellStyle name="Hyperlink" xfId="258" builtinId="8" hidden="1"/>
    <cellStyle name="Hyperlink" xfId="260" builtinId="8" hidden="1"/>
    <cellStyle name="Hyperlink" xfId="262" builtinId="8" hidden="1"/>
    <cellStyle name="Hyperlink" xfId="264" builtinId="8" hidden="1"/>
    <cellStyle name="Hyperlink" xfId="266" builtinId="8" hidden="1"/>
    <cellStyle name="Hyperlink" xfId="268" builtinId="8" hidden="1"/>
    <cellStyle name="Hyperlink" xfId="270" builtinId="8" hidden="1"/>
    <cellStyle name="Hyperlink" xfId="272" builtinId="8" hidden="1"/>
    <cellStyle name="Hyperlink" xfId="274" builtinId="8" hidden="1"/>
    <cellStyle name="Hyperlink" xfId="276" builtinId="8" hidden="1"/>
    <cellStyle name="Hyperlink" xfId="278" builtinId="8" hidden="1"/>
    <cellStyle name="Hyperlink" xfId="280" builtinId="8" hidden="1"/>
    <cellStyle name="Hyperlink" xfId="282" builtinId="8" hidden="1"/>
    <cellStyle name="Hyperlink" xfId="284" builtinId="8" hidden="1"/>
    <cellStyle name="Hyperlink" xfId="286" builtinId="8" hidden="1"/>
    <cellStyle name="Hyperlink" xfId="288" builtinId="8" hidden="1"/>
    <cellStyle name="Hyperlink" xfId="290" builtinId="8" hidden="1"/>
    <cellStyle name="Hyperlink" xfId="292" builtinId="8" hidden="1"/>
    <cellStyle name="Hyperlink" xfId="294" builtinId="8" hidden="1"/>
    <cellStyle name="Hyperlink" xfId="296" builtinId="8" hidden="1"/>
    <cellStyle name="Hyperlink" xfId="298" builtinId="8" hidden="1"/>
    <cellStyle name="Hyperlink" xfId="300" builtinId="8" hidden="1"/>
    <cellStyle name="Hyperlink" xfId="302" builtinId="8" hidden="1"/>
    <cellStyle name="Hyperlink" xfId="304" builtinId="8" hidden="1"/>
    <cellStyle name="Hyperlink" xfId="306" builtinId="8" hidden="1"/>
    <cellStyle name="Hyperlink" xfId="308" builtinId="8" hidden="1"/>
    <cellStyle name="Hyperlink" xfId="310" builtinId="8" hidden="1"/>
    <cellStyle name="Hyperlink" xfId="312" builtinId="8" hidden="1"/>
    <cellStyle name="Hyperlink" xfId="314" builtinId="8" hidden="1"/>
    <cellStyle name="Hyperlink" xfId="316" builtinId="8" hidden="1"/>
    <cellStyle name="Hyperlink" xfId="318" builtinId="8" hidden="1"/>
    <cellStyle name="Hyperlink" xfId="320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684" builtinId="8"/>
    <cellStyle name="Hyperlink 2" xfId="744" xr:uid="{00000000-0005-0000-0000-000002000000}"/>
    <cellStyle name="Input" xfId="6" builtinId="20"/>
    <cellStyle name="Linked Cell" xfId="326" builtinId="24"/>
    <cellStyle name="Normal" xfId="0" builtinId="0"/>
    <cellStyle name="Normal 2" xfId="3" xr:uid="{00000000-0005-0000-0000-000003000000}"/>
    <cellStyle name="Normal 3" xfId="4" xr:uid="{00000000-0005-0000-0000-000004000000}"/>
    <cellStyle name="Normal 5" xfId="579" xr:uid="{00000000-0005-0000-0000-000005000000}"/>
    <cellStyle name="Output" xfId="7" builtinId="21"/>
    <cellStyle name="Percent" xfId="690" builtinId="5"/>
  </cellStyles>
  <dxfs count="6"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4:D9" totalsRowShown="0" headerRowDxfId="5" dataDxfId="4">
  <autoFilter ref="A4:D9" xr:uid="{00000000-0009-0000-0100-000001000000}"/>
  <tableColumns count="4">
    <tableColumn id="1" xr3:uid="{00000000-0010-0000-0000-000001000000}" name="No" dataDxfId="3"/>
    <tableColumn id="2" xr3:uid="{00000000-0010-0000-0000-000002000000}" name="Parameter" dataDxfId="2"/>
    <tableColumn id="3" xr3:uid="{00000000-0010-0000-0000-000003000000}" name="Value" dataDxfId="1"/>
    <tableColumn id="4" xr3:uid="{00000000-0010-0000-0000-000004000000}" name="Unit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://www.wapda.gov.pk/htmls/pgeneration-salient.html" TargetMode="External"/><Relationship Id="rId13" Type="http://schemas.openxmlformats.org/officeDocument/2006/relationships/hyperlink" Target="http://www.ppib.gov.pk/N_commissioned_ipps.htm" TargetMode="External"/><Relationship Id="rId18" Type="http://schemas.openxmlformats.org/officeDocument/2006/relationships/vmlDrawing" Target="../drawings/vmlDrawing6.vml"/><Relationship Id="rId3" Type="http://schemas.openxmlformats.org/officeDocument/2006/relationships/hyperlink" Target="http://www.wapda.gov.pk/htmls/pgeneration-salient.html" TargetMode="External"/><Relationship Id="rId7" Type="http://schemas.openxmlformats.org/officeDocument/2006/relationships/hyperlink" Target="http://www.wapda.gov.pk/htmls/pgeneration-salient.html" TargetMode="External"/><Relationship Id="rId12" Type="http://schemas.openxmlformats.org/officeDocument/2006/relationships/hyperlink" Target="http://www.investinpakistan.pk/pdf/Power.pdf" TargetMode="External"/><Relationship Id="rId17" Type="http://schemas.openxmlformats.org/officeDocument/2006/relationships/hyperlink" Target="http://www.ppib.gov.pk/N_commissioned_ipps.htm" TargetMode="External"/><Relationship Id="rId2" Type="http://schemas.openxmlformats.org/officeDocument/2006/relationships/hyperlink" Target="http://www.wapda.gov.pk/htmls/pgeneration-salient.html" TargetMode="External"/><Relationship Id="rId16" Type="http://schemas.openxmlformats.org/officeDocument/2006/relationships/hyperlink" Target="http://www.ppib.gov.pk/N_commissioned_ipps.htm" TargetMode="External"/><Relationship Id="rId1" Type="http://schemas.openxmlformats.org/officeDocument/2006/relationships/hyperlink" Target="http://www.wapda.gov.pk/htmls/pgeneration-salient.html" TargetMode="External"/><Relationship Id="rId6" Type="http://schemas.openxmlformats.org/officeDocument/2006/relationships/hyperlink" Target="http://www.wapda.gov.pk/htmls/pgeneration-salient.html" TargetMode="External"/><Relationship Id="rId11" Type="http://schemas.openxmlformats.org/officeDocument/2006/relationships/hyperlink" Target="http://www.wapda.gov.pk/htmls/pgeneration-salient.html" TargetMode="External"/><Relationship Id="rId5" Type="http://schemas.openxmlformats.org/officeDocument/2006/relationships/hyperlink" Target="http://www.wapda.gov.pk/htmls/pgeneration-salient.html" TargetMode="External"/><Relationship Id="rId15" Type="http://schemas.openxmlformats.org/officeDocument/2006/relationships/hyperlink" Target="http://www.ppib.gov.pk/N_commissioned_ipps.htm" TargetMode="External"/><Relationship Id="rId10" Type="http://schemas.openxmlformats.org/officeDocument/2006/relationships/hyperlink" Target="http://www.wapda.gov.pk/htmls/pgeneration-salient.html" TargetMode="External"/><Relationship Id="rId19" Type="http://schemas.openxmlformats.org/officeDocument/2006/relationships/comments" Target="../comments6.xml"/><Relationship Id="rId4" Type="http://schemas.openxmlformats.org/officeDocument/2006/relationships/hyperlink" Target="http://www.wapda.gov.pk/htmls/pgeneration-salient.html" TargetMode="External"/><Relationship Id="rId9" Type="http://schemas.openxmlformats.org/officeDocument/2006/relationships/hyperlink" Target="http://www.wapda.gov.pk/htmls/pgeneration-salient.html" TargetMode="External"/><Relationship Id="rId14" Type="http://schemas.openxmlformats.org/officeDocument/2006/relationships/hyperlink" Target="http://en.wikipedia.org/wiki/Chashma_Nuclear_Power_Complex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hyperlink" Target="http://www.wapda.gov.pk/htmls/pgeneration-salient.html" TargetMode="External"/><Relationship Id="rId13" Type="http://schemas.openxmlformats.org/officeDocument/2006/relationships/hyperlink" Target="http://www.ppib.gov.pk/N_commissioned_ipps.htm" TargetMode="External"/><Relationship Id="rId18" Type="http://schemas.openxmlformats.org/officeDocument/2006/relationships/hyperlink" Target="http://www.ppib.gov.pk/N_commissioned_ipps.htm" TargetMode="External"/><Relationship Id="rId3" Type="http://schemas.openxmlformats.org/officeDocument/2006/relationships/hyperlink" Target="http://www.wapda.gov.pk/htmls/pgeneration-salient.html" TargetMode="External"/><Relationship Id="rId21" Type="http://schemas.openxmlformats.org/officeDocument/2006/relationships/comments" Target="../comments9.xml"/><Relationship Id="rId7" Type="http://schemas.openxmlformats.org/officeDocument/2006/relationships/hyperlink" Target="http://www.wapda.gov.pk/htmls/pgeneration-salient.html" TargetMode="External"/><Relationship Id="rId12" Type="http://schemas.openxmlformats.org/officeDocument/2006/relationships/hyperlink" Target="http://www.investinpakistan.pk/pdf/Power.pdf" TargetMode="External"/><Relationship Id="rId17" Type="http://schemas.openxmlformats.org/officeDocument/2006/relationships/hyperlink" Target="http://www.ppib.gov.pk/N_commissioned_ipps.htm" TargetMode="External"/><Relationship Id="rId2" Type="http://schemas.openxmlformats.org/officeDocument/2006/relationships/hyperlink" Target="http://www.wapda.gov.pk/htmls/pgeneration-salient.html" TargetMode="External"/><Relationship Id="rId16" Type="http://schemas.openxmlformats.org/officeDocument/2006/relationships/hyperlink" Target="http://www.ppib.gov.pk/N_commissioned_ipps.htm" TargetMode="External"/><Relationship Id="rId20" Type="http://schemas.openxmlformats.org/officeDocument/2006/relationships/vmlDrawing" Target="../drawings/vmlDrawing9.vml"/><Relationship Id="rId1" Type="http://schemas.openxmlformats.org/officeDocument/2006/relationships/hyperlink" Target="http://www.wapda.gov.pk/htmls/pgeneration-salient.html" TargetMode="External"/><Relationship Id="rId6" Type="http://schemas.openxmlformats.org/officeDocument/2006/relationships/hyperlink" Target="http://www.wapda.gov.pk/htmls/pgeneration-salient.html" TargetMode="External"/><Relationship Id="rId11" Type="http://schemas.openxmlformats.org/officeDocument/2006/relationships/hyperlink" Target="http://www.wapda.gov.pk/htmls/pgeneration-salient.html" TargetMode="External"/><Relationship Id="rId5" Type="http://schemas.openxmlformats.org/officeDocument/2006/relationships/hyperlink" Target="http://www.wapda.gov.pk/htmls/pgeneration-salient.html" TargetMode="External"/><Relationship Id="rId15" Type="http://schemas.openxmlformats.org/officeDocument/2006/relationships/hyperlink" Target="http://www.ppib.gov.pk/N_commissioned_ipps.htm" TargetMode="External"/><Relationship Id="rId10" Type="http://schemas.openxmlformats.org/officeDocument/2006/relationships/hyperlink" Target="http://www.wapda.gov.pk/htmls/pgeneration-salient.html" TargetMode="External"/><Relationship Id="rId19" Type="http://schemas.openxmlformats.org/officeDocument/2006/relationships/hyperlink" Target="http://cpec.gov.pk/project-details/2" TargetMode="External"/><Relationship Id="rId4" Type="http://schemas.openxmlformats.org/officeDocument/2006/relationships/hyperlink" Target="http://www.wapda.gov.pk/htmls/pgeneration-salient.html" TargetMode="External"/><Relationship Id="rId9" Type="http://schemas.openxmlformats.org/officeDocument/2006/relationships/hyperlink" Target="http://www.wapda.gov.pk/htmls/pgeneration-salient.html" TargetMode="External"/><Relationship Id="rId14" Type="http://schemas.openxmlformats.org/officeDocument/2006/relationships/hyperlink" Target="http://en.wikipedia.org/wiki/Chashma_Nuclear_Power_Complex" TargetMode="Externa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hyperlink" Target="http://www.wapda.gov.pk/htmls/pgeneration-salient.html" TargetMode="External"/><Relationship Id="rId13" Type="http://schemas.openxmlformats.org/officeDocument/2006/relationships/hyperlink" Target="http://www.ppib.gov.pk/N_commissioned_ipps.htm" TargetMode="External"/><Relationship Id="rId18" Type="http://schemas.openxmlformats.org/officeDocument/2006/relationships/hyperlink" Target="http://www.ppib.gov.pk/N_commissioned_ipps.htm" TargetMode="External"/><Relationship Id="rId3" Type="http://schemas.openxmlformats.org/officeDocument/2006/relationships/hyperlink" Target="http://www.wapda.gov.pk/htmls/pgeneration-salient.html" TargetMode="External"/><Relationship Id="rId21" Type="http://schemas.openxmlformats.org/officeDocument/2006/relationships/vmlDrawing" Target="../drawings/vmlDrawing10.vml"/><Relationship Id="rId7" Type="http://schemas.openxmlformats.org/officeDocument/2006/relationships/hyperlink" Target="http://www.wapda.gov.pk/htmls/pgeneration-salient.html" TargetMode="External"/><Relationship Id="rId12" Type="http://schemas.openxmlformats.org/officeDocument/2006/relationships/hyperlink" Target="http://www.investinpakistan.pk/pdf/Power.pdf" TargetMode="External"/><Relationship Id="rId17" Type="http://schemas.openxmlformats.org/officeDocument/2006/relationships/hyperlink" Target="http://www.ppib.gov.pk/N_commissioned_ipps.htm" TargetMode="External"/><Relationship Id="rId2" Type="http://schemas.openxmlformats.org/officeDocument/2006/relationships/hyperlink" Target="http://www.wapda.gov.pk/htmls/pgeneration-salient.html" TargetMode="External"/><Relationship Id="rId16" Type="http://schemas.openxmlformats.org/officeDocument/2006/relationships/hyperlink" Target="http://www.ppib.gov.pk/N_commissioned_ipps.htm" TargetMode="External"/><Relationship Id="rId20" Type="http://schemas.openxmlformats.org/officeDocument/2006/relationships/hyperlink" Target="http://cpec.gov.pk/project-details/1" TargetMode="External"/><Relationship Id="rId1" Type="http://schemas.openxmlformats.org/officeDocument/2006/relationships/hyperlink" Target="http://www.wapda.gov.pk/htmls/pgeneration-salient.html" TargetMode="External"/><Relationship Id="rId6" Type="http://schemas.openxmlformats.org/officeDocument/2006/relationships/hyperlink" Target="http://www.wapda.gov.pk/htmls/pgeneration-salient.html" TargetMode="External"/><Relationship Id="rId11" Type="http://schemas.openxmlformats.org/officeDocument/2006/relationships/hyperlink" Target="http://www.wapda.gov.pk/htmls/pgeneration-salient.html" TargetMode="External"/><Relationship Id="rId5" Type="http://schemas.openxmlformats.org/officeDocument/2006/relationships/hyperlink" Target="http://www.wapda.gov.pk/htmls/pgeneration-salient.html" TargetMode="External"/><Relationship Id="rId15" Type="http://schemas.openxmlformats.org/officeDocument/2006/relationships/hyperlink" Target="http://www.ppib.gov.pk/N_commissioned_ipps.htm" TargetMode="External"/><Relationship Id="rId10" Type="http://schemas.openxmlformats.org/officeDocument/2006/relationships/hyperlink" Target="http://www.wapda.gov.pk/htmls/pgeneration-salient.html" TargetMode="External"/><Relationship Id="rId19" Type="http://schemas.openxmlformats.org/officeDocument/2006/relationships/hyperlink" Target="http://cpec.gov.pk/project-details/2" TargetMode="External"/><Relationship Id="rId4" Type="http://schemas.openxmlformats.org/officeDocument/2006/relationships/hyperlink" Target="http://www.wapda.gov.pk/htmls/pgeneration-salient.html" TargetMode="External"/><Relationship Id="rId9" Type="http://schemas.openxmlformats.org/officeDocument/2006/relationships/hyperlink" Target="http://www.wapda.gov.pk/htmls/pgeneration-salient.html" TargetMode="External"/><Relationship Id="rId14" Type="http://schemas.openxmlformats.org/officeDocument/2006/relationships/hyperlink" Target="http://en.wikipedia.org/wiki/Chashma_Nuclear_Power_Complex" TargetMode="External"/><Relationship Id="rId22" Type="http://schemas.openxmlformats.org/officeDocument/2006/relationships/comments" Target="../comments10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07C71-2698-C349-BBA1-B2DCDEBA717A}">
  <dimension ref="C4:D10"/>
  <sheetViews>
    <sheetView tabSelected="1" workbookViewId="0">
      <selection activeCell="D25" sqref="D25"/>
    </sheetView>
  </sheetViews>
  <sheetFormatPr baseColWidth="10" defaultRowHeight="13"/>
  <cols>
    <col min="1" max="2" width="10.83203125" style="561"/>
    <col min="3" max="3" width="34.1640625" style="561" customWidth="1"/>
    <col min="4" max="4" width="49" style="561" customWidth="1"/>
    <col min="5" max="16384" width="10.83203125" style="561"/>
  </cols>
  <sheetData>
    <row r="4" spans="3:4" ht="23" customHeight="1">
      <c r="C4" s="559" t="s">
        <v>362</v>
      </c>
      <c r="D4" s="560" t="s">
        <v>363</v>
      </c>
    </row>
    <row r="5" spans="3:4" ht="24" customHeight="1">
      <c r="C5" s="562" t="s">
        <v>364</v>
      </c>
      <c r="D5" s="563">
        <v>8163</v>
      </c>
    </row>
    <row r="6" spans="3:4" ht="24" customHeight="1">
      <c r="C6" s="562" t="s">
        <v>377</v>
      </c>
      <c r="D6" s="563" t="s">
        <v>378</v>
      </c>
    </row>
    <row r="7" spans="3:4" ht="26" customHeight="1">
      <c r="C7" s="562" t="s">
        <v>365</v>
      </c>
      <c r="D7" s="563" t="s">
        <v>376</v>
      </c>
    </row>
    <row r="8" spans="3:4" ht="45" customHeight="1">
      <c r="C8" s="564" t="s">
        <v>366</v>
      </c>
      <c r="D8" s="565">
        <f>ER!B14</f>
        <v>52737</v>
      </c>
    </row>
    <row r="9" spans="3:4" ht="26" customHeight="1">
      <c r="C9" s="562" t="s">
        <v>367</v>
      </c>
      <c r="D9" s="563">
        <v>2.1</v>
      </c>
    </row>
    <row r="10" spans="3:4" ht="22" customHeight="1">
      <c r="C10" s="566" t="s">
        <v>368</v>
      </c>
      <c r="D10" s="567" t="s">
        <v>380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203"/>
  <sheetViews>
    <sheetView topLeftCell="F1" workbookViewId="0">
      <selection activeCell="O8" sqref="O8"/>
    </sheetView>
  </sheetViews>
  <sheetFormatPr baseColWidth="10" defaultColWidth="8.83203125" defaultRowHeight="13"/>
  <cols>
    <col min="1" max="1" width="10.6640625" style="5" customWidth="1"/>
    <col min="2" max="2" width="24.5" style="5" bestFit="1" customWidth="1"/>
    <col min="3" max="3" width="12" style="5" customWidth="1"/>
    <col min="4" max="4" width="55.83203125" style="8" customWidth="1"/>
    <col min="5" max="5" width="20.1640625" style="9" customWidth="1"/>
    <col min="6" max="6" width="8" style="5" bestFit="1" customWidth="1"/>
    <col min="7" max="7" width="12.33203125" style="5" bestFit="1" customWidth="1"/>
    <col min="8" max="8" width="9.6640625" style="5" bestFit="1" customWidth="1"/>
    <col min="9" max="9" width="11" style="5" bestFit="1" customWidth="1"/>
    <col min="10" max="10" width="13.83203125" style="5" customWidth="1"/>
    <col min="11" max="11" width="11" style="5" customWidth="1"/>
    <col min="12" max="12" width="8.1640625" style="5" customWidth="1"/>
    <col min="13" max="13" width="15.83203125" style="5" customWidth="1"/>
    <col min="14" max="14" width="19.6640625" style="5" customWidth="1"/>
    <col min="15" max="15" width="13.5" style="5" bestFit="1" customWidth="1"/>
    <col min="16" max="16" width="10.6640625" style="5" bestFit="1" customWidth="1"/>
    <col min="17" max="17" width="25.83203125" style="5" bestFit="1" customWidth="1"/>
    <col min="18" max="18" width="8.5" style="5" bestFit="1" customWidth="1"/>
    <col min="19" max="19" width="9.6640625" style="5" bestFit="1" customWidth="1"/>
    <col min="20" max="20" width="6.5" style="5" bestFit="1" customWidth="1"/>
    <col min="21" max="21" width="6" style="5" bestFit="1" customWidth="1"/>
    <col min="22" max="22" width="8.33203125" style="5" bestFit="1" customWidth="1"/>
    <col min="23" max="23" width="10.1640625" style="5" customWidth="1"/>
    <col min="24" max="24" width="8.1640625" style="5" bestFit="1" customWidth="1"/>
    <col min="25" max="25" width="10" style="5" bestFit="1" customWidth="1"/>
    <col min="26" max="16384" width="8.83203125" style="5"/>
  </cols>
  <sheetData>
    <row r="1" spans="1:26" ht="56">
      <c r="A1" s="1" t="s">
        <v>73</v>
      </c>
      <c r="B1" s="1" t="s">
        <v>84</v>
      </c>
      <c r="C1" s="2" t="s">
        <v>148</v>
      </c>
      <c r="D1" s="2" t="s">
        <v>149</v>
      </c>
      <c r="E1" s="1" t="s">
        <v>22</v>
      </c>
      <c r="F1" s="3" t="s">
        <v>133</v>
      </c>
      <c r="G1" s="3" t="s">
        <v>134</v>
      </c>
      <c r="H1" s="3" t="s">
        <v>147</v>
      </c>
      <c r="I1" s="4" t="s">
        <v>150</v>
      </c>
      <c r="J1" s="3" t="s">
        <v>217</v>
      </c>
      <c r="O1" s="6"/>
    </row>
    <row r="2" spans="1:26" ht="14" thickBot="1">
      <c r="A2" s="7"/>
      <c r="H2" s="10"/>
      <c r="I2" s="11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>
      <c r="A3" s="13" t="s">
        <v>131</v>
      </c>
      <c r="B3" s="14" t="s">
        <v>191</v>
      </c>
      <c r="C3" s="15" t="s">
        <v>226</v>
      </c>
      <c r="D3" s="16" t="s">
        <v>242</v>
      </c>
      <c r="E3" s="17" t="s">
        <v>195</v>
      </c>
      <c r="F3" s="14">
        <v>96</v>
      </c>
      <c r="G3" s="18">
        <v>202010</v>
      </c>
      <c r="H3" s="19" t="s">
        <v>196</v>
      </c>
      <c r="I3" s="20" t="s">
        <v>128</v>
      </c>
      <c r="J3" s="21">
        <f>G3/$G$64</f>
        <v>2.4862365312957376E-3</v>
      </c>
      <c r="L3" s="22"/>
      <c r="M3" s="23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>
      <c r="A4" s="26" t="s">
        <v>131</v>
      </c>
      <c r="B4" s="27" t="s">
        <v>192</v>
      </c>
      <c r="C4" s="28" t="s">
        <v>226</v>
      </c>
      <c r="D4" s="32" t="s">
        <v>196</v>
      </c>
      <c r="E4" s="30" t="s">
        <v>195</v>
      </c>
      <c r="F4" s="27">
        <v>121</v>
      </c>
      <c r="G4" s="31">
        <v>75270</v>
      </c>
      <c r="H4" s="32" t="s">
        <v>196</v>
      </c>
      <c r="I4" s="33" t="s">
        <v>128</v>
      </c>
      <c r="J4" s="21">
        <f>G4/$G$64</f>
        <v>9.2638494980758462E-4</v>
      </c>
      <c r="L4" s="22"/>
      <c r="M4" s="23"/>
      <c r="N4" s="23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>
      <c r="A5" s="26" t="s">
        <v>131</v>
      </c>
      <c r="B5" s="27" t="s">
        <v>190</v>
      </c>
      <c r="C5" s="28" t="s">
        <v>227</v>
      </c>
      <c r="D5" s="32" t="s">
        <v>196</v>
      </c>
      <c r="E5" s="30" t="s">
        <v>195</v>
      </c>
      <c r="F5" s="27">
        <v>72</v>
      </c>
      <c r="G5" s="31">
        <v>296650</v>
      </c>
      <c r="H5" s="32" t="s">
        <v>196</v>
      </c>
      <c r="I5" s="33" t="s">
        <v>128</v>
      </c>
      <c r="J5" s="21">
        <f>G5/$G$64</f>
        <v>3.651017608083167E-3</v>
      </c>
      <c r="L5" s="22"/>
      <c r="M5" s="23"/>
      <c r="N5" s="23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14" thickBot="1">
      <c r="A6" s="34" t="s">
        <v>132</v>
      </c>
      <c r="B6" s="27" t="s">
        <v>193</v>
      </c>
      <c r="C6" s="28">
        <v>40556</v>
      </c>
      <c r="D6" s="29" t="s">
        <v>201</v>
      </c>
      <c r="E6" s="30"/>
      <c r="F6" s="27">
        <v>200</v>
      </c>
      <c r="G6" s="31">
        <v>1468210</v>
      </c>
      <c r="H6" s="32" t="s">
        <v>196</v>
      </c>
      <c r="I6" s="33" t="s">
        <v>128</v>
      </c>
      <c r="J6" s="21">
        <f>G6/$G$64</f>
        <v>1.8069983355347336E-2</v>
      </c>
      <c r="L6" s="22"/>
      <c r="M6" s="23"/>
      <c r="N6" s="23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32" customHeight="1" thickTop="1">
      <c r="A7" s="34" t="s">
        <v>132</v>
      </c>
      <c r="B7" s="27" t="s">
        <v>153</v>
      </c>
      <c r="C7" s="28">
        <v>40710</v>
      </c>
      <c r="D7" s="35" t="s">
        <v>200</v>
      </c>
      <c r="E7" s="30" t="s">
        <v>158</v>
      </c>
      <c r="F7" s="27">
        <v>207</v>
      </c>
      <c r="G7" s="36"/>
      <c r="H7" s="37" t="s">
        <v>141</v>
      </c>
      <c r="I7" s="38" t="s">
        <v>86</v>
      </c>
      <c r="J7" s="39"/>
      <c r="L7" s="12"/>
      <c r="M7" s="40" t="s">
        <v>215</v>
      </c>
      <c r="N7" s="41"/>
      <c r="O7" s="42">
        <f>G64</f>
        <v>81251320</v>
      </c>
      <c r="P7" s="41"/>
      <c r="Q7" s="41"/>
      <c r="R7" s="41"/>
      <c r="S7" s="43"/>
      <c r="T7" s="12"/>
      <c r="U7" s="12"/>
      <c r="V7" s="12"/>
      <c r="W7" s="12"/>
      <c r="Z7" s="12"/>
    </row>
    <row r="8" spans="1:26">
      <c r="A8" s="34" t="s">
        <v>132</v>
      </c>
      <c r="B8" s="27" t="s">
        <v>152</v>
      </c>
      <c r="C8" s="28">
        <v>40679</v>
      </c>
      <c r="D8" s="29" t="s">
        <v>137</v>
      </c>
      <c r="E8" s="30" t="s">
        <v>158</v>
      </c>
      <c r="F8" s="27">
        <v>185</v>
      </c>
      <c r="G8" s="36">
        <v>1381300</v>
      </c>
      <c r="H8" s="32" t="s">
        <v>196</v>
      </c>
      <c r="I8" s="33" t="s">
        <v>128</v>
      </c>
      <c r="J8" s="44">
        <f>G8/$G$64</f>
        <v>1.7000339194489393E-2</v>
      </c>
      <c r="L8" s="45"/>
      <c r="M8" s="46" t="s">
        <v>146</v>
      </c>
      <c r="N8" s="47"/>
      <c r="O8" s="6">
        <f>W81*1000</f>
        <v>19574472.751584288</v>
      </c>
      <c r="P8" s="48" t="s">
        <v>13</v>
      </c>
      <c r="Q8" s="49"/>
      <c r="R8" s="12"/>
      <c r="S8" s="50"/>
      <c r="T8" s="49"/>
      <c r="U8" s="49"/>
      <c r="V8" s="27"/>
      <c r="W8" s="12"/>
    </row>
    <row r="9" spans="1:26">
      <c r="A9" s="34" t="s">
        <v>151</v>
      </c>
      <c r="B9" s="27" t="s">
        <v>204</v>
      </c>
      <c r="C9" s="51">
        <v>40655</v>
      </c>
      <c r="D9" s="29" t="s">
        <v>137</v>
      </c>
      <c r="E9" s="30" t="s">
        <v>38</v>
      </c>
      <c r="F9" s="27">
        <v>225</v>
      </c>
      <c r="G9" s="52">
        <v>820000</v>
      </c>
      <c r="H9" s="32" t="s">
        <v>196</v>
      </c>
      <c r="I9" s="33" t="s">
        <v>128</v>
      </c>
      <c r="J9" s="21">
        <f>G9/$G$64</f>
        <v>1.0092143733787955E-2</v>
      </c>
      <c r="L9" s="45"/>
      <c r="M9" s="46"/>
      <c r="N9" s="47"/>
      <c r="O9" s="6"/>
      <c r="P9" s="48"/>
      <c r="Q9" s="49"/>
      <c r="R9" s="12"/>
      <c r="S9" s="50"/>
      <c r="T9" s="49"/>
      <c r="U9" s="49"/>
      <c r="V9" s="27"/>
      <c r="W9" s="12"/>
    </row>
    <row r="10" spans="1:26">
      <c r="A10" s="53" t="s">
        <v>89</v>
      </c>
      <c r="B10" s="27" t="s">
        <v>155</v>
      </c>
      <c r="C10" s="51">
        <v>40570</v>
      </c>
      <c r="D10" s="29" t="s">
        <v>140</v>
      </c>
      <c r="E10" s="30" t="s">
        <v>126</v>
      </c>
      <c r="F10" s="27">
        <v>325</v>
      </c>
      <c r="G10" s="31">
        <v>1652000</v>
      </c>
      <c r="H10" s="32" t="s">
        <v>196</v>
      </c>
      <c r="I10" s="33" t="s">
        <v>128</v>
      </c>
      <c r="J10" s="44">
        <f>G10/$G$64</f>
        <v>2.0331977375875249E-2</v>
      </c>
      <c r="L10" s="45"/>
      <c r="M10" s="46"/>
      <c r="N10" s="47"/>
      <c r="O10" s="6"/>
      <c r="P10" s="48"/>
      <c r="Q10" s="49"/>
      <c r="R10" s="12"/>
      <c r="S10" s="50"/>
      <c r="T10" s="49"/>
      <c r="U10" s="49"/>
      <c r="V10" s="27"/>
      <c r="W10" s="12"/>
    </row>
    <row r="11" spans="1:26">
      <c r="A11" s="34" t="s">
        <v>132</v>
      </c>
      <c r="B11" s="27" t="s">
        <v>197</v>
      </c>
      <c r="C11" s="28">
        <v>40455</v>
      </c>
      <c r="D11" s="29" t="s">
        <v>137</v>
      </c>
      <c r="E11" s="30" t="s">
        <v>158</v>
      </c>
      <c r="F11" s="27">
        <v>212</v>
      </c>
      <c r="G11" s="36"/>
      <c r="H11" s="37" t="s">
        <v>141</v>
      </c>
      <c r="I11" s="38" t="s">
        <v>86</v>
      </c>
      <c r="J11" s="21"/>
      <c r="L11" s="45"/>
      <c r="M11" s="54"/>
      <c r="N11" s="12"/>
      <c r="O11" s="12"/>
      <c r="P11" s="12"/>
      <c r="Q11" s="49"/>
      <c r="R11" s="12"/>
      <c r="S11" s="50"/>
      <c r="T11" s="49"/>
      <c r="U11" s="49"/>
      <c r="V11" s="55"/>
      <c r="W11" s="12"/>
    </row>
    <row r="12" spans="1:26">
      <c r="A12" s="34" t="s">
        <v>132</v>
      </c>
      <c r="B12" s="27" t="s">
        <v>198</v>
      </c>
      <c r="C12" s="28">
        <v>40380</v>
      </c>
      <c r="D12" s="29" t="s">
        <v>137</v>
      </c>
      <c r="E12" s="30" t="s">
        <v>157</v>
      </c>
      <c r="F12" s="27">
        <v>200</v>
      </c>
      <c r="G12" s="31">
        <v>1250250</v>
      </c>
      <c r="H12" s="32" t="s">
        <v>196</v>
      </c>
      <c r="I12" s="33" t="s">
        <v>128</v>
      </c>
      <c r="J12" s="21">
        <f t="shared" ref="J12:J17" si="0">G12/$G$64</f>
        <v>1.5387442320937063E-2</v>
      </c>
      <c r="L12" s="12"/>
      <c r="M12" s="46" t="s">
        <v>228</v>
      </c>
      <c r="N12" s="47"/>
      <c r="O12" s="56">
        <f>Y82*O16</f>
        <v>3745599.9060869562</v>
      </c>
      <c r="P12" s="48" t="s">
        <v>9</v>
      </c>
      <c r="Q12" s="49"/>
      <c r="R12" s="12"/>
      <c r="S12" s="50"/>
      <c r="T12" s="49"/>
      <c r="U12" s="49"/>
      <c r="V12" s="27"/>
      <c r="W12" s="12"/>
    </row>
    <row r="13" spans="1:26">
      <c r="A13" s="34" t="s">
        <v>132</v>
      </c>
      <c r="B13" s="27" t="s">
        <v>206</v>
      </c>
      <c r="C13" s="28">
        <v>40338</v>
      </c>
      <c r="D13" s="29" t="s">
        <v>137</v>
      </c>
      <c r="E13" s="30" t="s">
        <v>158</v>
      </c>
      <c r="F13" s="27">
        <v>200</v>
      </c>
      <c r="G13" s="36">
        <v>1309910</v>
      </c>
      <c r="H13" s="32" t="s">
        <v>196</v>
      </c>
      <c r="I13" s="33" t="s">
        <v>128</v>
      </c>
      <c r="J13" s="21">
        <f t="shared" si="0"/>
        <v>1.6121707315031927E-2</v>
      </c>
      <c r="L13" s="12"/>
      <c r="M13" s="46" t="s">
        <v>88</v>
      </c>
      <c r="N13" s="47"/>
      <c r="O13" s="6">
        <f>Y83*O17</f>
        <v>1355539.7700000003</v>
      </c>
      <c r="P13" s="48" t="s">
        <v>9</v>
      </c>
      <c r="Q13" s="49"/>
      <c r="R13" s="12"/>
      <c r="S13" s="50"/>
      <c r="T13" s="49"/>
      <c r="U13" s="49"/>
      <c r="V13" s="27"/>
      <c r="W13" s="12"/>
    </row>
    <row r="14" spans="1:26">
      <c r="A14" s="34" t="s">
        <v>132</v>
      </c>
      <c r="B14" s="27" t="s">
        <v>75</v>
      </c>
      <c r="C14" s="28">
        <v>40322</v>
      </c>
      <c r="D14" s="29" t="s">
        <v>137</v>
      </c>
      <c r="E14" s="30" t="s">
        <v>159</v>
      </c>
      <c r="F14" s="27">
        <v>213</v>
      </c>
      <c r="G14" s="31">
        <v>573450</v>
      </c>
      <c r="H14" s="32" t="s">
        <v>196</v>
      </c>
      <c r="I14" s="33" t="s">
        <v>128</v>
      </c>
      <c r="J14" s="21">
        <f t="shared" si="0"/>
        <v>7.0577314928545161E-3</v>
      </c>
      <c r="L14" s="12"/>
      <c r="M14" s="46" t="s">
        <v>216</v>
      </c>
      <c r="N14" s="12"/>
      <c r="O14" s="6">
        <f>Y84*O18</f>
        <v>130623.18260869561</v>
      </c>
      <c r="P14" s="48" t="s">
        <v>9</v>
      </c>
      <c r="Q14" s="12"/>
      <c r="R14" s="12"/>
      <c r="S14" s="57"/>
      <c r="T14" s="49"/>
      <c r="U14" s="49"/>
      <c r="V14" s="27"/>
      <c r="W14" s="12"/>
    </row>
    <row r="15" spans="1:26">
      <c r="A15" s="34" t="s">
        <v>132</v>
      </c>
      <c r="B15" s="27" t="s">
        <v>76</v>
      </c>
      <c r="C15" s="28">
        <v>40295</v>
      </c>
      <c r="D15" s="29" t="s">
        <v>137</v>
      </c>
      <c r="E15" s="30" t="s">
        <v>158</v>
      </c>
      <c r="F15" s="27">
        <v>229</v>
      </c>
      <c r="G15" s="36">
        <v>742450</v>
      </c>
      <c r="H15" s="32" t="s">
        <v>196</v>
      </c>
      <c r="I15" s="33" t="s">
        <v>128</v>
      </c>
      <c r="J15" s="44">
        <f t="shared" si="0"/>
        <v>9.137697701403498E-3</v>
      </c>
      <c r="L15" s="12"/>
      <c r="M15" s="46"/>
      <c r="S15" s="57"/>
      <c r="T15" s="49"/>
      <c r="U15" s="49"/>
      <c r="V15" s="27"/>
      <c r="W15" s="12"/>
    </row>
    <row r="16" spans="1:26" ht="12.75" customHeight="1">
      <c r="A16" s="34" t="s">
        <v>132</v>
      </c>
      <c r="B16" s="27" t="s">
        <v>77</v>
      </c>
      <c r="C16" s="28">
        <v>40264</v>
      </c>
      <c r="D16" s="29" t="s">
        <v>137</v>
      </c>
      <c r="E16" s="30" t="s">
        <v>158</v>
      </c>
      <c r="F16" s="27">
        <v>221</v>
      </c>
      <c r="G16" s="31">
        <v>1693410</v>
      </c>
      <c r="H16" s="32" t="s">
        <v>196</v>
      </c>
      <c r="I16" s="33" t="s">
        <v>128</v>
      </c>
      <c r="J16" s="21">
        <f t="shared" si="0"/>
        <v>2.0841630634431538E-2</v>
      </c>
      <c r="L16" s="12"/>
      <c r="M16" s="46" t="s">
        <v>232</v>
      </c>
      <c r="N16" s="47"/>
      <c r="O16" s="58">
        <v>75.5</v>
      </c>
      <c r="P16" s="48" t="s">
        <v>4</v>
      </c>
      <c r="Q16" s="48" t="s">
        <v>5</v>
      </c>
      <c r="R16" s="12"/>
      <c r="S16" s="57"/>
      <c r="T16" s="47"/>
      <c r="U16" s="49"/>
      <c r="V16" s="27"/>
      <c r="W16" s="12"/>
    </row>
    <row r="17" spans="1:26">
      <c r="A17" s="34" t="s">
        <v>132</v>
      </c>
      <c r="B17" s="27" t="s">
        <v>78</v>
      </c>
      <c r="C17" s="28">
        <v>40165</v>
      </c>
      <c r="D17" s="59" t="s">
        <v>137</v>
      </c>
      <c r="E17" s="30" t="s">
        <v>158</v>
      </c>
      <c r="F17" s="27">
        <v>225</v>
      </c>
      <c r="G17" s="31">
        <v>1383020</v>
      </c>
      <c r="H17" s="32" t="s">
        <v>196</v>
      </c>
      <c r="I17" s="33" t="s">
        <v>128</v>
      </c>
      <c r="J17" s="44">
        <f t="shared" si="0"/>
        <v>1.7021508081345633E-2</v>
      </c>
      <c r="L17" s="12"/>
      <c r="M17" s="46" t="s">
        <v>3</v>
      </c>
      <c r="N17" s="47"/>
      <c r="O17" s="58">
        <v>54.3</v>
      </c>
      <c r="P17" s="48" t="s">
        <v>4</v>
      </c>
      <c r="Q17" s="48" t="s">
        <v>5</v>
      </c>
      <c r="R17" s="12"/>
      <c r="S17" s="60"/>
      <c r="T17" s="12"/>
      <c r="U17" s="49"/>
      <c r="V17" s="27"/>
      <c r="W17" s="12"/>
    </row>
    <row r="18" spans="1:26">
      <c r="A18" s="34" t="s">
        <v>132</v>
      </c>
      <c r="B18" s="27" t="s">
        <v>79</v>
      </c>
      <c r="C18" s="28">
        <v>39889</v>
      </c>
      <c r="D18" s="29" t="s">
        <v>137</v>
      </c>
      <c r="E18" s="30" t="s">
        <v>135</v>
      </c>
      <c r="F18" s="27">
        <v>165</v>
      </c>
      <c r="G18" s="36"/>
      <c r="H18" s="37" t="s">
        <v>141</v>
      </c>
      <c r="I18" s="38" t="s">
        <v>86</v>
      </c>
      <c r="J18" s="21"/>
      <c r="L18" s="12"/>
      <c r="M18" s="46" t="s">
        <v>214</v>
      </c>
      <c r="O18" s="5">
        <v>72.599999999999994</v>
      </c>
      <c r="P18" s="48" t="s">
        <v>4</v>
      </c>
      <c r="Q18" s="48" t="s">
        <v>5</v>
      </c>
      <c r="R18" s="12"/>
      <c r="S18" s="60"/>
      <c r="T18" s="47"/>
      <c r="U18" s="12"/>
      <c r="V18" s="27"/>
      <c r="W18" s="12"/>
    </row>
    <row r="19" spans="1:26">
      <c r="A19" s="26" t="s">
        <v>131</v>
      </c>
      <c r="B19" s="27" t="s">
        <v>80</v>
      </c>
      <c r="C19" s="28">
        <v>37803</v>
      </c>
      <c r="D19" s="29" t="s">
        <v>136</v>
      </c>
      <c r="E19" s="30" t="s">
        <v>131</v>
      </c>
      <c r="F19" s="27">
        <v>1450</v>
      </c>
      <c r="G19" s="31">
        <v>7164660</v>
      </c>
      <c r="H19" s="32" t="s">
        <v>196</v>
      </c>
      <c r="I19" s="33" t="s">
        <v>128</v>
      </c>
      <c r="J19" s="21">
        <f>G19/$G$64</f>
        <v>8.8178998199660019E-2</v>
      </c>
      <c r="K19" s="61">
        <f>SUM(J3:J19)</f>
        <v>0.24630479849435064</v>
      </c>
      <c r="L19" s="12"/>
      <c r="M19" s="54"/>
      <c r="N19" s="12"/>
      <c r="O19" s="12"/>
      <c r="P19" s="12"/>
      <c r="Q19" s="12"/>
      <c r="R19" s="12"/>
      <c r="S19" s="60"/>
      <c r="T19" s="47"/>
      <c r="U19" s="49"/>
      <c r="V19" s="27"/>
      <c r="W19" s="12"/>
    </row>
    <row r="20" spans="1:26" ht="21" thickBot="1">
      <c r="A20" s="34" t="s">
        <v>132</v>
      </c>
      <c r="B20" s="27" t="s">
        <v>81</v>
      </c>
      <c r="C20" s="28">
        <v>37144</v>
      </c>
      <c r="D20" s="29" t="s">
        <v>137</v>
      </c>
      <c r="E20" s="30" t="s">
        <v>158</v>
      </c>
      <c r="F20" s="27">
        <v>235</v>
      </c>
      <c r="G20" s="31">
        <v>891810</v>
      </c>
      <c r="H20" s="32" t="s">
        <v>196</v>
      </c>
      <c r="I20" s="33" t="s">
        <v>128</v>
      </c>
      <c r="J20" s="62"/>
      <c r="L20" s="12"/>
      <c r="M20" s="63" t="s">
        <v>212</v>
      </c>
      <c r="N20" s="64"/>
      <c r="O20" s="65">
        <f>(O12+O13+O14)/O8</f>
        <v>0.26727477797695531</v>
      </c>
      <c r="P20" s="66" t="s">
        <v>10</v>
      </c>
      <c r="Q20" s="67"/>
      <c r="R20" s="68"/>
      <c r="S20" s="69"/>
      <c r="T20" s="12"/>
      <c r="U20" s="12"/>
      <c r="V20" s="27"/>
      <c r="W20" s="12"/>
    </row>
    <row r="21" spans="1:26" ht="14" thickTop="1">
      <c r="A21" s="34" t="s">
        <v>132</v>
      </c>
      <c r="B21" s="27" t="s">
        <v>82</v>
      </c>
      <c r="C21" s="28">
        <v>37048</v>
      </c>
      <c r="D21" s="29" t="s">
        <v>137</v>
      </c>
      <c r="E21" s="30" t="s">
        <v>38</v>
      </c>
      <c r="F21" s="27">
        <v>31</v>
      </c>
      <c r="G21" s="36"/>
      <c r="H21" s="37" t="s">
        <v>141</v>
      </c>
      <c r="I21" s="38" t="s">
        <v>86</v>
      </c>
      <c r="J21" s="62"/>
      <c r="L21" s="12"/>
      <c r="M21" s="12"/>
      <c r="N21" s="12"/>
      <c r="O21" s="12"/>
      <c r="P21" s="12"/>
      <c r="Q21" s="12"/>
      <c r="R21" s="12"/>
      <c r="S21" s="12"/>
      <c r="T21" s="47"/>
      <c r="U21" s="49"/>
      <c r="V21" s="27"/>
      <c r="W21" s="12"/>
    </row>
    <row r="22" spans="1:26">
      <c r="A22" s="26" t="s">
        <v>131</v>
      </c>
      <c r="B22" s="27" t="s">
        <v>83</v>
      </c>
      <c r="C22" s="28">
        <v>37043</v>
      </c>
      <c r="D22" s="29" t="s">
        <v>136</v>
      </c>
      <c r="E22" s="30" t="s">
        <v>131</v>
      </c>
      <c r="F22" s="27">
        <v>184</v>
      </c>
      <c r="G22" s="31">
        <v>1122110</v>
      </c>
      <c r="H22" s="32" t="s">
        <v>196</v>
      </c>
      <c r="I22" s="33" t="s">
        <v>128</v>
      </c>
      <c r="J22" s="62"/>
      <c r="L22" s="12"/>
      <c r="M22" s="12"/>
      <c r="N22" s="12"/>
      <c r="O22" s="12"/>
      <c r="P22" s="12"/>
      <c r="Q22" s="48"/>
      <c r="R22" s="12"/>
      <c r="S22" s="48"/>
      <c r="T22" s="47"/>
      <c r="U22" s="49"/>
      <c r="V22" s="27"/>
      <c r="W22" s="12"/>
    </row>
    <row r="23" spans="1:26">
      <c r="A23" s="34" t="s">
        <v>132</v>
      </c>
      <c r="B23" s="27" t="s">
        <v>90</v>
      </c>
      <c r="C23" s="28">
        <v>36817</v>
      </c>
      <c r="D23" s="29" t="s">
        <v>137</v>
      </c>
      <c r="E23" s="30" t="s">
        <v>158</v>
      </c>
      <c r="F23" s="27">
        <v>586</v>
      </c>
      <c r="G23" s="31">
        <v>3795840</v>
      </c>
      <c r="H23" s="32" t="s">
        <v>196</v>
      </c>
      <c r="I23" s="33" t="s">
        <v>128</v>
      </c>
      <c r="J23" s="62"/>
      <c r="L23" s="12"/>
      <c r="M23" s="70"/>
      <c r="N23" s="71"/>
      <c r="O23" s="72"/>
      <c r="P23" s="70"/>
      <c r="Q23" s="48"/>
      <c r="R23" s="12"/>
      <c r="S23" s="48"/>
      <c r="T23" s="47"/>
      <c r="U23" s="49"/>
      <c r="V23" s="27"/>
      <c r="W23" s="12"/>
    </row>
    <row r="24" spans="1:26">
      <c r="A24" s="53" t="s">
        <v>89</v>
      </c>
      <c r="B24" s="27" t="s">
        <v>154</v>
      </c>
      <c r="C24" s="28">
        <v>36683</v>
      </c>
      <c r="D24" s="29" t="s">
        <v>140</v>
      </c>
      <c r="E24" s="30" t="s">
        <v>126</v>
      </c>
      <c r="F24" s="27">
        <v>325</v>
      </c>
      <c r="G24" s="31">
        <v>2295000</v>
      </c>
      <c r="H24" s="32" t="s">
        <v>196</v>
      </c>
      <c r="I24" s="33" t="s">
        <v>128</v>
      </c>
      <c r="J24" s="62"/>
      <c r="L24" s="12"/>
      <c r="M24" s="48"/>
      <c r="N24" s="47"/>
      <c r="O24" s="12"/>
      <c r="P24" s="47"/>
      <c r="Q24" s="73"/>
      <c r="R24" s="48"/>
      <c r="S24" s="47"/>
      <c r="T24" s="47"/>
      <c r="U24" s="49"/>
      <c r="V24" s="27"/>
    </row>
    <row r="25" spans="1:26">
      <c r="A25" s="34" t="s">
        <v>132</v>
      </c>
      <c r="B25" s="27" t="s">
        <v>91</v>
      </c>
      <c r="C25" s="28">
        <v>36599</v>
      </c>
      <c r="D25" s="29" t="s">
        <v>137</v>
      </c>
      <c r="E25" s="30" t="s">
        <v>38</v>
      </c>
      <c r="F25" s="27">
        <v>135</v>
      </c>
      <c r="G25" s="31">
        <v>106410</v>
      </c>
      <c r="H25" s="32" t="s">
        <v>196</v>
      </c>
      <c r="I25" s="33" t="s">
        <v>128</v>
      </c>
      <c r="J25" s="62"/>
      <c r="L25" s="12"/>
      <c r="M25" s="48"/>
      <c r="N25" s="47"/>
      <c r="O25" s="12"/>
      <c r="P25" s="47"/>
      <c r="Q25" s="73"/>
      <c r="R25" s="48"/>
      <c r="S25" s="48"/>
      <c r="T25" s="47"/>
      <c r="U25" s="49"/>
      <c r="V25" s="27"/>
    </row>
    <row r="26" spans="1:26" ht="14">
      <c r="A26" s="34" t="s">
        <v>132</v>
      </c>
      <c r="B26" s="27" t="s">
        <v>92</v>
      </c>
      <c r="C26" s="28">
        <v>36525</v>
      </c>
      <c r="D26" s="29" t="s">
        <v>137</v>
      </c>
      <c r="E26" s="30"/>
      <c r="F26" s="27">
        <v>134</v>
      </c>
      <c r="G26" s="31">
        <v>90630</v>
      </c>
      <c r="H26" s="32" t="s">
        <v>196</v>
      </c>
      <c r="I26" s="33" t="s">
        <v>128</v>
      </c>
      <c r="J26" s="62"/>
      <c r="P26" s="22"/>
      <c r="Q26" s="74"/>
      <c r="R26" s="22"/>
      <c r="S26" s="22"/>
      <c r="T26" s="22"/>
      <c r="U26" s="75"/>
      <c r="V26" s="22"/>
    </row>
    <row r="27" spans="1:26">
      <c r="A27" s="34" t="s">
        <v>132</v>
      </c>
      <c r="B27" s="27" t="s">
        <v>93</v>
      </c>
      <c r="C27" s="28">
        <v>36505</v>
      </c>
      <c r="D27" s="29" t="s">
        <v>137</v>
      </c>
      <c r="E27" s="30"/>
      <c r="F27" s="27">
        <v>450</v>
      </c>
      <c r="G27" s="31">
        <v>2581040</v>
      </c>
      <c r="H27" s="32" t="s">
        <v>196</v>
      </c>
      <c r="I27" s="33" t="s">
        <v>128</v>
      </c>
      <c r="J27" s="62"/>
      <c r="U27" s="22"/>
      <c r="V27" s="22"/>
    </row>
    <row r="28" spans="1:26">
      <c r="A28" s="34" t="s">
        <v>132</v>
      </c>
      <c r="B28" s="27" t="s">
        <v>94</v>
      </c>
      <c r="C28" s="28">
        <v>36454</v>
      </c>
      <c r="D28" s="29" t="s">
        <v>137</v>
      </c>
      <c r="E28" s="30"/>
      <c r="F28" s="27">
        <v>157</v>
      </c>
      <c r="G28" s="31">
        <v>1139280</v>
      </c>
      <c r="H28" s="32" t="s">
        <v>196</v>
      </c>
      <c r="I28" s="33" t="s">
        <v>128</v>
      </c>
      <c r="J28" s="62"/>
      <c r="U28" s="22"/>
      <c r="V28" s="22"/>
    </row>
    <row r="29" spans="1:26">
      <c r="A29" s="34" t="s">
        <v>132</v>
      </c>
      <c r="B29" s="27" t="s">
        <v>95</v>
      </c>
      <c r="C29" s="28">
        <v>36414</v>
      </c>
      <c r="D29" s="29" t="s">
        <v>137</v>
      </c>
      <c r="E29" s="30"/>
      <c r="F29" s="27">
        <v>129</v>
      </c>
      <c r="G29" s="31">
        <v>674270</v>
      </c>
      <c r="H29" s="32" t="s">
        <v>196</v>
      </c>
      <c r="I29" s="33" t="s">
        <v>128</v>
      </c>
      <c r="J29" s="62"/>
      <c r="O29" s="76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8"/>
    </row>
    <row r="30" spans="1:26">
      <c r="A30" s="34" t="s">
        <v>132</v>
      </c>
      <c r="B30" s="27" t="s">
        <v>96</v>
      </c>
      <c r="C30" s="28">
        <v>36353</v>
      </c>
      <c r="D30" s="29" t="s">
        <v>137</v>
      </c>
      <c r="E30" s="30"/>
      <c r="F30" s="27">
        <v>135</v>
      </c>
      <c r="G30" s="79"/>
      <c r="H30" s="37" t="s">
        <v>141</v>
      </c>
      <c r="I30" s="38" t="s">
        <v>86</v>
      </c>
      <c r="J30" s="62"/>
      <c r="O30" s="24"/>
      <c r="P30" s="630" t="s">
        <v>160</v>
      </c>
      <c r="Q30" s="631"/>
      <c r="R30" s="631"/>
      <c r="S30" s="631"/>
      <c r="T30" s="631"/>
      <c r="U30" s="631"/>
      <c r="V30" s="631"/>
      <c r="W30" s="631"/>
      <c r="X30" s="631"/>
      <c r="Y30" s="632"/>
      <c r="Z30" s="25"/>
    </row>
    <row r="31" spans="1:26" ht="28">
      <c r="A31" s="34" t="s">
        <v>132</v>
      </c>
      <c r="B31" s="27" t="s">
        <v>97</v>
      </c>
      <c r="C31" s="28">
        <v>35827</v>
      </c>
      <c r="D31" s="29" t="s">
        <v>137</v>
      </c>
      <c r="E31" s="30"/>
      <c r="F31" s="27">
        <v>365</v>
      </c>
      <c r="G31" s="31">
        <v>2066780</v>
      </c>
      <c r="H31" s="32" t="s">
        <v>196</v>
      </c>
      <c r="I31" s="33" t="s">
        <v>128</v>
      </c>
      <c r="J31" s="62"/>
      <c r="O31" s="24"/>
      <c r="P31" s="633" t="s">
        <v>20</v>
      </c>
      <c r="Q31" s="634"/>
      <c r="R31" s="639" t="s">
        <v>21</v>
      </c>
      <c r="S31" s="639" t="s">
        <v>22</v>
      </c>
      <c r="T31" s="642" t="s">
        <v>67</v>
      </c>
      <c r="U31" s="643"/>
      <c r="V31" s="633" t="s">
        <v>23</v>
      </c>
      <c r="W31" s="634"/>
      <c r="X31" s="646" t="s">
        <v>130</v>
      </c>
      <c r="Y31" s="80" t="s">
        <v>25</v>
      </c>
      <c r="Z31" s="25"/>
    </row>
    <row r="32" spans="1:26">
      <c r="A32" s="34" t="s">
        <v>132</v>
      </c>
      <c r="B32" s="27" t="s">
        <v>98</v>
      </c>
      <c r="C32" s="28">
        <v>35740</v>
      </c>
      <c r="D32" s="29" t="s">
        <v>137</v>
      </c>
      <c r="E32" s="30" t="s">
        <v>85</v>
      </c>
      <c r="F32" s="27">
        <v>362</v>
      </c>
      <c r="G32" s="31">
        <v>1643440</v>
      </c>
      <c r="H32" s="32" t="s">
        <v>196</v>
      </c>
      <c r="I32" s="33" t="s">
        <v>128</v>
      </c>
      <c r="J32" s="62"/>
      <c r="O32" s="24"/>
      <c r="P32" s="635"/>
      <c r="Q32" s="636"/>
      <c r="R32" s="640"/>
      <c r="S32" s="640"/>
      <c r="T32" s="644"/>
      <c r="U32" s="645"/>
      <c r="V32" s="81" t="s">
        <v>66</v>
      </c>
      <c r="W32" s="81" t="s">
        <v>26</v>
      </c>
      <c r="X32" s="647"/>
      <c r="Y32" s="82" t="s">
        <v>16</v>
      </c>
      <c r="Z32" s="25"/>
    </row>
    <row r="33" spans="1:26" ht="42">
      <c r="A33" s="34" t="s">
        <v>132</v>
      </c>
      <c r="B33" s="27" t="s">
        <v>99</v>
      </c>
      <c r="C33" s="28">
        <v>35601</v>
      </c>
      <c r="D33" s="29" t="s">
        <v>137</v>
      </c>
      <c r="E33" s="30"/>
      <c r="F33" s="27">
        <v>131</v>
      </c>
      <c r="G33" s="31">
        <v>457580</v>
      </c>
      <c r="H33" s="32" t="s">
        <v>196</v>
      </c>
      <c r="I33" s="33" t="s">
        <v>128</v>
      </c>
      <c r="J33" s="62"/>
      <c r="O33" s="24"/>
      <c r="P33" s="635"/>
      <c r="Q33" s="636"/>
      <c r="R33" s="640"/>
      <c r="S33" s="640"/>
      <c r="T33" s="83" t="s">
        <v>27</v>
      </c>
      <c r="U33" s="84" t="s">
        <v>1</v>
      </c>
      <c r="V33" s="85" t="s">
        <v>1</v>
      </c>
      <c r="W33" s="84" t="s">
        <v>1</v>
      </c>
      <c r="X33" s="647"/>
      <c r="Y33" s="82"/>
      <c r="Z33" s="25"/>
    </row>
    <row r="34" spans="1:26">
      <c r="A34" s="34" t="s">
        <v>132</v>
      </c>
      <c r="B34" s="27" t="s">
        <v>100</v>
      </c>
      <c r="C34" s="28">
        <v>35520</v>
      </c>
      <c r="D34" s="59" t="s">
        <v>137</v>
      </c>
      <c r="E34" s="30"/>
      <c r="F34" s="27">
        <v>1292</v>
      </c>
      <c r="G34" s="31">
        <v>8104000</v>
      </c>
      <c r="H34" s="32" t="s">
        <v>196</v>
      </c>
      <c r="I34" s="33" t="s">
        <v>128</v>
      </c>
      <c r="J34" s="62"/>
      <c r="O34" s="24"/>
      <c r="P34" s="637"/>
      <c r="Q34" s="638"/>
      <c r="R34" s="641"/>
      <c r="S34" s="641"/>
      <c r="T34" s="86"/>
      <c r="U34" s="87"/>
      <c r="V34" s="88"/>
      <c r="W34" s="87"/>
      <c r="X34" s="648"/>
      <c r="Y34" s="89"/>
      <c r="Z34" s="25"/>
    </row>
    <row r="35" spans="1:26">
      <c r="A35" s="34" t="s">
        <v>132</v>
      </c>
      <c r="B35" s="27" t="s">
        <v>101</v>
      </c>
      <c r="C35" s="28">
        <v>35400</v>
      </c>
      <c r="D35" s="29" t="s">
        <v>137</v>
      </c>
      <c r="E35" s="30"/>
      <c r="F35" s="27">
        <v>1466</v>
      </c>
      <c r="G35" s="31">
        <v>5678980</v>
      </c>
      <c r="H35" s="32" t="s">
        <v>196</v>
      </c>
      <c r="I35" s="33" t="s">
        <v>128</v>
      </c>
      <c r="J35" s="62"/>
      <c r="O35" s="24"/>
      <c r="P35" s="90" t="s">
        <v>124</v>
      </c>
      <c r="Q35" s="90"/>
      <c r="R35" s="91"/>
      <c r="S35" s="91"/>
      <c r="T35" s="91"/>
      <c r="U35" s="90"/>
      <c r="V35" s="91"/>
      <c r="W35" s="91"/>
      <c r="X35" s="91"/>
      <c r="Y35" s="92"/>
      <c r="Z35" s="25"/>
    </row>
    <row r="36" spans="1:26">
      <c r="A36" s="34" t="s">
        <v>132</v>
      </c>
      <c r="B36" s="27" t="s">
        <v>102</v>
      </c>
      <c r="C36" s="28">
        <v>34213</v>
      </c>
      <c r="D36" s="29" t="s">
        <v>139</v>
      </c>
      <c r="E36" s="30"/>
      <c r="F36" s="27">
        <v>1350</v>
      </c>
      <c r="G36" s="31">
        <v>4955510</v>
      </c>
      <c r="H36" s="32" t="s">
        <v>196</v>
      </c>
      <c r="I36" s="33" t="s">
        <v>128</v>
      </c>
      <c r="J36" s="62"/>
      <c r="O36" s="24"/>
      <c r="P36" s="90"/>
      <c r="Q36" s="90"/>
      <c r="R36" s="91"/>
      <c r="S36" s="91"/>
      <c r="T36" s="91"/>
      <c r="U36" s="90"/>
      <c r="V36" s="91"/>
      <c r="W36" s="91"/>
      <c r="X36" s="91"/>
      <c r="Y36" s="92"/>
      <c r="Z36" s="25"/>
    </row>
    <row r="37" spans="1:26" ht="12.75" customHeight="1">
      <c r="A37" s="34" t="s">
        <v>132</v>
      </c>
      <c r="B37" s="27" t="s">
        <v>103</v>
      </c>
      <c r="C37" s="28">
        <v>32874</v>
      </c>
      <c r="D37" s="29" t="s">
        <v>138</v>
      </c>
      <c r="E37" s="30"/>
      <c r="F37" s="27">
        <v>850</v>
      </c>
      <c r="G37" s="31">
        <v>1886920</v>
      </c>
      <c r="H37" s="32" t="s">
        <v>196</v>
      </c>
      <c r="I37" s="33" t="s">
        <v>128</v>
      </c>
      <c r="J37" s="62"/>
      <c r="O37" s="24"/>
      <c r="P37" s="649" t="s">
        <v>155</v>
      </c>
      <c r="Q37" s="650"/>
      <c r="R37" s="93" t="s">
        <v>126</v>
      </c>
      <c r="S37" s="94"/>
      <c r="T37" s="653">
        <f>1652/4553*243692/1000</f>
        <v>88.420642213924893</v>
      </c>
      <c r="U37" s="95">
        <f>V37/(V37+V38)*T37</f>
        <v>88.420642213924893</v>
      </c>
      <c r="V37" s="96">
        <v>1652</v>
      </c>
      <c r="W37" s="95">
        <f>V37-U37</f>
        <v>1563.5793577860752</v>
      </c>
      <c r="X37" s="97"/>
      <c r="Y37" s="98"/>
      <c r="Z37" s="25"/>
    </row>
    <row r="38" spans="1:26">
      <c r="A38" s="34" t="s">
        <v>132</v>
      </c>
      <c r="B38" s="27" t="s">
        <v>117</v>
      </c>
      <c r="C38" s="28">
        <v>31048</v>
      </c>
      <c r="D38" s="29" t="s">
        <v>139</v>
      </c>
      <c r="E38" s="30"/>
      <c r="F38" s="27">
        <v>50</v>
      </c>
      <c r="G38" s="31">
        <v>60760</v>
      </c>
      <c r="H38" s="32" t="s">
        <v>196</v>
      </c>
      <c r="I38" s="33" t="s">
        <v>128</v>
      </c>
      <c r="J38" s="62"/>
      <c r="O38" s="24"/>
      <c r="P38" s="651"/>
      <c r="Q38" s="652"/>
      <c r="R38" s="99"/>
      <c r="S38" s="100"/>
      <c r="T38" s="653"/>
      <c r="U38" s="95"/>
      <c r="V38" s="96"/>
      <c r="W38" s="95"/>
      <c r="X38" s="97"/>
      <c r="Y38" s="98"/>
      <c r="Z38" s="25"/>
    </row>
    <row r="39" spans="1:26" ht="12.75" customHeight="1">
      <c r="A39" s="26" t="s">
        <v>131</v>
      </c>
      <c r="B39" s="27" t="s">
        <v>104</v>
      </c>
      <c r="C39" s="28">
        <v>28307</v>
      </c>
      <c r="D39" s="29" t="s">
        <v>202</v>
      </c>
      <c r="E39" s="30"/>
      <c r="F39" s="27">
        <v>3478</v>
      </c>
      <c r="G39" s="31">
        <v>14788220</v>
      </c>
      <c r="H39" s="32" t="s">
        <v>196</v>
      </c>
      <c r="I39" s="33" t="s">
        <v>128</v>
      </c>
      <c r="J39" s="62"/>
      <c r="O39" s="24"/>
      <c r="P39" s="90"/>
      <c r="Q39" s="91"/>
      <c r="R39" s="91"/>
      <c r="S39" s="91"/>
      <c r="T39" s="91"/>
      <c r="U39" s="91"/>
      <c r="V39" s="91"/>
      <c r="W39" s="91"/>
      <c r="X39" s="101"/>
      <c r="Y39" s="92"/>
      <c r="Z39" s="25"/>
    </row>
    <row r="40" spans="1:26">
      <c r="A40" s="34" t="s">
        <v>132</v>
      </c>
      <c r="B40" s="27" t="s">
        <v>105</v>
      </c>
      <c r="C40" s="28">
        <v>27576</v>
      </c>
      <c r="D40" s="29" t="s">
        <v>139</v>
      </c>
      <c r="E40" s="30"/>
      <c r="F40" s="27">
        <v>244</v>
      </c>
      <c r="G40" s="31">
        <v>35450</v>
      </c>
      <c r="H40" s="32" t="s">
        <v>196</v>
      </c>
      <c r="I40" s="33" t="s">
        <v>128</v>
      </c>
      <c r="J40" s="62"/>
      <c r="O40" s="24"/>
      <c r="P40" s="654" t="s">
        <v>87</v>
      </c>
      <c r="Q40" s="655"/>
      <c r="R40" s="102" t="s">
        <v>230</v>
      </c>
      <c r="S40" s="94"/>
      <c r="T40" s="658">
        <v>26.18</v>
      </c>
      <c r="U40" s="95">
        <f>V40/(V40+V41)*T40</f>
        <v>26.18</v>
      </c>
      <c r="V40" s="96">
        <v>1250.25</v>
      </c>
      <c r="W40" s="95">
        <f>V40-U40</f>
        <v>1224.07</v>
      </c>
      <c r="X40" s="103">
        <v>0.45</v>
      </c>
      <c r="Y40" s="98">
        <f>V40/X40*3600/1000</f>
        <v>10002</v>
      </c>
      <c r="Z40" s="25"/>
    </row>
    <row r="41" spans="1:26">
      <c r="A41" s="26" t="s">
        <v>131</v>
      </c>
      <c r="B41" s="27" t="s">
        <v>119</v>
      </c>
      <c r="C41" s="28">
        <v>27395</v>
      </c>
      <c r="D41" s="29" t="s">
        <v>139</v>
      </c>
      <c r="E41" s="30"/>
      <c r="F41" s="27">
        <v>1</v>
      </c>
      <c r="G41" s="31">
        <v>3700</v>
      </c>
      <c r="H41" s="32" t="s">
        <v>196</v>
      </c>
      <c r="I41" s="33" t="s">
        <v>128</v>
      </c>
      <c r="J41" s="62"/>
      <c r="O41" s="24"/>
      <c r="P41" s="656"/>
      <c r="Q41" s="657"/>
      <c r="R41" s="104"/>
      <c r="S41" s="100"/>
      <c r="T41" s="658"/>
      <c r="U41" s="95"/>
      <c r="V41" s="96"/>
      <c r="W41" s="95"/>
      <c r="X41" s="103"/>
      <c r="Y41" s="98"/>
      <c r="Z41" s="25"/>
    </row>
    <row r="42" spans="1:26">
      <c r="A42" s="34" t="s">
        <v>132</v>
      </c>
      <c r="B42" s="27" t="s">
        <v>199</v>
      </c>
      <c r="C42" s="28">
        <v>27089</v>
      </c>
      <c r="D42" s="29" t="s">
        <v>139</v>
      </c>
      <c r="E42" s="30"/>
      <c r="F42" s="27">
        <v>640</v>
      </c>
      <c r="G42" s="31">
        <v>2121300</v>
      </c>
      <c r="H42" s="32" t="s">
        <v>196</v>
      </c>
      <c r="I42" s="33" t="s">
        <v>128</v>
      </c>
      <c r="J42" s="62"/>
      <c r="O42" s="24"/>
      <c r="P42" s="90"/>
      <c r="Q42" s="91"/>
      <c r="R42" s="91"/>
      <c r="S42" s="91"/>
      <c r="T42" s="91"/>
      <c r="U42" s="91"/>
      <c r="V42" s="91"/>
      <c r="W42" s="91"/>
      <c r="X42" s="101"/>
      <c r="Y42" s="92"/>
      <c r="Z42" s="25"/>
    </row>
    <row r="43" spans="1:26">
      <c r="A43" s="34" t="s">
        <v>132</v>
      </c>
      <c r="B43" s="105" t="s">
        <v>120</v>
      </c>
      <c r="C43" s="28">
        <v>25569</v>
      </c>
      <c r="D43" s="29" t="s">
        <v>139</v>
      </c>
      <c r="E43" s="30"/>
      <c r="F43" s="27">
        <v>174</v>
      </c>
      <c r="G43" s="79"/>
      <c r="H43" s="37" t="s">
        <v>141</v>
      </c>
      <c r="I43" s="38" t="s">
        <v>86</v>
      </c>
      <c r="J43" s="62"/>
      <c r="O43" s="24"/>
      <c r="P43" s="654" t="s">
        <v>75</v>
      </c>
      <c r="Q43" s="655"/>
      <c r="R43" s="102" t="s">
        <v>156</v>
      </c>
      <c r="S43" s="94"/>
      <c r="T43" s="658">
        <v>2.0299999999999998</v>
      </c>
      <c r="U43" s="95">
        <f>V43/(V44+V43)*T43</f>
        <v>0.8054150680153469</v>
      </c>
      <c r="V43" s="96">
        <v>227.5</v>
      </c>
      <c r="W43" s="95">
        <f>V43-U43</f>
        <v>226.69458493198465</v>
      </c>
      <c r="X43" s="103">
        <v>0.46</v>
      </c>
      <c r="Y43" s="98">
        <f>V43/X43*3600/1000</f>
        <v>1780.4347826086955</v>
      </c>
      <c r="Z43" s="25"/>
    </row>
    <row r="44" spans="1:26">
      <c r="A44" s="26" t="s">
        <v>131</v>
      </c>
      <c r="B44" s="27" t="s">
        <v>106</v>
      </c>
      <c r="C44" s="28" t="s">
        <v>107</v>
      </c>
      <c r="D44" s="29" t="s">
        <v>136</v>
      </c>
      <c r="E44" s="30"/>
      <c r="F44" s="27">
        <v>1000</v>
      </c>
      <c r="G44" s="31">
        <v>4713190</v>
      </c>
      <c r="H44" s="32" t="s">
        <v>196</v>
      </c>
      <c r="I44" s="33" t="s">
        <v>128</v>
      </c>
      <c r="J44" s="62"/>
      <c r="O44" s="24"/>
      <c r="P44" s="656"/>
      <c r="Q44" s="657"/>
      <c r="R44" s="106" t="s">
        <v>0</v>
      </c>
      <c r="S44" s="100"/>
      <c r="T44" s="658"/>
      <c r="U44" s="95">
        <f>V44/(V44+V43)*T43</f>
        <v>1.2245849319846529</v>
      </c>
      <c r="V44" s="96">
        <v>345.9</v>
      </c>
      <c r="W44" s="95">
        <f>V44-U44</f>
        <v>344.6754150680153</v>
      </c>
      <c r="X44" s="103">
        <v>0.6</v>
      </c>
      <c r="Y44" s="98">
        <f>V44/X44*3600/1000</f>
        <v>2075.4</v>
      </c>
      <c r="Z44" s="25"/>
    </row>
    <row r="45" spans="1:26" ht="12.75" customHeight="1">
      <c r="A45" s="34" t="s">
        <v>132</v>
      </c>
      <c r="B45" s="27" t="s">
        <v>108</v>
      </c>
      <c r="C45" s="28">
        <v>24624</v>
      </c>
      <c r="D45" s="29" t="s">
        <v>139</v>
      </c>
      <c r="E45" s="30"/>
      <c r="F45" s="27">
        <v>132</v>
      </c>
      <c r="G45" s="79"/>
      <c r="H45" s="37" t="s">
        <v>141</v>
      </c>
      <c r="I45" s="38" t="s">
        <v>86</v>
      </c>
      <c r="J45" s="62"/>
      <c r="O45" s="24"/>
      <c r="P45" s="90"/>
      <c r="Q45" s="91"/>
      <c r="R45" s="91"/>
      <c r="S45" s="91"/>
      <c r="T45" s="91"/>
      <c r="U45" s="91"/>
      <c r="V45" s="91"/>
      <c r="W45" s="91"/>
      <c r="X45" s="101"/>
      <c r="Y45" s="92"/>
      <c r="Z45" s="25"/>
    </row>
    <row r="46" spans="1:26">
      <c r="A46" s="34" t="s">
        <v>132</v>
      </c>
      <c r="B46" s="27" t="s">
        <v>109</v>
      </c>
      <c r="C46" s="28">
        <v>23193</v>
      </c>
      <c r="D46" s="29" t="s">
        <v>139</v>
      </c>
      <c r="E46" s="30"/>
      <c r="F46" s="27">
        <v>130</v>
      </c>
      <c r="G46" s="79"/>
      <c r="H46" s="37" t="s">
        <v>141</v>
      </c>
      <c r="I46" s="38" t="s">
        <v>86</v>
      </c>
      <c r="J46" s="62"/>
      <c r="M46" s="23"/>
      <c r="N46" s="23"/>
      <c r="O46" s="24"/>
      <c r="P46" s="654" t="s">
        <v>77</v>
      </c>
      <c r="Q46" s="655"/>
      <c r="R46" s="102" t="s">
        <v>156</v>
      </c>
      <c r="S46" s="94"/>
      <c r="T46" s="658">
        <v>45.5</v>
      </c>
      <c r="U46" s="95">
        <f>V46/(V47+V46)*T46</f>
        <v>5.1051139718908699E-2</v>
      </c>
      <c r="V46" s="96">
        <v>1.9</v>
      </c>
      <c r="W46" s="95">
        <f>V46-U46</f>
        <v>1.8489488602810913</v>
      </c>
      <c r="X46" s="103">
        <v>0.46</v>
      </c>
      <c r="Y46" s="98">
        <f>V46/X46*3600/1000</f>
        <v>14.869565217391305</v>
      </c>
      <c r="Z46" s="25"/>
    </row>
    <row r="47" spans="1:26">
      <c r="A47" s="26" t="s">
        <v>131</v>
      </c>
      <c r="B47" s="27" t="s">
        <v>118</v>
      </c>
      <c r="C47" s="28">
        <v>23071</v>
      </c>
      <c r="D47" s="29" t="s">
        <v>139</v>
      </c>
      <c r="E47" s="30"/>
      <c r="F47" s="27">
        <v>13.8</v>
      </c>
      <c r="G47" s="31">
        <v>50390</v>
      </c>
      <c r="H47" s="32" t="s">
        <v>196</v>
      </c>
      <c r="I47" s="33" t="s">
        <v>128</v>
      </c>
      <c r="J47" s="62"/>
      <c r="M47" s="23"/>
      <c r="N47" s="23"/>
      <c r="O47" s="24"/>
      <c r="P47" s="656"/>
      <c r="Q47" s="657"/>
      <c r="R47" s="106" t="s">
        <v>0</v>
      </c>
      <c r="S47" s="100"/>
      <c r="T47" s="658"/>
      <c r="U47" s="95">
        <f>V47/(V47+V46)*T46</f>
        <v>45.448948860281092</v>
      </c>
      <c r="V47" s="96">
        <v>1691.5</v>
      </c>
      <c r="W47" s="95">
        <f>V47-U47</f>
        <v>1646.051051139719</v>
      </c>
      <c r="X47" s="103">
        <v>0.6</v>
      </c>
      <c r="Y47" s="98">
        <f>V47/X47*3600/1000</f>
        <v>10149.000000000002</v>
      </c>
      <c r="Z47" s="25"/>
    </row>
    <row r="48" spans="1:26">
      <c r="A48" s="26" t="s">
        <v>131</v>
      </c>
      <c r="B48" s="27" t="s">
        <v>110</v>
      </c>
      <c r="C48" s="28">
        <v>22282</v>
      </c>
      <c r="D48" s="29" t="s">
        <v>136</v>
      </c>
      <c r="E48" s="30"/>
      <c r="F48" s="27">
        <v>13.5</v>
      </c>
      <c r="G48" s="31">
        <v>31420</v>
      </c>
      <c r="H48" s="32" t="s">
        <v>196</v>
      </c>
      <c r="I48" s="33" t="s">
        <v>128</v>
      </c>
      <c r="J48" s="62"/>
      <c r="M48" s="23"/>
      <c r="N48" s="23"/>
      <c r="O48" s="24"/>
      <c r="P48" s="90"/>
      <c r="Q48" s="91"/>
      <c r="R48" s="91"/>
      <c r="S48" s="91"/>
      <c r="T48" s="91"/>
      <c r="U48" s="91"/>
      <c r="V48" s="91"/>
      <c r="W48" s="91"/>
      <c r="X48" s="101"/>
      <c r="Y48" s="92"/>
      <c r="Z48" s="25"/>
    </row>
    <row r="49" spans="1:26" ht="12.75" customHeight="1">
      <c r="A49" s="26" t="s">
        <v>131</v>
      </c>
      <c r="B49" s="27" t="s">
        <v>111</v>
      </c>
      <c r="C49" s="28">
        <v>22098</v>
      </c>
      <c r="D49" s="29" t="s">
        <v>136</v>
      </c>
      <c r="E49" s="30"/>
      <c r="F49" s="27">
        <v>243</v>
      </c>
      <c r="G49" s="31">
        <v>1032960</v>
      </c>
      <c r="H49" s="32" t="s">
        <v>196</v>
      </c>
      <c r="I49" s="33" t="s">
        <v>128</v>
      </c>
      <c r="J49" s="62"/>
      <c r="M49" s="23"/>
      <c r="N49" s="23"/>
      <c r="O49" s="24"/>
      <c r="P49" s="649" t="s">
        <v>78</v>
      </c>
      <c r="Q49" s="650"/>
      <c r="R49" s="102" t="s">
        <v>230</v>
      </c>
      <c r="S49" s="94"/>
      <c r="T49" s="658">
        <f>1383.02/38996.19*1157.47</f>
        <v>41.050270793121065</v>
      </c>
      <c r="U49" s="95">
        <f>V49/(V49+V50)*T49</f>
        <v>41.050270793121065</v>
      </c>
      <c r="V49" s="96">
        <v>1383.02</v>
      </c>
      <c r="W49" s="95">
        <f>V49-U49</f>
        <v>1341.9697292068788</v>
      </c>
      <c r="X49" s="103">
        <v>0.46</v>
      </c>
      <c r="Y49" s="98">
        <f>V49/X49*3600/1000</f>
        <v>10823.634782608695</v>
      </c>
      <c r="Z49" s="25"/>
    </row>
    <row r="50" spans="1:26" ht="12.75" customHeight="1">
      <c r="A50" s="26" t="s">
        <v>131</v>
      </c>
      <c r="B50" s="27" t="s">
        <v>112</v>
      </c>
      <c r="C50" s="28">
        <v>21763</v>
      </c>
      <c r="D50" s="29" t="s">
        <v>136</v>
      </c>
      <c r="E50" s="30"/>
      <c r="F50" s="27">
        <v>13.2</v>
      </c>
      <c r="G50" s="31">
        <v>43100</v>
      </c>
      <c r="H50" s="32" t="s">
        <v>196</v>
      </c>
      <c r="I50" s="33" t="s">
        <v>128</v>
      </c>
      <c r="J50" s="62"/>
      <c r="M50" s="23"/>
      <c r="N50" s="23"/>
      <c r="O50" s="24"/>
      <c r="P50" s="651"/>
      <c r="Q50" s="652"/>
      <c r="R50" s="104"/>
      <c r="S50" s="100"/>
      <c r="T50" s="658"/>
      <c r="U50" s="95"/>
      <c r="V50" s="96"/>
      <c r="W50" s="95"/>
      <c r="X50" s="103"/>
      <c r="Y50" s="98"/>
      <c r="Z50" s="25"/>
    </row>
    <row r="51" spans="1:26">
      <c r="A51" s="26" t="s">
        <v>131</v>
      </c>
      <c r="B51" s="27" t="s">
        <v>113</v>
      </c>
      <c r="C51" s="28">
        <v>21217</v>
      </c>
      <c r="D51" s="29" t="s">
        <v>136</v>
      </c>
      <c r="E51" s="30"/>
      <c r="F51" s="27">
        <v>4</v>
      </c>
      <c r="G51" s="31">
        <v>14290</v>
      </c>
      <c r="H51" s="32" t="s">
        <v>196</v>
      </c>
      <c r="I51" s="33" t="s">
        <v>128</v>
      </c>
      <c r="J51" s="62"/>
      <c r="M51" s="23"/>
      <c r="N51" s="107"/>
      <c r="O51" s="24"/>
      <c r="P51" s="90"/>
      <c r="Q51" s="91"/>
      <c r="R51" s="91"/>
      <c r="S51" s="91"/>
      <c r="T51" s="91"/>
      <c r="U51" s="91"/>
      <c r="V51" s="91"/>
      <c r="W51" s="91"/>
      <c r="X51" s="101"/>
      <c r="Y51" s="92"/>
      <c r="Z51" s="25"/>
    </row>
    <row r="52" spans="1:26">
      <c r="A52" s="26" t="s">
        <v>131</v>
      </c>
      <c r="B52" s="27" t="s">
        <v>114</v>
      </c>
      <c r="C52" s="28">
        <v>19329</v>
      </c>
      <c r="D52" s="29" t="s">
        <v>136</v>
      </c>
      <c r="E52" s="30"/>
      <c r="F52" s="27">
        <v>20</v>
      </c>
      <c r="G52" s="31">
        <v>96700</v>
      </c>
      <c r="H52" s="32" t="s">
        <v>196</v>
      </c>
      <c r="I52" s="33" t="s">
        <v>128</v>
      </c>
      <c r="J52" s="62"/>
      <c r="M52" s="23"/>
      <c r="N52" s="23"/>
      <c r="O52" s="24"/>
      <c r="P52" s="649" t="s">
        <v>203</v>
      </c>
      <c r="Q52" s="650"/>
      <c r="R52" s="102" t="s">
        <v>156</v>
      </c>
      <c r="S52" s="94"/>
      <c r="T52" s="653">
        <f>1381.3/38996.19*1157.47</f>
        <v>40.999218410824234</v>
      </c>
      <c r="U52" s="95">
        <f>V52/(V53+V52)*T52</f>
        <v>1.484080880721937E-2</v>
      </c>
      <c r="V52" s="96">
        <v>0.5</v>
      </c>
      <c r="W52" s="95">
        <f>V52-U52</f>
        <v>0.48515919119278061</v>
      </c>
      <c r="X52" s="103">
        <v>0.46</v>
      </c>
      <c r="Y52" s="98">
        <f>V52/X52*3600/1000</f>
        <v>3.9130434782608696</v>
      </c>
      <c r="Z52" s="25"/>
    </row>
    <row r="53" spans="1:26" ht="13" customHeight="1">
      <c r="A53" s="26" t="s">
        <v>131</v>
      </c>
      <c r="B53" s="27" t="s">
        <v>115</v>
      </c>
      <c r="C53" s="28">
        <v>19176</v>
      </c>
      <c r="D53" s="29" t="s">
        <v>136</v>
      </c>
      <c r="E53" s="30"/>
      <c r="F53" s="27">
        <v>22</v>
      </c>
      <c r="G53" s="31">
        <v>49490</v>
      </c>
      <c r="H53" s="32" t="s">
        <v>196</v>
      </c>
      <c r="I53" s="33" t="s">
        <v>128</v>
      </c>
      <c r="J53" s="62"/>
      <c r="M53" s="23"/>
      <c r="N53" s="23"/>
      <c r="O53" s="24"/>
      <c r="P53" s="651"/>
      <c r="Q53" s="652"/>
      <c r="R53" s="106" t="s">
        <v>0</v>
      </c>
      <c r="S53" s="100"/>
      <c r="T53" s="653"/>
      <c r="U53" s="95">
        <f>V53/(V53+V52)*T52</f>
        <v>40.984377602017013</v>
      </c>
      <c r="V53" s="96">
        <v>1380.8</v>
      </c>
      <c r="W53" s="95">
        <f>V53-U53</f>
        <v>1339.8156223979829</v>
      </c>
      <c r="X53" s="103">
        <v>0.6</v>
      </c>
      <c r="Y53" s="98">
        <f>V53/X53*3600/1000</f>
        <v>8284.8000000000011</v>
      </c>
      <c r="Z53" s="25"/>
    </row>
    <row r="54" spans="1:26">
      <c r="A54" s="26" t="s">
        <v>131</v>
      </c>
      <c r="B54" s="27" t="s">
        <v>116</v>
      </c>
      <c r="C54" s="28">
        <v>9192</v>
      </c>
      <c r="D54" s="29" t="s">
        <v>136</v>
      </c>
      <c r="E54" s="30"/>
      <c r="F54" s="27">
        <v>1.1000000000000001</v>
      </c>
      <c r="G54" s="31">
        <v>3150</v>
      </c>
      <c r="H54" s="32" t="s">
        <v>196</v>
      </c>
      <c r="I54" s="33" t="s">
        <v>128</v>
      </c>
      <c r="J54" s="62"/>
      <c r="M54" s="23"/>
      <c r="N54" s="23"/>
      <c r="O54" s="24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25"/>
    </row>
    <row r="55" spans="1:26" ht="12.75" customHeight="1">
      <c r="A55" s="34" t="s">
        <v>132</v>
      </c>
      <c r="B55" s="27" t="s">
        <v>121</v>
      </c>
      <c r="C55" s="108" t="s">
        <v>141</v>
      </c>
      <c r="D55" s="109"/>
      <c r="E55" s="110"/>
      <c r="F55" s="27">
        <v>44</v>
      </c>
      <c r="G55" s="79"/>
      <c r="H55" s="37" t="s">
        <v>141</v>
      </c>
      <c r="I55" s="38" t="s">
        <v>129</v>
      </c>
      <c r="J55" s="62"/>
      <c r="M55" s="23"/>
      <c r="N55" s="23"/>
      <c r="O55" s="24"/>
      <c r="P55" s="654" t="s">
        <v>204</v>
      </c>
      <c r="Q55" s="655"/>
      <c r="R55" s="102" t="s">
        <v>230</v>
      </c>
      <c r="S55" s="94"/>
      <c r="T55" s="658">
        <v>18</v>
      </c>
      <c r="U55" s="95">
        <f>V55/(V55+V56)*T55</f>
        <v>18</v>
      </c>
      <c r="V55" s="96">
        <v>820</v>
      </c>
      <c r="W55" s="95">
        <f>V55-U55</f>
        <v>802</v>
      </c>
      <c r="X55" s="103">
        <v>0.45</v>
      </c>
      <c r="Y55" s="98">
        <f>V55/X55*3600/1000</f>
        <v>6560</v>
      </c>
      <c r="Z55" s="25"/>
    </row>
    <row r="56" spans="1:26">
      <c r="A56" s="34" t="s">
        <v>132</v>
      </c>
      <c r="B56" s="27" t="s">
        <v>122</v>
      </c>
      <c r="C56" s="108" t="s">
        <v>141</v>
      </c>
      <c r="D56" s="109"/>
      <c r="E56" s="110"/>
      <c r="F56" s="27">
        <v>35</v>
      </c>
      <c r="G56" s="31">
        <v>99010</v>
      </c>
      <c r="H56" s="32" t="s">
        <v>196</v>
      </c>
      <c r="I56" s="33" t="s">
        <v>128</v>
      </c>
      <c r="J56" s="62"/>
      <c r="L56" s="23"/>
      <c r="M56" s="23"/>
      <c r="N56" s="23"/>
      <c r="O56" s="24"/>
      <c r="P56" s="656"/>
      <c r="Q56" s="657"/>
      <c r="R56" s="104"/>
      <c r="S56" s="100"/>
      <c r="T56" s="658"/>
      <c r="U56" s="95"/>
      <c r="V56" s="96"/>
      <c r="W56" s="95"/>
      <c r="X56" s="103"/>
      <c r="Y56" s="98"/>
      <c r="Z56" s="25"/>
    </row>
    <row r="57" spans="1:26">
      <c r="A57" s="34" t="s">
        <v>132</v>
      </c>
      <c r="B57" s="27" t="s">
        <v>123</v>
      </c>
      <c r="C57" s="108" t="s">
        <v>141</v>
      </c>
      <c r="D57" s="109"/>
      <c r="E57" s="110"/>
      <c r="F57" s="27">
        <v>39</v>
      </c>
      <c r="G57" s="79"/>
      <c r="H57" s="37" t="s">
        <v>141</v>
      </c>
      <c r="I57" s="38" t="s">
        <v>86</v>
      </c>
      <c r="J57" s="62"/>
      <c r="L57" s="23"/>
      <c r="M57" s="23"/>
      <c r="N57" s="23"/>
      <c r="O57" s="24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25"/>
    </row>
    <row r="58" spans="1:26">
      <c r="A58" s="34" t="s">
        <v>132</v>
      </c>
      <c r="B58" s="27" t="s">
        <v>127</v>
      </c>
      <c r="C58" s="108" t="s">
        <v>141</v>
      </c>
      <c r="D58" s="109"/>
      <c r="E58" s="110"/>
      <c r="F58" s="27">
        <v>17</v>
      </c>
      <c r="G58" s="79"/>
      <c r="H58" s="37" t="s">
        <v>141</v>
      </c>
      <c r="I58" s="38" t="s">
        <v>129</v>
      </c>
      <c r="J58" s="62"/>
      <c r="L58" s="23"/>
      <c r="M58" s="23"/>
      <c r="N58" s="23"/>
      <c r="O58" s="24"/>
      <c r="P58" s="654" t="s">
        <v>205</v>
      </c>
      <c r="Q58" s="655"/>
      <c r="R58" s="102" t="s">
        <v>230</v>
      </c>
      <c r="S58" s="94"/>
      <c r="T58" s="658">
        <v>29.87</v>
      </c>
      <c r="U58" s="95">
        <f>V58/(V58+V59)*T58</f>
        <v>29.87</v>
      </c>
      <c r="V58" s="96">
        <v>1468.21</v>
      </c>
      <c r="W58" s="95">
        <f>V58-U58</f>
        <v>1438.3400000000001</v>
      </c>
      <c r="X58" s="103">
        <v>0.45</v>
      </c>
      <c r="Y58" s="98">
        <f>V58/X58*3600/1000</f>
        <v>11745.68</v>
      </c>
      <c r="Z58" s="25"/>
    </row>
    <row r="59" spans="1:26" ht="14" thickBot="1">
      <c r="A59" s="111" t="s">
        <v>89</v>
      </c>
      <c r="B59" s="112" t="s">
        <v>189</v>
      </c>
      <c r="C59" s="113"/>
      <c r="D59" s="114"/>
      <c r="E59" s="115" t="s">
        <v>194</v>
      </c>
      <c r="F59" s="112">
        <v>100</v>
      </c>
      <c r="G59" s="116">
        <v>606000</v>
      </c>
      <c r="H59" s="117" t="s">
        <v>196</v>
      </c>
      <c r="I59" s="118" t="s">
        <v>128</v>
      </c>
      <c r="J59" s="62"/>
      <c r="L59" s="22"/>
      <c r="M59" s="23"/>
      <c r="N59" s="23"/>
      <c r="O59" s="24"/>
      <c r="P59" s="656"/>
      <c r="Q59" s="657"/>
      <c r="R59" s="104"/>
      <c r="S59" s="100"/>
      <c r="T59" s="658"/>
      <c r="U59" s="95"/>
      <c r="V59" s="96"/>
      <c r="W59" s="95"/>
      <c r="X59" s="103"/>
      <c r="Y59" s="98"/>
      <c r="Z59" s="25"/>
    </row>
    <row r="60" spans="1:26">
      <c r="O60" s="119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0"/>
    </row>
    <row r="61" spans="1:26">
      <c r="O61" s="119"/>
      <c r="P61" s="654" t="s">
        <v>207</v>
      </c>
      <c r="Q61" s="655"/>
      <c r="R61" s="102" t="s">
        <v>230</v>
      </c>
      <c r="S61" s="94"/>
      <c r="T61" s="658">
        <v>33.44</v>
      </c>
      <c r="U61" s="95">
        <f>V61/(V61+V62)*T61</f>
        <v>33.44</v>
      </c>
      <c r="V61" s="96">
        <v>1309.9100000000001</v>
      </c>
      <c r="W61" s="95">
        <f>V61-U61</f>
        <v>1276.47</v>
      </c>
      <c r="X61" s="103">
        <v>0.45</v>
      </c>
      <c r="Y61" s="98">
        <f>V61/X61*3600/1000</f>
        <v>10479.280000000001</v>
      </c>
      <c r="Z61" s="120"/>
    </row>
    <row r="62" spans="1:26">
      <c r="B62" s="27"/>
      <c r="C62" s="28"/>
      <c r="D62" s="29"/>
      <c r="E62" s="30"/>
      <c r="F62" s="27"/>
      <c r="G62" s="31"/>
      <c r="H62" s="32"/>
      <c r="I62" s="121"/>
      <c r="L62" s="22"/>
      <c r="M62" s="23"/>
      <c r="N62" s="23"/>
      <c r="O62" s="119"/>
      <c r="P62" s="656"/>
      <c r="Q62" s="657"/>
      <c r="R62" s="104"/>
      <c r="S62" s="100"/>
      <c r="T62" s="658"/>
      <c r="U62" s="95"/>
      <c r="V62" s="96"/>
      <c r="W62" s="95"/>
      <c r="X62" s="103"/>
      <c r="Y62" s="98"/>
      <c r="Z62" s="120"/>
    </row>
    <row r="63" spans="1:26" ht="14" thickBot="1">
      <c r="B63" s="27"/>
      <c r="C63" s="28"/>
      <c r="D63" s="29"/>
      <c r="E63" s="30"/>
      <c r="F63" s="27"/>
      <c r="G63" s="31"/>
      <c r="H63" s="32"/>
      <c r="I63" s="121"/>
      <c r="L63" s="22"/>
      <c r="M63" s="23"/>
      <c r="N63" s="23"/>
      <c r="O63" s="119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0"/>
    </row>
    <row r="64" spans="1:26" ht="14" thickBot="1">
      <c r="A64" s="27"/>
      <c r="B64" s="122"/>
      <c r="C64" s="123"/>
      <c r="D64" s="124"/>
      <c r="E64" s="125" t="s">
        <v>218</v>
      </c>
      <c r="F64" s="126"/>
      <c r="G64" s="127">
        <f>SUM(G3:G59)</f>
        <v>81251320</v>
      </c>
      <c r="H64" s="128"/>
      <c r="I64" s="129"/>
      <c r="L64" s="22"/>
      <c r="M64" s="23"/>
      <c r="N64" s="23"/>
      <c r="O64" s="119"/>
      <c r="P64" s="649" t="s">
        <v>208</v>
      </c>
      <c r="Q64" s="650"/>
      <c r="R64" s="130"/>
      <c r="S64" s="94"/>
      <c r="T64" s="653">
        <f>742.45/38996.19*1157.47</f>
        <v>22.037116997840045</v>
      </c>
      <c r="U64" s="95"/>
      <c r="V64" s="96"/>
      <c r="W64" s="95"/>
      <c r="X64" s="103"/>
      <c r="Y64" s="98"/>
      <c r="Z64" s="120"/>
    </row>
    <row r="65" spans="1:26">
      <c r="A65" s="27"/>
      <c r="B65" s="122"/>
      <c r="C65" s="123"/>
      <c r="D65" s="124"/>
      <c r="E65" s="131"/>
      <c r="F65" s="122"/>
      <c r="G65" s="128"/>
      <c r="H65" s="128"/>
      <c r="I65" s="129"/>
      <c r="L65" s="22"/>
      <c r="M65" s="23"/>
      <c r="N65" s="23"/>
      <c r="O65" s="119"/>
      <c r="P65" s="651"/>
      <c r="Q65" s="652"/>
      <c r="R65" s="106" t="s">
        <v>0</v>
      </c>
      <c r="S65" s="100"/>
      <c r="T65" s="653"/>
      <c r="U65" s="95">
        <f>V65/(V65+V64)*T64</f>
        <v>22.037116997840045</v>
      </c>
      <c r="V65" s="96">
        <v>742.45</v>
      </c>
      <c r="W65" s="95">
        <f>V65-U65</f>
        <v>720.41288300216002</v>
      </c>
      <c r="X65" s="103">
        <v>0.6</v>
      </c>
      <c r="Y65" s="98">
        <f>V65/X65*3600/1000</f>
        <v>4454.7</v>
      </c>
      <c r="Z65" s="120"/>
    </row>
    <row r="66" spans="1:26">
      <c r="L66" s="22"/>
      <c r="M66" s="23"/>
      <c r="N66" s="23"/>
      <c r="O66" s="119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0"/>
    </row>
    <row r="67" spans="1:26">
      <c r="A67" s="5" t="s">
        <v>219</v>
      </c>
      <c r="L67" s="22"/>
      <c r="M67" s="23"/>
      <c r="N67" s="23"/>
      <c r="O67" s="119"/>
      <c r="P67" s="654" t="s">
        <v>80</v>
      </c>
      <c r="Q67" s="655"/>
      <c r="R67" s="132" t="s">
        <v>125</v>
      </c>
      <c r="S67" s="94"/>
      <c r="T67" s="658">
        <v>81.81</v>
      </c>
      <c r="U67" s="95">
        <f>V67/(V67+V68)*T67</f>
        <v>81.81</v>
      </c>
      <c r="V67" s="96">
        <v>7164.66</v>
      </c>
      <c r="W67" s="95">
        <f>V67-U67</f>
        <v>7082.8499999999995</v>
      </c>
      <c r="X67" s="103"/>
      <c r="Y67" s="98"/>
      <c r="Z67" s="120"/>
    </row>
    <row r="68" spans="1:26">
      <c r="A68" s="23"/>
      <c r="B68" s="23"/>
      <c r="C68" s="133"/>
      <c r="D68" s="134"/>
      <c r="E68" s="135"/>
      <c r="F68" s="23"/>
      <c r="G68" s="23"/>
      <c r="H68" s="23"/>
      <c r="I68" s="23"/>
      <c r="L68" s="22"/>
      <c r="M68" s="23"/>
      <c r="N68" s="23"/>
      <c r="O68" s="119"/>
      <c r="P68" s="656"/>
      <c r="Q68" s="657"/>
      <c r="R68" s="99"/>
      <c r="S68" s="100"/>
      <c r="T68" s="658"/>
      <c r="U68" s="95"/>
      <c r="V68" s="96"/>
      <c r="W68" s="95"/>
      <c r="X68" s="103"/>
      <c r="Y68" s="98"/>
      <c r="Z68" s="120"/>
    </row>
    <row r="69" spans="1:26">
      <c r="A69" s="23"/>
      <c r="B69" s="23"/>
      <c r="C69" s="133"/>
      <c r="D69" s="134"/>
      <c r="E69" s="135"/>
      <c r="F69" s="23"/>
      <c r="G69" s="23"/>
      <c r="H69" s="23"/>
      <c r="I69" s="23"/>
      <c r="L69" s="22"/>
      <c r="O69" s="119"/>
      <c r="P69" s="90"/>
      <c r="Q69" s="91"/>
      <c r="R69" s="91"/>
      <c r="S69" s="91"/>
      <c r="T69" s="91"/>
      <c r="U69" s="91"/>
      <c r="V69" s="91"/>
      <c r="W69" s="91"/>
      <c r="X69" s="101"/>
      <c r="Y69" s="92"/>
      <c r="Z69" s="120"/>
    </row>
    <row r="70" spans="1:26">
      <c r="A70" s="23"/>
      <c r="B70" s="23"/>
      <c r="C70" s="133"/>
      <c r="D70" s="134"/>
      <c r="E70" s="135"/>
      <c r="F70" s="23"/>
      <c r="G70" s="23"/>
      <c r="H70" s="23"/>
      <c r="I70" s="23"/>
      <c r="L70" s="22"/>
      <c r="O70" s="119"/>
      <c r="P70" s="654" t="s">
        <v>209</v>
      </c>
      <c r="Q70" s="655"/>
      <c r="R70" s="132" t="s">
        <v>125</v>
      </c>
      <c r="S70" s="94"/>
      <c r="T70" s="658">
        <v>3.88</v>
      </c>
      <c r="U70" s="95">
        <f>V70/(V70+V71)*T70</f>
        <v>3.88</v>
      </c>
      <c r="V70" s="96">
        <v>202.01</v>
      </c>
      <c r="W70" s="95">
        <f>V70-U70</f>
        <v>198.13</v>
      </c>
      <c r="X70" s="103"/>
      <c r="Y70" s="98"/>
      <c r="Z70" s="120"/>
    </row>
    <row r="71" spans="1:26">
      <c r="A71" s="23"/>
      <c r="B71" s="23"/>
      <c r="C71" s="133"/>
      <c r="D71" s="134"/>
      <c r="E71" s="135"/>
      <c r="F71" s="23"/>
      <c r="G71" s="23"/>
      <c r="H71" s="23"/>
      <c r="I71" s="23"/>
      <c r="L71" s="22"/>
      <c r="O71" s="119"/>
      <c r="P71" s="656"/>
      <c r="Q71" s="657"/>
      <c r="R71" s="99"/>
      <c r="S71" s="100"/>
      <c r="T71" s="658"/>
      <c r="U71" s="95"/>
      <c r="V71" s="96"/>
      <c r="W71" s="95"/>
      <c r="X71" s="103"/>
      <c r="Y71" s="98"/>
      <c r="Z71" s="120"/>
    </row>
    <row r="72" spans="1:26">
      <c r="A72" s="23"/>
      <c r="B72" s="23"/>
      <c r="C72" s="133"/>
      <c r="D72" s="134"/>
      <c r="E72" s="135"/>
      <c r="F72" s="23"/>
      <c r="G72" s="23"/>
      <c r="H72" s="23"/>
      <c r="I72" s="23"/>
      <c r="O72" s="119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0"/>
    </row>
    <row r="73" spans="1:26">
      <c r="A73" s="23"/>
      <c r="B73" s="23"/>
      <c r="C73" s="133"/>
      <c r="D73" s="134"/>
      <c r="E73" s="135"/>
      <c r="F73" s="23"/>
      <c r="G73" s="23"/>
      <c r="H73" s="23"/>
      <c r="I73" s="23"/>
      <c r="O73" s="119"/>
      <c r="P73" s="654" t="s">
        <v>210</v>
      </c>
      <c r="Q73" s="655"/>
      <c r="R73" s="132" t="s">
        <v>125</v>
      </c>
      <c r="S73" s="94"/>
      <c r="T73" s="658">
        <v>0.06</v>
      </c>
      <c r="U73" s="95">
        <f>V73/(V73+V74)*T73</f>
        <v>0.06</v>
      </c>
      <c r="V73" s="96">
        <v>75.27</v>
      </c>
      <c r="W73" s="95">
        <f>V73-U73</f>
        <v>75.209999999999994</v>
      </c>
      <c r="X73" s="103"/>
      <c r="Y73" s="98"/>
      <c r="Z73" s="120"/>
    </row>
    <row r="74" spans="1:26">
      <c r="A74" s="23"/>
      <c r="B74" s="23"/>
      <c r="C74" s="133"/>
      <c r="D74" s="134"/>
      <c r="E74" s="135"/>
      <c r="F74" s="23"/>
      <c r="G74" s="23"/>
      <c r="H74" s="23"/>
      <c r="I74" s="23"/>
      <c r="O74" s="119"/>
      <c r="P74" s="656"/>
      <c r="Q74" s="657"/>
      <c r="R74" s="99"/>
      <c r="S74" s="100"/>
      <c r="T74" s="658"/>
      <c r="U74" s="95"/>
      <c r="V74" s="96"/>
      <c r="W74" s="95"/>
      <c r="X74" s="103"/>
      <c r="Y74" s="98"/>
      <c r="Z74" s="120"/>
    </row>
    <row r="75" spans="1:26">
      <c r="A75" s="23"/>
      <c r="B75" s="23"/>
      <c r="C75" s="133"/>
      <c r="D75" s="134"/>
      <c r="E75" s="135"/>
      <c r="F75" s="23"/>
      <c r="G75" s="23"/>
      <c r="H75" s="23"/>
      <c r="I75" s="23"/>
      <c r="O75" s="119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0"/>
    </row>
    <row r="76" spans="1:26">
      <c r="A76" s="23"/>
      <c r="B76" s="23"/>
      <c r="C76" s="133"/>
      <c r="D76" s="134"/>
      <c r="E76" s="135"/>
      <c r="F76" s="23"/>
      <c r="G76" s="23"/>
      <c r="H76" s="23"/>
      <c r="I76" s="23"/>
      <c r="O76" s="119"/>
      <c r="P76" s="654" t="s">
        <v>211</v>
      </c>
      <c r="Q76" s="655"/>
      <c r="R76" s="132" t="s">
        <v>125</v>
      </c>
      <c r="S76" s="94"/>
      <c r="T76" s="658">
        <v>4.78</v>
      </c>
      <c r="U76" s="95">
        <f>V76/(V76+V77)*T76</f>
        <v>4.78</v>
      </c>
      <c r="V76" s="96">
        <v>296.64999999999998</v>
      </c>
      <c r="W76" s="95">
        <f>V76-U76</f>
        <v>291.87</v>
      </c>
      <c r="X76" s="103"/>
      <c r="Y76" s="98"/>
      <c r="Z76" s="120"/>
    </row>
    <row r="77" spans="1:26">
      <c r="A77" s="23"/>
      <c r="B77" s="23"/>
      <c r="C77" s="133"/>
      <c r="D77" s="134"/>
      <c r="E77" s="135"/>
      <c r="F77" s="23"/>
      <c r="G77" s="23"/>
      <c r="H77" s="23"/>
      <c r="I77" s="23"/>
      <c r="O77" s="119"/>
      <c r="P77" s="656"/>
      <c r="Q77" s="657"/>
      <c r="R77" s="99"/>
      <c r="S77" s="100"/>
      <c r="T77" s="658"/>
      <c r="U77" s="95"/>
      <c r="V77" s="96"/>
      <c r="W77" s="95"/>
      <c r="X77" s="103"/>
      <c r="Y77" s="98"/>
      <c r="Z77" s="120"/>
    </row>
    <row r="78" spans="1:26">
      <c r="A78" s="23"/>
      <c r="B78" s="23"/>
      <c r="C78" s="133"/>
      <c r="D78" s="134"/>
      <c r="E78" s="135"/>
      <c r="F78" s="23"/>
      <c r="G78" s="23"/>
      <c r="H78" s="23"/>
      <c r="I78" s="23"/>
      <c r="O78" s="119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0"/>
    </row>
    <row r="79" spans="1:26">
      <c r="A79" s="23"/>
      <c r="B79" s="23"/>
      <c r="C79" s="133"/>
      <c r="D79" s="134"/>
      <c r="E79" s="135"/>
      <c r="F79" s="23"/>
      <c r="G79" s="23"/>
      <c r="H79" s="23"/>
      <c r="I79" s="23"/>
      <c r="O79" s="119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0"/>
    </row>
    <row r="80" spans="1:26">
      <c r="A80" s="23"/>
      <c r="B80" s="23"/>
      <c r="C80" s="133"/>
      <c r="D80" s="134"/>
      <c r="E80" s="135"/>
      <c r="F80" s="23"/>
      <c r="G80" s="23"/>
      <c r="H80" s="23"/>
      <c r="I80" s="23"/>
      <c r="O80" s="24"/>
      <c r="P80" s="101"/>
      <c r="Q80" s="101"/>
      <c r="R80" s="101"/>
      <c r="S80" s="101"/>
      <c r="T80" s="101"/>
      <c r="U80" s="101"/>
      <c r="V80" s="101"/>
      <c r="W80" s="101"/>
      <c r="X80" s="101"/>
      <c r="Y80" s="101"/>
      <c r="Z80" s="25"/>
    </row>
    <row r="81" spans="1:26">
      <c r="A81" s="23"/>
      <c r="B81" s="23"/>
      <c r="C81" s="133"/>
      <c r="D81" s="134"/>
      <c r="E81" s="135"/>
      <c r="F81" s="23"/>
      <c r="G81" s="23"/>
      <c r="H81" s="23"/>
      <c r="I81" s="23"/>
      <c r="O81" s="24"/>
      <c r="P81" s="136"/>
      <c r="Q81" s="136"/>
      <c r="R81" s="101"/>
      <c r="S81" s="101"/>
      <c r="T81" s="101"/>
      <c r="U81" s="101"/>
      <c r="V81" s="137" t="s">
        <v>40</v>
      </c>
      <c r="W81" s="98">
        <f>SUM(W37:W77)</f>
        <v>19574.472751584286</v>
      </c>
      <c r="X81" s="101"/>
      <c r="Y81" s="101"/>
      <c r="Z81" s="25"/>
    </row>
    <row r="82" spans="1:26">
      <c r="A82" s="23"/>
      <c r="B82" s="23"/>
      <c r="C82" s="133"/>
      <c r="D82" s="134"/>
      <c r="E82" s="135"/>
      <c r="F82" s="23"/>
      <c r="G82" s="23"/>
      <c r="H82" s="23"/>
      <c r="I82" s="23"/>
      <c r="O82" s="24"/>
      <c r="P82" s="101"/>
      <c r="Q82" s="101"/>
      <c r="R82" s="101"/>
      <c r="S82" s="101"/>
      <c r="T82" s="101"/>
      <c r="U82" s="101"/>
      <c r="V82" s="101"/>
      <c r="W82" s="101"/>
      <c r="X82" s="137" t="s">
        <v>41</v>
      </c>
      <c r="Y82" s="98">
        <f>Y40+Y49+Y55+Y58+Y61</f>
        <v>49610.594782608692</v>
      </c>
      <c r="Z82" s="25"/>
    </row>
    <row r="83" spans="1:26">
      <c r="A83" s="23"/>
      <c r="B83" s="23"/>
      <c r="C83" s="133"/>
      <c r="D83" s="134"/>
      <c r="E83" s="135"/>
      <c r="F83" s="23"/>
      <c r="G83" s="23"/>
      <c r="H83" s="23"/>
      <c r="I83" s="23"/>
      <c r="O83" s="24"/>
      <c r="P83" s="101"/>
      <c r="Q83" s="101"/>
      <c r="R83" s="101"/>
      <c r="S83" s="101"/>
      <c r="T83" s="101"/>
      <c r="U83" s="101"/>
      <c r="V83" s="101"/>
      <c r="W83" s="101"/>
      <c r="X83" s="138" t="s">
        <v>42</v>
      </c>
      <c r="Y83" s="98">
        <f>Y44+Y47+Y53+Y65</f>
        <v>24963.900000000005</v>
      </c>
      <c r="Z83" s="25"/>
    </row>
    <row r="84" spans="1:26">
      <c r="A84" s="23"/>
      <c r="B84" s="23"/>
      <c r="C84" s="133"/>
      <c r="D84" s="134"/>
      <c r="E84" s="135"/>
      <c r="F84" s="23"/>
      <c r="G84" s="23"/>
      <c r="H84" s="23"/>
      <c r="I84" s="23"/>
      <c r="O84" s="24"/>
      <c r="P84" s="101"/>
      <c r="Q84" s="101"/>
      <c r="R84" s="101"/>
      <c r="S84" s="101"/>
      <c r="T84" s="101"/>
      <c r="U84" s="101"/>
      <c r="V84" s="101"/>
      <c r="W84" s="101"/>
      <c r="X84" s="138" t="s">
        <v>213</v>
      </c>
      <c r="Y84" s="98">
        <f>Y43+Y46+Y52</f>
        <v>1799.2173913043475</v>
      </c>
      <c r="Z84" s="25"/>
    </row>
    <row r="85" spans="1:26">
      <c r="A85" s="23"/>
      <c r="B85" s="23"/>
      <c r="C85" s="133"/>
      <c r="D85" s="134"/>
      <c r="E85" s="135"/>
      <c r="F85" s="23"/>
      <c r="G85" s="23"/>
      <c r="H85" s="23"/>
      <c r="I85" s="23"/>
      <c r="O85" s="139"/>
      <c r="P85" s="140"/>
      <c r="Q85" s="140"/>
      <c r="R85" s="140"/>
      <c r="S85" s="140"/>
      <c r="T85" s="140"/>
      <c r="U85" s="140"/>
      <c r="V85" s="140"/>
      <c r="W85" s="140"/>
      <c r="X85" s="140"/>
      <c r="Y85" s="140"/>
      <c r="Z85" s="141"/>
    </row>
    <row r="86" spans="1:26">
      <c r="A86" s="23"/>
      <c r="B86" s="23"/>
      <c r="C86" s="133"/>
      <c r="D86" s="134"/>
      <c r="E86" s="135"/>
      <c r="F86" s="23"/>
      <c r="G86" s="23"/>
      <c r="H86" s="23"/>
      <c r="I86" s="23"/>
    </row>
    <row r="87" spans="1:26">
      <c r="A87" s="23"/>
      <c r="B87" s="23"/>
      <c r="C87" s="133"/>
      <c r="D87" s="134"/>
      <c r="E87" s="135"/>
      <c r="F87" s="23"/>
      <c r="G87" s="23"/>
      <c r="H87" s="23"/>
      <c r="I87" s="23"/>
    </row>
    <row r="88" spans="1:26">
      <c r="A88" s="23"/>
      <c r="B88" s="23"/>
      <c r="C88" s="133"/>
      <c r="D88" s="134"/>
      <c r="E88" s="135"/>
      <c r="F88" s="23"/>
      <c r="G88" s="23"/>
      <c r="H88" s="23"/>
      <c r="I88" s="23"/>
    </row>
    <row r="89" spans="1:26">
      <c r="A89" s="23"/>
      <c r="B89" s="23"/>
      <c r="C89" s="133"/>
      <c r="D89" s="134"/>
      <c r="E89" s="135"/>
      <c r="F89" s="23"/>
      <c r="G89" s="23"/>
      <c r="H89" s="23"/>
      <c r="I89" s="23"/>
    </row>
    <row r="90" spans="1:26">
      <c r="A90" s="23"/>
      <c r="B90" s="23"/>
      <c r="C90" s="133"/>
      <c r="D90" s="134"/>
      <c r="E90" s="135"/>
      <c r="F90" s="23"/>
      <c r="G90" s="23"/>
      <c r="H90" s="23"/>
      <c r="I90" s="23"/>
    </row>
    <row r="91" spans="1:26">
      <c r="A91" s="23"/>
      <c r="B91" s="23"/>
      <c r="C91" s="133"/>
      <c r="D91" s="134"/>
      <c r="E91" s="135"/>
      <c r="F91" s="23"/>
      <c r="G91" s="23"/>
      <c r="H91" s="23"/>
      <c r="I91" s="23"/>
    </row>
    <row r="92" spans="1:26">
      <c r="A92" s="23"/>
      <c r="B92" s="23"/>
      <c r="C92" s="133"/>
      <c r="D92" s="134"/>
      <c r="E92" s="135"/>
      <c r="F92" s="23"/>
      <c r="G92" s="23"/>
      <c r="H92" s="23"/>
      <c r="I92" s="23"/>
    </row>
    <row r="93" spans="1:26" ht="13" customHeight="1">
      <c r="A93" s="23"/>
      <c r="B93" s="23"/>
      <c r="C93" s="133"/>
      <c r="D93" s="134"/>
      <c r="E93" s="135"/>
      <c r="F93" s="23"/>
      <c r="G93" s="23"/>
      <c r="H93" s="23"/>
      <c r="I93" s="23"/>
    </row>
    <row r="94" spans="1:26">
      <c r="A94" s="23"/>
      <c r="B94" s="23"/>
      <c r="C94" s="133"/>
      <c r="D94" s="134"/>
      <c r="E94" s="135"/>
      <c r="F94" s="23"/>
      <c r="G94" s="23"/>
      <c r="H94" s="23"/>
      <c r="I94" s="23"/>
    </row>
    <row r="95" spans="1:26" ht="15.75" customHeight="1">
      <c r="A95" s="23"/>
      <c r="B95" s="23"/>
      <c r="C95" s="133"/>
      <c r="D95" s="134"/>
      <c r="E95" s="135"/>
      <c r="F95" s="23"/>
      <c r="G95" s="23"/>
      <c r="H95" s="23"/>
      <c r="I95" s="23"/>
    </row>
    <row r="96" spans="1:26">
      <c r="A96" s="23"/>
      <c r="B96" s="23"/>
      <c r="C96" s="133"/>
      <c r="D96" s="134"/>
      <c r="E96" s="135"/>
      <c r="F96" s="23"/>
      <c r="G96" s="23"/>
      <c r="H96" s="23"/>
      <c r="I96" s="23"/>
    </row>
    <row r="97" spans="1:9">
      <c r="A97" s="23"/>
      <c r="B97" s="23"/>
      <c r="C97" s="133"/>
      <c r="D97" s="134"/>
      <c r="E97" s="135"/>
      <c r="F97" s="23"/>
      <c r="G97" s="23"/>
      <c r="H97" s="23"/>
      <c r="I97" s="23"/>
    </row>
    <row r="98" spans="1:9" ht="15.75" customHeight="1">
      <c r="A98" s="23"/>
      <c r="B98" s="23"/>
      <c r="C98" s="133"/>
      <c r="D98" s="134"/>
      <c r="E98" s="135"/>
      <c r="F98" s="23"/>
      <c r="G98" s="23"/>
      <c r="H98" s="23"/>
      <c r="I98" s="23"/>
    </row>
    <row r="99" spans="1:9">
      <c r="A99" s="23"/>
      <c r="B99" s="23"/>
      <c r="C99" s="133"/>
      <c r="D99" s="134"/>
      <c r="E99" s="135"/>
      <c r="F99" s="23"/>
      <c r="G99" s="23"/>
      <c r="H99" s="23"/>
      <c r="I99" s="23"/>
    </row>
    <row r="100" spans="1:9">
      <c r="A100" s="23"/>
      <c r="B100" s="23"/>
      <c r="C100" s="133"/>
      <c r="D100" s="134"/>
      <c r="E100" s="135"/>
      <c r="F100" s="23"/>
      <c r="G100" s="23"/>
      <c r="H100" s="23"/>
      <c r="I100" s="23"/>
    </row>
    <row r="101" spans="1:9">
      <c r="A101" s="23"/>
      <c r="B101" s="23"/>
      <c r="C101" s="133"/>
      <c r="D101" s="134"/>
      <c r="E101" s="135"/>
      <c r="F101" s="23"/>
      <c r="G101" s="23"/>
      <c r="H101" s="23"/>
      <c r="I101" s="23"/>
    </row>
    <row r="102" spans="1:9">
      <c r="A102" s="23"/>
      <c r="B102" s="23"/>
      <c r="C102" s="133"/>
      <c r="D102" s="134"/>
      <c r="E102" s="135"/>
      <c r="F102" s="23"/>
      <c r="G102" s="23"/>
      <c r="H102" s="23"/>
      <c r="I102" s="23"/>
    </row>
    <row r="103" spans="1:9">
      <c r="A103" s="23"/>
      <c r="B103" s="23"/>
      <c r="C103" s="133"/>
      <c r="D103" s="134"/>
      <c r="E103" s="135"/>
      <c r="F103" s="23"/>
      <c r="G103" s="23"/>
      <c r="H103" s="23"/>
      <c r="I103" s="23"/>
    </row>
    <row r="104" spans="1:9">
      <c r="A104" s="23"/>
      <c r="B104" s="7"/>
      <c r="C104" s="142"/>
      <c r="D104" s="143"/>
      <c r="E104" s="135"/>
      <c r="F104" s="27"/>
      <c r="G104" s="27"/>
      <c r="H104" s="27"/>
      <c r="I104" s="23"/>
    </row>
    <row r="105" spans="1:9">
      <c r="A105" s="23"/>
      <c r="B105" s="7"/>
      <c r="C105" s="142"/>
      <c r="D105" s="143"/>
      <c r="E105" s="135"/>
      <c r="F105" s="27"/>
      <c r="G105" s="27"/>
      <c r="H105" s="27"/>
      <c r="I105" s="23"/>
    </row>
    <row r="106" spans="1:9">
      <c r="A106" s="23"/>
      <c r="B106" s="7"/>
      <c r="C106" s="142"/>
      <c r="D106" s="143"/>
      <c r="E106" s="135"/>
      <c r="F106" s="27"/>
      <c r="G106" s="27"/>
      <c r="H106" s="27"/>
      <c r="I106" s="23"/>
    </row>
    <row r="107" spans="1:9">
      <c r="A107" s="23"/>
      <c r="B107" s="7"/>
      <c r="C107" s="142"/>
      <c r="D107" s="143"/>
      <c r="E107" s="135"/>
      <c r="F107" s="27"/>
      <c r="G107" s="27"/>
      <c r="H107" s="27"/>
      <c r="I107" s="23"/>
    </row>
    <row r="108" spans="1:9">
      <c r="A108" s="23"/>
      <c r="B108" s="7"/>
      <c r="C108" s="142"/>
      <c r="D108" s="143"/>
      <c r="E108" s="135"/>
      <c r="F108" s="27"/>
      <c r="G108" s="27"/>
      <c r="H108" s="27"/>
      <c r="I108" s="23"/>
    </row>
    <row r="109" spans="1:9">
      <c r="A109" s="23"/>
      <c r="B109" s="7"/>
      <c r="C109" s="142"/>
      <c r="D109" s="143"/>
      <c r="E109" s="135"/>
      <c r="F109" s="27"/>
      <c r="G109" s="27"/>
      <c r="H109" s="27"/>
      <c r="I109" s="23"/>
    </row>
    <row r="110" spans="1:9">
      <c r="A110" s="23"/>
      <c r="B110" s="7"/>
      <c r="C110" s="142"/>
      <c r="D110" s="143"/>
      <c r="E110" s="135"/>
      <c r="F110" s="27"/>
      <c r="G110" s="27"/>
      <c r="H110" s="27"/>
      <c r="I110" s="23"/>
    </row>
    <row r="111" spans="1:9">
      <c r="A111" s="23"/>
      <c r="B111" s="7"/>
      <c r="C111" s="142"/>
      <c r="D111" s="143"/>
      <c r="E111" s="135"/>
      <c r="F111" s="27"/>
      <c r="G111" s="27"/>
      <c r="H111" s="27"/>
      <c r="I111" s="23"/>
    </row>
    <row r="112" spans="1:9">
      <c r="A112" s="23"/>
      <c r="B112" s="23"/>
      <c r="C112" s="133"/>
      <c r="D112" s="134"/>
      <c r="E112" s="135"/>
      <c r="F112" s="23"/>
      <c r="G112" s="23"/>
      <c r="H112" s="23"/>
      <c r="I112" s="23"/>
    </row>
    <row r="113" spans="1:14">
      <c r="A113" s="23"/>
      <c r="B113" s="23"/>
      <c r="C113" s="133"/>
      <c r="D113" s="134"/>
      <c r="E113" s="135"/>
      <c r="F113" s="23"/>
      <c r="G113" s="23"/>
      <c r="H113" s="23"/>
      <c r="I113" s="23"/>
    </row>
    <row r="114" spans="1:14">
      <c r="A114" s="23"/>
      <c r="B114" s="23"/>
      <c r="C114" s="133"/>
      <c r="D114" s="134"/>
      <c r="E114" s="135"/>
      <c r="F114" s="23"/>
      <c r="G114" s="23"/>
      <c r="H114" s="23"/>
      <c r="I114" s="23"/>
    </row>
    <row r="115" spans="1:14">
      <c r="A115" s="23"/>
      <c r="B115" s="23"/>
      <c r="C115" s="133"/>
      <c r="D115" s="134"/>
      <c r="E115" s="135"/>
      <c r="F115" s="23"/>
      <c r="G115" s="23"/>
      <c r="H115" s="23"/>
      <c r="I115" s="23"/>
    </row>
    <row r="116" spans="1:14">
      <c r="A116" s="23"/>
      <c r="B116" s="23"/>
      <c r="C116" s="133"/>
      <c r="D116" s="134"/>
      <c r="E116" s="135"/>
      <c r="F116" s="23"/>
      <c r="G116" s="23"/>
      <c r="H116" s="23"/>
      <c r="I116" s="23"/>
    </row>
    <row r="117" spans="1:14">
      <c r="A117" s="23"/>
      <c r="B117" s="23"/>
      <c r="C117" s="133"/>
      <c r="D117" s="134"/>
      <c r="E117" s="135"/>
      <c r="F117" s="23"/>
      <c r="G117" s="23"/>
      <c r="H117" s="23"/>
      <c r="I117" s="23"/>
    </row>
    <row r="118" spans="1:14">
      <c r="A118" s="23"/>
      <c r="B118" s="23"/>
      <c r="C118" s="133"/>
      <c r="D118" s="134"/>
      <c r="E118" s="135"/>
      <c r="F118" s="23"/>
      <c r="G118" s="23"/>
      <c r="H118" s="23"/>
      <c r="I118" s="23"/>
    </row>
    <row r="119" spans="1:14">
      <c r="A119" s="23"/>
      <c r="B119" s="23"/>
      <c r="C119" s="133"/>
      <c r="D119" s="134"/>
      <c r="E119" s="135"/>
      <c r="F119" s="23"/>
      <c r="G119" s="23"/>
      <c r="H119" s="23"/>
      <c r="I119" s="23"/>
    </row>
    <row r="120" spans="1:14">
      <c r="A120" s="23"/>
      <c r="B120" s="23"/>
      <c r="C120" s="133"/>
      <c r="D120" s="134"/>
      <c r="E120" s="135"/>
      <c r="F120" s="23"/>
      <c r="G120" s="23"/>
      <c r="H120" s="23"/>
      <c r="I120" s="23"/>
    </row>
    <row r="121" spans="1:14">
      <c r="A121" s="23"/>
      <c r="B121" s="23"/>
      <c r="C121" s="133"/>
      <c r="D121" s="134"/>
      <c r="E121" s="135"/>
      <c r="F121" s="23"/>
      <c r="G121" s="23"/>
      <c r="H121" s="23"/>
      <c r="I121" s="23"/>
    </row>
    <row r="122" spans="1:14">
      <c r="A122" s="23"/>
      <c r="B122" s="23"/>
      <c r="C122" s="133"/>
      <c r="D122" s="134"/>
      <c r="E122" s="135"/>
      <c r="F122" s="23"/>
      <c r="G122" s="23"/>
      <c r="H122" s="23"/>
      <c r="I122" s="23"/>
    </row>
    <row r="123" spans="1:14">
      <c r="A123" s="23"/>
      <c r="B123" s="23"/>
      <c r="C123" s="133"/>
      <c r="D123" s="134"/>
      <c r="E123" s="135"/>
      <c r="F123" s="23"/>
      <c r="G123" s="23"/>
      <c r="H123" s="23"/>
      <c r="I123" s="23"/>
    </row>
    <row r="124" spans="1:14">
      <c r="A124" s="23"/>
      <c r="B124" s="23"/>
      <c r="C124" s="133"/>
      <c r="D124" s="134"/>
      <c r="E124" s="135"/>
      <c r="F124" s="23"/>
      <c r="G124" s="23"/>
      <c r="H124" s="23"/>
      <c r="I124" s="23"/>
    </row>
    <row r="125" spans="1:14">
      <c r="A125" s="23"/>
      <c r="B125" s="23"/>
      <c r="C125" s="133"/>
      <c r="D125" s="134"/>
      <c r="E125" s="135"/>
      <c r="F125" s="23"/>
      <c r="G125" s="23"/>
      <c r="H125" s="23"/>
      <c r="I125" s="23"/>
    </row>
    <row r="126" spans="1:14">
      <c r="A126" s="23"/>
      <c r="B126" s="23"/>
      <c r="C126" s="133"/>
      <c r="D126" s="134"/>
      <c r="E126" s="135"/>
      <c r="F126" s="23"/>
      <c r="G126" s="23"/>
      <c r="H126" s="23"/>
      <c r="I126" s="23"/>
      <c r="M126" s="23"/>
      <c r="N126" s="23"/>
    </row>
    <row r="127" spans="1:14">
      <c r="A127" s="23"/>
      <c r="B127" s="23"/>
      <c r="C127" s="133"/>
      <c r="D127" s="134"/>
      <c r="E127" s="135"/>
      <c r="F127" s="23"/>
      <c r="G127" s="23"/>
      <c r="H127" s="23"/>
      <c r="I127" s="23"/>
      <c r="M127" s="23"/>
      <c r="N127" s="23"/>
    </row>
    <row r="128" spans="1:14">
      <c r="A128" s="23"/>
      <c r="B128" s="23"/>
      <c r="C128" s="133"/>
      <c r="D128" s="134"/>
      <c r="E128" s="135"/>
      <c r="F128" s="23"/>
      <c r="G128" s="23"/>
      <c r="H128" s="23"/>
      <c r="I128" s="23"/>
      <c r="M128" s="23"/>
      <c r="N128" s="23"/>
    </row>
    <row r="129" spans="1:14">
      <c r="A129" s="23"/>
      <c r="B129" s="23"/>
      <c r="C129" s="133"/>
      <c r="D129" s="134"/>
      <c r="E129" s="135"/>
      <c r="F129" s="23"/>
      <c r="G129" s="23"/>
      <c r="H129" s="23"/>
      <c r="I129" s="23"/>
      <c r="M129" s="22"/>
      <c r="N129" s="22"/>
    </row>
    <row r="130" spans="1:14">
      <c r="A130" s="23"/>
      <c r="B130" s="23"/>
      <c r="C130" s="133"/>
      <c r="D130" s="134"/>
      <c r="E130" s="135"/>
      <c r="F130" s="23"/>
      <c r="G130" s="23"/>
      <c r="H130" s="23"/>
      <c r="I130" s="23"/>
      <c r="M130" s="22"/>
      <c r="N130" s="22"/>
    </row>
    <row r="131" spans="1:14">
      <c r="A131" s="22"/>
      <c r="B131" s="22"/>
      <c r="C131" s="144"/>
      <c r="D131" s="145"/>
      <c r="E131" s="146"/>
      <c r="F131" s="22"/>
      <c r="G131" s="22"/>
      <c r="H131" s="22"/>
      <c r="I131" s="22"/>
      <c r="M131" s="22"/>
      <c r="N131" s="22"/>
    </row>
    <row r="132" spans="1:14">
      <c r="A132" s="22"/>
      <c r="B132" s="22"/>
      <c r="C132" s="144"/>
      <c r="D132" s="145"/>
      <c r="E132" s="146"/>
      <c r="F132" s="22"/>
      <c r="G132" s="22"/>
      <c r="H132" s="22"/>
      <c r="I132" s="22"/>
      <c r="M132" s="22"/>
      <c r="N132" s="22"/>
    </row>
    <row r="133" spans="1:14">
      <c r="A133" s="22"/>
      <c r="B133" s="22"/>
      <c r="C133" s="144"/>
      <c r="D133" s="145"/>
      <c r="E133" s="146"/>
      <c r="F133" s="22"/>
      <c r="G133" s="22"/>
      <c r="H133" s="22"/>
      <c r="I133" s="22"/>
      <c r="M133" s="22"/>
      <c r="N133" s="22"/>
    </row>
    <row r="134" spans="1:14">
      <c r="A134" s="22"/>
      <c r="B134" s="22"/>
      <c r="C134" s="144"/>
      <c r="D134" s="145"/>
      <c r="E134" s="146"/>
      <c r="F134" s="22"/>
      <c r="G134" s="22"/>
      <c r="H134" s="22"/>
      <c r="I134" s="22"/>
      <c r="M134" s="22"/>
      <c r="N134" s="22"/>
    </row>
    <row r="135" spans="1:14">
      <c r="A135" s="22"/>
      <c r="B135" s="22"/>
      <c r="C135" s="144"/>
      <c r="D135" s="145"/>
      <c r="E135" s="146"/>
      <c r="F135" s="22"/>
      <c r="G135" s="22"/>
      <c r="H135" s="22"/>
      <c r="I135" s="22"/>
      <c r="M135" s="22"/>
      <c r="N135" s="22"/>
    </row>
    <row r="136" spans="1:14">
      <c r="A136" s="22"/>
      <c r="B136" s="22"/>
      <c r="C136" s="144"/>
      <c r="D136" s="145"/>
      <c r="E136" s="146"/>
      <c r="F136" s="22"/>
      <c r="G136" s="22"/>
      <c r="H136" s="22"/>
      <c r="I136" s="22"/>
      <c r="M136" s="22"/>
      <c r="N136" s="22"/>
    </row>
    <row r="137" spans="1:14">
      <c r="A137" s="22"/>
      <c r="B137" s="22"/>
      <c r="C137" s="144"/>
      <c r="D137" s="145"/>
      <c r="E137" s="146"/>
      <c r="F137" s="22"/>
      <c r="G137" s="22"/>
      <c r="H137" s="22"/>
      <c r="I137" s="22"/>
      <c r="M137" s="22"/>
      <c r="N137" s="22"/>
    </row>
    <row r="138" spans="1:14">
      <c r="A138" s="22"/>
      <c r="B138" s="22"/>
      <c r="C138" s="144"/>
      <c r="D138" s="145"/>
      <c r="E138" s="146"/>
      <c r="F138" s="22"/>
      <c r="G138" s="22"/>
      <c r="H138" s="22"/>
      <c r="I138" s="22"/>
    </row>
    <row r="139" spans="1:14">
      <c r="A139" s="22"/>
      <c r="B139" s="22"/>
      <c r="C139" s="144"/>
      <c r="D139" s="145"/>
      <c r="E139" s="146"/>
      <c r="F139" s="22"/>
      <c r="G139" s="22"/>
      <c r="H139" s="22"/>
      <c r="I139" s="22"/>
    </row>
    <row r="140" spans="1:14">
      <c r="C140" s="147"/>
      <c r="D140" s="145"/>
      <c r="E140" s="5"/>
    </row>
    <row r="141" spans="1:14">
      <c r="C141" s="147"/>
      <c r="D141" s="145"/>
      <c r="E141" s="5"/>
    </row>
    <row r="142" spans="1:14">
      <c r="C142" s="147"/>
      <c r="D142" s="145"/>
      <c r="E142" s="5"/>
    </row>
    <row r="143" spans="1:14">
      <c r="C143" s="147"/>
      <c r="D143" s="145"/>
      <c r="E143" s="5"/>
    </row>
    <row r="144" spans="1:14">
      <c r="C144" s="147"/>
      <c r="D144" s="145"/>
      <c r="E144" s="5"/>
    </row>
    <row r="145" spans="3:5">
      <c r="C145" s="147"/>
      <c r="D145" s="145"/>
      <c r="E145" s="5"/>
    </row>
    <row r="146" spans="3:5">
      <c r="C146" s="147"/>
      <c r="D146" s="145"/>
      <c r="E146" s="5"/>
    </row>
    <row r="147" spans="3:5">
      <c r="C147" s="147"/>
      <c r="D147" s="145"/>
      <c r="E147" s="5"/>
    </row>
    <row r="203" spans="4:5" ht="12.75" customHeight="1">
      <c r="D203" s="5"/>
      <c r="E203" s="5"/>
    </row>
  </sheetData>
  <mergeCells count="35">
    <mergeCell ref="P70:Q71"/>
    <mergeCell ref="T70:T71"/>
    <mergeCell ref="P73:Q74"/>
    <mergeCell ref="T73:T74"/>
    <mergeCell ref="P76:Q77"/>
    <mergeCell ref="T76:T77"/>
    <mergeCell ref="P46:Q47"/>
    <mergeCell ref="T46:T47"/>
    <mergeCell ref="P49:Q50"/>
    <mergeCell ref="T49:T50"/>
    <mergeCell ref="P67:Q68"/>
    <mergeCell ref="T67:T68"/>
    <mergeCell ref="P52:Q53"/>
    <mergeCell ref="T52:T53"/>
    <mergeCell ref="P55:Q56"/>
    <mergeCell ref="T55:T56"/>
    <mergeCell ref="P58:Q59"/>
    <mergeCell ref="T58:T59"/>
    <mergeCell ref="P61:Q62"/>
    <mergeCell ref="T61:T62"/>
    <mergeCell ref="P64:Q65"/>
    <mergeCell ref="T64:T65"/>
    <mergeCell ref="P37:Q38"/>
    <mergeCell ref="T37:T38"/>
    <mergeCell ref="P40:Q41"/>
    <mergeCell ref="T40:T41"/>
    <mergeCell ref="P43:Q44"/>
    <mergeCell ref="T43:T44"/>
    <mergeCell ref="P30:Y30"/>
    <mergeCell ref="P31:Q34"/>
    <mergeCell ref="R31:R34"/>
    <mergeCell ref="S31:S34"/>
    <mergeCell ref="T31:U32"/>
    <mergeCell ref="V31:W31"/>
    <mergeCell ref="X31:X34"/>
  </mergeCells>
  <phoneticPr fontId="1" type="noConversion"/>
  <hyperlinks>
    <hyperlink ref="D39" r:id="rId1" xr:uid="{00000000-0004-0000-0600-000000000000}"/>
    <hyperlink ref="D44" r:id="rId2" xr:uid="{00000000-0004-0000-0600-000001000000}"/>
    <hyperlink ref="D48" r:id="rId3" xr:uid="{00000000-0004-0000-0600-000002000000}"/>
    <hyperlink ref="D49" r:id="rId4" xr:uid="{00000000-0004-0000-0600-000003000000}"/>
    <hyperlink ref="D50" r:id="rId5" xr:uid="{00000000-0004-0000-0600-000004000000}"/>
    <hyperlink ref="D51" r:id="rId6" xr:uid="{00000000-0004-0000-0600-000005000000}"/>
    <hyperlink ref="D52" r:id="rId7" xr:uid="{00000000-0004-0000-0600-000006000000}"/>
    <hyperlink ref="D53" r:id="rId8" xr:uid="{00000000-0004-0000-0600-000007000000}"/>
    <hyperlink ref="D54" r:id="rId9" xr:uid="{00000000-0004-0000-0600-000008000000}"/>
    <hyperlink ref="D19" r:id="rId10" xr:uid="{00000000-0004-0000-0600-000009000000}"/>
    <hyperlink ref="D22" r:id="rId11" xr:uid="{00000000-0004-0000-0600-00000A000000}"/>
    <hyperlink ref="D40" r:id="rId12" xr:uid="{00000000-0004-0000-0600-00000B000000}"/>
    <hyperlink ref="D28" r:id="rId13" xr:uid="{00000000-0004-0000-0600-00000C000000}"/>
    <hyperlink ref="D24" r:id="rId14" xr:uid="{00000000-0004-0000-0600-00000D000000}"/>
    <hyperlink ref="D11" r:id="rId15" xr:uid="{00000000-0004-0000-0600-00000E000000}"/>
    <hyperlink ref="D17" r:id="rId16" xr:uid="{00000000-0004-0000-0600-00000F000000}"/>
    <hyperlink ref="D34" r:id="rId17" xr:uid="{00000000-0004-0000-0600-000010000000}"/>
  </hyperlinks>
  <pageMargins left="0.7" right="0.7" top="0.75" bottom="0.75" header="0.3" footer="0.3"/>
  <legacyDrawing r:id="rId18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FB79E-7B19-354C-BC8F-2042BA61CE30}">
  <dimension ref="A1:N74"/>
  <sheetViews>
    <sheetView topLeftCell="A31" zoomScale="67" zoomScaleNormal="150" zoomScalePageLayoutView="150" workbookViewId="0">
      <selection activeCell="H36" sqref="H36"/>
    </sheetView>
  </sheetViews>
  <sheetFormatPr baseColWidth="10" defaultColWidth="11.5" defaultRowHeight="13"/>
  <cols>
    <col min="1" max="1" width="6" style="5" customWidth="1"/>
    <col min="2" max="2" width="9.83203125" style="5" customWidth="1"/>
    <col min="3" max="3" width="12.33203125" style="5" customWidth="1"/>
    <col min="4" max="4" width="11.5" style="5"/>
    <col min="5" max="5" width="20.1640625" style="5" customWidth="1"/>
    <col min="6" max="6" width="17.5" style="5" bestFit="1" customWidth="1"/>
    <col min="7" max="7" width="12.1640625" style="5" customWidth="1"/>
    <col min="8" max="8" width="15.1640625" style="5" bestFit="1" customWidth="1"/>
    <col min="9" max="9" width="11.5" style="5" customWidth="1"/>
    <col min="10" max="10" width="13.1640625" style="5" bestFit="1" customWidth="1"/>
    <col min="11" max="11" width="16.1640625" style="5" bestFit="1" customWidth="1"/>
    <col min="12" max="12" width="12.5" style="5" customWidth="1"/>
    <col min="13" max="16384" width="11.5" style="5"/>
  </cols>
  <sheetData>
    <row r="1" spans="1:12" ht="20">
      <c r="A1" s="493" t="s">
        <v>302</v>
      </c>
      <c r="B1" s="448"/>
      <c r="C1" s="448"/>
      <c r="D1" s="448"/>
      <c r="E1" s="448"/>
      <c r="F1" s="448"/>
      <c r="G1" s="448"/>
      <c r="H1" s="174"/>
      <c r="I1" s="174"/>
      <c r="J1" s="175"/>
    </row>
    <row r="2" spans="1:12" ht="14" thickBot="1"/>
    <row r="3" spans="1:12" ht="16">
      <c r="A3" s="176" t="s">
        <v>17</v>
      </c>
      <c r="B3" s="176"/>
      <c r="F3" s="177">
        <v>131275</v>
      </c>
      <c r="G3" s="176" t="s">
        <v>1</v>
      </c>
      <c r="I3" s="178" t="s">
        <v>234</v>
      </c>
      <c r="J3" s="179"/>
      <c r="K3" s="180">
        <f>F32*F17</f>
        <v>16666332.950930426</v>
      </c>
      <c r="L3" s="181" t="s">
        <v>9</v>
      </c>
    </row>
    <row r="4" spans="1:12" ht="17" thickBot="1">
      <c r="A4" s="176" t="s">
        <v>53</v>
      </c>
      <c r="B4" s="176"/>
      <c r="F4" s="182">
        <f>SUM(I46:I67)</f>
        <v>11841.45</v>
      </c>
      <c r="G4" s="176" t="s">
        <v>1</v>
      </c>
      <c r="I4" s="183" t="s">
        <v>15</v>
      </c>
      <c r="K4" s="184">
        <f>F33*F18</f>
        <v>622636.37436000002</v>
      </c>
      <c r="L4" s="185" t="s">
        <v>9</v>
      </c>
    </row>
    <row r="5" spans="1:12" ht="17" thickTop="1">
      <c r="A5" s="176" t="s">
        <v>169</v>
      </c>
      <c r="B5" s="176"/>
      <c r="F5" s="184">
        <f>F3-F4</f>
        <v>119433.55</v>
      </c>
      <c r="G5" s="176" t="s">
        <v>1</v>
      </c>
      <c r="I5" s="183" t="s">
        <v>8</v>
      </c>
      <c r="K5" s="186">
        <f>F34*F19</f>
        <v>23040092.83857812</v>
      </c>
      <c r="L5" s="185" t="s">
        <v>9</v>
      </c>
    </row>
    <row r="6" spans="1:12" ht="16">
      <c r="A6" s="176" t="s">
        <v>63</v>
      </c>
      <c r="B6" s="176"/>
      <c r="F6" s="177">
        <v>27925</v>
      </c>
      <c r="G6" s="176" t="s">
        <v>1</v>
      </c>
      <c r="I6" s="183" t="s">
        <v>54</v>
      </c>
      <c r="K6" s="187">
        <f>F35*F20</f>
        <v>7658367.3925200002</v>
      </c>
      <c r="L6" s="185" t="s">
        <v>9</v>
      </c>
    </row>
    <row r="7" spans="1:12" ht="16">
      <c r="A7" s="176" t="s">
        <v>64</v>
      </c>
      <c r="B7" s="176"/>
      <c r="F7" s="177">
        <v>9880</v>
      </c>
      <c r="G7" s="176" t="s">
        <v>1</v>
      </c>
      <c r="I7" s="188"/>
      <c r="L7" s="189"/>
    </row>
    <row r="8" spans="1:12" ht="17" thickBot="1">
      <c r="A8" s="176" t="s">
        <v>65</v>
      </c>
      <c r="B8" s="176"/>
      <c r="F8" s="447">
        <f>SUM(F6:F7)/F5</f>
        <v>0.31653584775802107</v>
      </c>
      <c r="G8" s="176"/>
      <c r="I8" s="191" t="s">
        <v>18</v>
      </c>
      <c r="J8" s="192"/>
      <c r="K8" s="193">
        <f>SUM(K3:K6)/F11/1000</f>
        <v>0.60301510579578366</v>
      </c>
      <c r="L8" s="194" t="s">
        <v>10</v>
      </c>
    </row>
    <row r="9" spans="1:12" ht="16">
      <c r="A9" s="176" t="s">
        <v>171</v>
      </c>
      <c r="B9" s="176"/>
      <c r="F9" s="195">
        <v>798.32</v>
      </c>
      <c r="G9" s="176" t="s">
        <v>1</v>
      </c>
      <c r="H9" s="494" t="s">
        <v>303</v>
      </c>
      <c r="I9" s="196"/>
      <c r="K9" s="197"/>
      <c r="L9" s="196"/>
    </row>
    <row r="10" spans="1:12" ht="16">
      <c r="A10" s="176" t="s">
        <v>172</v>
      </c>
      <c r="B10" s="176"/>
      <c r="F10" s="195">
        <f>1285-20.85-13.07</f>
        <v>1251.0800000000002</v>
      </c>
      <c r="G10" s="176" t="s">
        <v>1</v>
      </c>
      <c r="H10" s="494" t="s">
        <v>303</v>
      </c>
      <c r="I10" s="196"/>
      <c r="K10" s="197"/>
      <c r="L10" s="196"/>
    </row>
    <row r="11" spans="1:12" ht="16">
      <c r="A11" s="176" t="s">
        <v>176</v>
      </c>
      <c r="B11" s="176"/>
      <c r="F11" s="198">
        <f>F5-SUM(F9:F10)-F6-F7</f>
        <v>79579.150000000009</v>
      </c>
      <c r="G11" s="176" t="s">
        <v>1</v>
      </c>
      <c r="H11" s="176"/>
      <c r="I11" s="196"/>
      <c r="K11" s="197"/>
      <c r="L11" s="196"/>
    </row>
    <row r="12" spans="1:12" ht="16">
      <c r="A12" s="176"/>
      <c r="B12" s="176"/>
      <c r="G12" s="176"/>
    </row>
    <row r="13" spans="1:12" ht="16">
      <c r="A13" s="176" t="s">
        <v>6</v>
      </c>
      <c r="B13" s="176"/>
      <c r="F13" s="199">
        <v>6.7000000000000002E-4</v>
      </c>
      <c r="G13" s="176" t="s">
        <v>7</v>
      </c>
      <c r="H13" s="446"/>
    </row>
    <row r="14" spans="1:12" ht="16">
      <c r="A14" s="176" t="s">
        <v>2</v>
      </c>
      <c r="B14" s="176"/>
      <c r="F14" s="201">
        <f>3.281^3</f>
        <v>35.319837041000007</v>
      </c>
      <c r="G14" s="202" t="s">
        <v>19</v>
      </c>
    </row>
    <row r="15" spans="1:12" ht="16">
      <c r="A15" s="176" t="s">
        <v>43</v>
      </c>
      <c r="F15" s="201">
        <v>4.4200000000000003E-2</v>
      </c>
      <c r="G15" s="176" t="s">
        <v>44</v>
      </c>
      <c r="H15" s="494" t="s">
        <v>304</v>
      </c>
    </row>
    <row r="16" spans="1:12" ht="16">
      <c r="A16" s="176"/>
      <c r="B16" s="176"/>
      <c r="G16" s="202"/>
    </row>
    <row r="17" spans="1:8" ht="16">
      <c r="A17" s="176" t="s">
        <v>232</v>
      </c>
      <c r="B17" s="176"/>
      <c r="F17" s="201">
        <v>75.5</v>
      </c>
      <c r="G17" s="176" t="s">
        <v>4</v>
      </c>
      <c r="H17" s="176" t="s">
        <v>5</v>
      </c>
    </row>
    <row r="18" spans="1:8" ht="16">
      <c r="A18" s="176" t="s">
        <v>60</v>
      </c>
      <c r="B18" s="176"/>
      <c r="F18" s="201">
        <v>72.599999999999994</v>
      </c>
      <c r="G18" s="176" t="s">
        <v>4</v>
      </c>
      <c r="H18" s="176" t="s">
        <v>5</v>
      </c>
    </row>
    <row r="19" spans="1:8" ht="16">
      <c r="A19" s="176" t="s">
        <v>3</v>
      </c>
      <c r="B19" s="176"/>
      <c r="F19" s="201">
        <v>54.3</v>
      </c>
      <c r="G19" s="176" t="s">
        <v>4</v>
      </c>
      <c r="H19" s="176" t="s">
        <v>5</v>
      </c>
    </row>
    <row r="20" spans="1:8" ht="16">
      <c r="A20" s="176" t="s">
        <v>55</v>
      </c>
      <c r="B20" s="176"/>
      <c r="F20" s="201">
        <v>87.3</v>
      </c>
      <c r="G20" s="176" t="s">
        <v>4</v>
      </c>
      <c r="H20" s="176" t="s">
        <v>5</v>
      </c>
    </row>
    <row r="21" spans="1:8" ht="16">
      <c r="A21" s="176"/>
      <c r="B21" s="176"/>
      <c r="G21" s="176"/>
      <c r="H21" s="176"/>
    </row>
    <row r="22" spans="1:8" ht="16">
      <c r="A22" s="176" t="s">
        <v>236</v>
      </c>
      <c r="F22" s="203">
        <v>6029647</v>
      </c>
      <c r="G22" s="202" t="s">
        <v>47</v>
      </c>
      <c r="H22" s="494" t="s">
        <v>305</v>
      </c>
    </row>
    <row r="23" spans="1:8" ht="16">
      <c r="A23" s="176" t="s">
        <v>57</v>
      </c>
      <c r="F23" s="203">
        <v>194033</v>
      </c>
      <c r="G23" s="202" t="s">
        <v>47</v>
      </c>
      <c r="H23" s="494" t="s">
        <v>305</v>
      </c>
    </row>
    <row r="24" spans="1:8" ht="16">
      <c r="A24" s="204" t="s">
        <v>46</v>
      </c>
      <c r="F24" s="203">
        <v>10831662</v>
      </c>
      <c r="G24" s="202" t="s">
        <v>47</v>
      </c>
      <c r="H24" s="494" t="s">
        <v>305</v>
      </c>
    </row>
    <row r="25" spans="1:8" ht="16">
      <c r="A25" s="176" t="s">
        <v>45</v>
      </c>
      <c r="F25" s="203">
        <v>1984722</v>
      </c>
      <c r="G25" s="202" t="s">
        <v>47</v>
      </c>
      <c r="H25" s="494" t="s">
        <v>306</v>
      </c>
    </row>
    <row r="27" spans="1:8" ht="16">
      <c r="A27" s="176" t="s">
        <v>236</v>
      </c>
      <c r="F27" s="205">
        <f>F22*$F$15</f>
        <v>266510.39740000002</v>
      </c>
      <c r="G27" s="202" t="s">
        <v>16</v>
      </c>
      <c r="H27" s="176" t="s">
        <v>52</v>
      </c>
    </row>
    <row r="28" spans="1:8" ht="16">
      <c r="A28" s="176" t="s">
        <v>58</v>
      </c>
      <c r="F28" s="205">
        <f>F23*$F$15</f>
        <v>8576.258600000001</v>
      </c>
      <c r="G28" s="202" t="s">
        <v>16</v>
      </c>
      <c r="H28" s="176" t="s">
        <v>52</v>
      </c>
    </row>
    <row r="29" spans="1:8" ht="16">
      <c r="A29" s="204" t="s">
        <v>46</v>
      </c>
      <c r="F29" s="205">
        <f>F24*$F$15</f>
        <v>478759.46040000004</v>
      </c>
      <c r="G29" s="202" t="s">
        <v>16</v>
      </c>
      <c r="H29" s="176" t="s">
        <v>52</v>
      </c>
    </row>
    <row r="30" spans="1:8" ht="16">
      <c r="A30" s="176" t="s">
        <v>45</v>
      </c>
      <c r="F30" s="205">
        <f>F25*$F$15</f>
        <v>87724.712400000004</v>
      </c>
      <c r="G30" s="202" t="s">
        <v>16</v>
      </c>
      <c r="H30" s="176" t="s">
        <v>52</v>
      </c>
    </row>
    <row r="32" spans="1:8" ht="16">
      <c r="A32" s="204" t="s">
        <v>238</v>
      </c>
      <c r="F32" s="205">
        <f>F27-L70</f>
        <v>220746.131800403</v>
      </c>
      <c r="G32" s="202" t="s">
        <v>16</v>
      </c>
      <c r="H32" s="494" t="s">
        <v>337</v>
      </c>
    </row>
    <row r="33" spans="1:14" ht="16">
      <c r="A33" s="204" t="s">
        <v>59</v>
      </c>
      <c r="F33" s="205">
        <f>F28</f>
        <v>8576.258600000001</v>
      </c>
      <c r="G33" s="202" t="s">
        <v>16</v>
      </c>
      <c r="H33" s="494" t="s">
        <v>337</v>
      </c>
    </row>
    <row r="34" spans="1:14" ht="16">
      <c r="A34" s="204" t="s">
        <v>50</v>
      </c>
      <c r="F34" s="205">
        <f>F29-L71</f>
        <v>424311.1019995971</v>
      </c>
      <c r="G34" s="202" t="s">
        <v>16</v>
      </c>
      <c r="H34" s="494" t="s">
        <v>337</v>
      </c>
    </row>
    <row r="35" spans="1:14" ht="17" customHeight="1">
      <c r="A35" s="204" t="s">
        <v>49</v>
      </c>
      <c r="F35" s="205">
        <f>F30</f>
        <v>87724.712400000004</v>
      </c>
      <c r="G35" s="202" t="s">
        <v>16</v>
      </c>
      <c r="H35" s="494" t="s">
        <v>337</v>
      </c>
    </row>
    <row r="36" spans="1:14" ht="14" customHeight="1" thickBot="1"/>
    <row r="37" spans="1:14" ht="14" customHeight="1">
      <c r="B37" s="278"/>
      <c r="C37" s="279"/>
      <c r="D37" s="279"/>
      <c r="E37" s="279"/>
      <c r="F37" s="279"/>
      <c r="G37" s="279"/>
      <c r="H37" s="279"/>
      <c r="I37" s="279"/>
      <c r="J37" s="279"/>
      <c r="K37" s="279"/>
      <c r="L37" s="279"/>
      <c r="M37" s="280"/>
    </row>
    <row r="38" spans="1:14" ht="18">
      <c r="B38" s="281"/>
      <c r="C38" s="495" t="s">
        <v>307</v>
      </c>
      <c r="D38" s="283"/>
      <c r="E38" s="284"/>
      <c r="F38" s="284"/>
      <c r="G38" s="284"/>
      <c r="H38" s="284"/>
      <c r="I38" s="284"/>
      <c r="J38" s="284"/>
      <c r="K38" s="284"/>
      <c r="L38" s="285"/>
      <c r="M38" s="286"/>
    </row>
    <row r="39" spans="1:14" ht="28" customHeight="1">
      <c r="B39" s="281"/>
      <c r="C39" s="287"/>
      <c r="D39" s="444"/>
      <c r="E39" s="289"/>
      <c r="F39" s="444"/>
      <c r="G39" s="622" t="s">
        <v>223</v>
      </c>
      <c r="H39" s="623"/>
      <c r="I39" s="616" t="s">
        <v>23</v>
      </c>
      <c r="J39" s="617"/>
      <c r="K39" s="289" t="s">
        <v>69</v>
      </c>
      <c r="L39" s="290" t="s">
        <v>70</v>
      </c>
      <c r="M39" s="286"/>
    </row>
    <row r="40" spans="1:14" ht="28" customHeight="1">
      <c r="B40" s="281"/>
      <c r="C40" s="287" t="s">
        <v>20</v>
      </c>
      <c r="D40" s="444"/>
      <c r="E40" s="289" t="s">
        <v>71</v>
      </c>
      <c r="F40" s="444" t="s">
        <v>22</v>
      </c>
      <c r="G40" s="624"/>
      <c r="H40" s="625"/>
      <c r="I40" s="444" t="s">
        <v>224</v>
      </c>
      <c r="J40" s="444" t="s">
        <v>26</v>
      </c>
      <c r="K40" s="289" t="s">
        <v>225</v>
      </c>
      <c r="L40" s="290" t="s">
        <v>72</v>
      </c>
      <c r="M40" s="286"/>
    </row>
    <row r="41" spans="1:14" ht="14" customHeight="1">
      <c r="B41" s="281"/>
      <c r="C41" s="287"/>
      <c r="D41" s="444"/>
      <c r="E41" s="291"/>
      <c r="F41" s="445"/>
      <c r="G41" s="293"/>
      <c r="H41" s="290"/>
      <c r="I41" s="444"/>
      <c r="J41" s="444"/>
      <c r="K41" s="289"/>
      <c r="L41" s="290"/>
      <c r="M41" s="286"/>
    </row>
    <row r="42" spans="1:14" ht="15" customHeight="1">
      <c r="B42" s="281"/>
      <c r="C42" s="287"/>
      <c r="D42" s="445"/>
      <c r="E42" s="291"/>
      <c r="F42" s="445"/>
      <c r="G42" s="293"/>
      <c r="H42" s="290"/>
      <c r="I42" s="444"/>
      <c r="J42" s="444"/>
      <c r="K42" s="289"/>
      <c r="L42" s="290"/>
      <c r="M42" s="286"/>
    </row>
    <row r="43" spans="1:14" ht="14" customHeight="1">
      <c r="B43" s="281"/>
      <c r="C43" s="294"/>
      <c r="D43" s="442"/>
      <c r="E43" s="296" t="s">
        <v>73</v>
      </c>
      <c r="F43" s="443"/>
      <c r="G43" s="294" t="s">
        <v>74</v>
      </c>
      <c r="H43" s="298"/>
      <c r="I43" s="442"/>
      <c r="J43" s="442"/>
      <c r="K43" s="299"/>
      <c r="L43" s="300"/>
      <c r="M43" s="286"/>
    </row>
    <row r="44" spans="1:14" ht="14">
      <c r="B44" s="281"/>
      <c r="C44" s="301"/>
      <c r="D44" s="302"/>
      <c r="E44" s="303"/>
      <c r="F44" s="304"/>
      <c r="G44" s="614" t="s">
        <v>1</v>
      </c>
      <c r="H44" s="615"/>
      <c r="I44" s="614" t="s">
        <v>1</v>
      </c>
      <c r="J44" s="615"/>
      <c r="K44" s="305"/>
      <c r="L44" s="306" t="s">
        <v>16</v>
      </c>
      <c r="M44" s="286"/>
      <c r="N44" s="231"/>
    </row>
    <row r="45" spans="1:14" ht="15">
      <c r="B45" s="281"/>
      <c r="C45" s="431" t="s">
        <v>28</v>
      </c>
      <c r="D45" s="441"/>
      <c r="E45" s="309"/>
      <c r="F45" s="440"/>
      <c r="G45" s="311"/>
      <c r="H45" s="312"/>
      <c r="I45" s="439"/>
      <c r="J45" s="439"/>
      <c r="K45" s="314"/>
      <c r="L45" s="438"/>
      <c r="M45" s="286"/>
      <c r="N45" s="231"/>
    </row>
    <row r="46" spans="1:14" ht="15">
      <c r="B46" s="281"/>
      <c r="C46" s="626" t="s">
        <v>31</v>
      </c>
      <c r="D46" s="371"/>
      <c r="E46" s="534" t="s">
        <v>229</v>
      </c>
      <c r="F46" s="317" t="s">
        <v>34</v>
      </c>
      <c r="G46" s="618">
        <v>13.21</v>
      </c>
      <c r="H46" s="318">
        <f>I46/(I46+I48)*G46</f>
        <v>0</v>
      </c>
      <c r="I46" s="319">
        <v>0</v>
      </c>
      <c r="J46" s="319">
        <f>I46-H46</f>
        <v>0</v>
      </c>
      <c r="K46" s="372">
        <v>0.375</v>
      </c>
      <c r="L46" s="320">
        <f>J46/K46*3600/1000</f>
        <v>0</v>
      </c>
      <c r="M46" s="286"/>
      <c r="N46" s="231"/>
    </row>
    <row r="47" spans="1:14" ht="15" customHeight="1">
      <c r="B47" s="281"/>
      <c r="C47" s="627"/>
      <c r="D47" s="435"/>
      <c r="E47" s="532"/>
      <c r="F47" s="533"/>
      <c r="G47" s="629"/>
      <c r="H47" s="324"/>
      <c r="I47" s="435"/>
      <c r="J47" s="435"/>
      <c r="K47" s="373"/>
      <c r="L47" s="324"/>
      <c r="M47" s="286"/>
      <c r="N47" s="231"/>
    </row>
    <row r="48" spans="1:14" ht="15" customHeight="1">
      <c r="B48" s="281"/>
      <c r="C48" s="628"/>
      <c r="D48" s="325"/>
      <c r="E48" s="326" t="s">
        <v>0</v>
      </c>
      <c r="F48" s="327" t="s">
        <v>34</v>
      </c>
      <c r="G48" s="619"/>
      <c r="H48" s="328">
        <f>I48/(I48+I46)*G46</f>
        <v>13.21</v>
      </c>
      <c r="I48" s="329">
        <v>323.11</v>
      </c>
      <c r="J48" s="329">
        <f>I48-H48</f>
        <v>309.90000000000003</v>
      </c>
      <c r="K48" s="374">
        <v>0.375</v>
      </c>
      <c r="L48" s="330">
        <f>J48/K48*3600/1000</f>
        <v>2975.0400000000004</v>
      </c>
      <c r="M48" s="286"/>
      <c r="N48" s="231"/>
    </row>
    <row r="49" spans="2:14">
      <c r="B49" s="281"/>
      <c r="C49" s="361"/>
      <c r="D49" s="361"/>
      <c r="E49" s="332"/>
      <c r="F49" s="429"/>
      <c r="G49" s="334"/>
      <c r="H49" s="335"/>
      <c r="I49" s="361"/>
      <c r="J49" s="361"/>
      <c r="K49" s="314"/>
      <c r="L49" s="361"/>
      <c r="M49" s="286"/>
      <c r="N49" s="231"/>
    </row>
    <row r="50" spans="2:14">
      <c r="B50" s="281"/>
      <c r="C50" s="437"/>
      <c r="D50" s="361"/>
      <c r="E50" s="332"/>
      <c r="F50" s="429"/>
      <c r="G50" s="334"/>
      <c r="H50" s="339"/>
      <c r="I50" s="425"/>
      <c r="J50" s="425"/>
      <c r="K50" s="375"/>
      <c r="L50" s="428"/>
      <c r="M50" s="286"/>
      <c r="N50" s="231"/>
    </row>
    <row r="51" spans="2:14" ht="15" customHeight="1">
      <c r="B51" s="281"/>
      <c r="C51" s="626" t="s">
        <v>32</v>
      </c>
      <c r="D51" s="376"/>
      <c r="E51" s="316" t="s">
        <v>230</v>
      </c>
      <c r="F51" s="317" t="s">
        <v>30</v>
      </c>
      <c r="G51" s="618">
        <v>16.29</v>
      </c>
      <c r="H51" s="318">
        <f>I51/(I51+I53)*G51</f>
        <v>0</v>
      </c>
      <c r="I51" s="319">
        <v>0</v>
      </c>
      <c r="J51" s="319">
        <f>I51-H51</f>
        <v>0</v>
      </c>
      <c r="K51" s="372">
        <v>0.3</v>
      </c>
      <c r="L51" s="320">
        <f>J51/K51*3600/1000</f>
        <v>0</v>
      </c>
      <c r="M51" s="286"/>
      <c r="N51" s="231"/>
    </row>
    <row r="52" spans="2:14" ht="15" customHeight="1">
      <c r="B52" s="281"/>
      <c r="C52" s="627"/>
      <c r="D52" s="435"/>
      <c r="E52" s="322"/>
      <c r="F52" s="436"/>
      <c r="G52" s="629"/>
      <c r="H52" s="324"/>
      <c r="I52" s="435"/>
      <c r="J52" s="435"/>
      <c r="K52" s="373"/>
      <c r="L52" s="324"/>
      <c r="M52" s="286"/>
      <c r="N52" s="231"/>
    </row>
    <row r="53" spans="2:14" ht="15">
      <c r="B53" s="281"/>
      <c r="C53" s="628"/>
      <c r="D53" s="377"/>
      <c r="E53" s="326" t="s">
        <v>0</v>
      </c>
      <c r="F53" s="327" t="s">
        <v>30</v>
      </c>
      <c r="G53" s="619"/>
      <c r="H53" s="328">
        <f>I53/(I53+I51)*G51</f>
        <v>16.29</v>
      </c>
      <c r="I53" s="329">
        <v>498.13</v>
      </c>
      <c r="J53" s="329">
        <f>I53-H53</f>
        <v>481.84</v>
      </c>
      <c r="K53" s="374">
        <v>0.3</v>
      </c>
      <c r="L53" s="330">
        <f>J53/K53*3600/1000</f>
        <v>5782.08</v>
      </c>
      <c r="M53" s="286"/>
      <c r="N53" s="231"/>
    </row>
    <row r="54" spans="2:14">
      <c r="B54" s="281"/>
      <c r="C54" s="361"/>
      <c r="D54" s="361"/>
      <c r="E54" s="332"/>
      <c r="F54" s="429"/>
      <c r="G54" s="334"/>
      <c r="H54" s="335"/>
      <c r="I54" s="361"/>
      <c r="J54" s="361"/>
      <c r="K54" s="314"/>
      <c r="L54" s="361"/>
      <c r="M54" s="286"/>
      <c r="N54" s="231"/>
    </row>
    <row r="55" spans="2:14" ht="28" customHeight="1">
      <c r="B55" s="281"/>
      <c r="C55" s="620" t="s">
        <v>178</v>
      </c>
      <c r="D55" s="344"/>
      <c r="E55" s="316" t="s">
        <v>230</v>
      </c>
      <c r="F55" s="317" t="s">
        <v>34</v>
      </c>
      <c r="G55" s="618">
        <v>430.58</v>
      </c>
      <c r="H55" s="318">
        <f>I55/(I55+I56)*G55</f>
        <v>351.91400004197533</v>
      </c>
      <c r="I55" s="319">
        <v>3894.2</v>
      </c>
      <c r="J55" s="319">
        <f>I55-H55</f>
        <v>3542.2859999580246</v>
      </c>
      <c r="K55" s="372">
        <v>0.375</v>
      </c>
      <c r="L55" s="320">
        <f>J55/K55*3600/1000</f>
        <v>34005.945599597035</v>
      </c>
      <c r="M55" s="286"/>
      <c r="N55" s="231"/>
    </row>
    <row r="56" spans="2:14" ht="26" customHeight="1">
      <c r="B56" s="281"/>
      <c r="C56" s="621"/>
      <c r="D56" s="337"/>
      <c r="E56" s="326" t="s">
        <v>0</v>
      </c>
      <c r="F56" s="327" t="s">
        <v>34</v>
      </c>
      <c r="G56" s="619"/>
      <c r="H56" s="328">
        <f>I56/(I56+I55)*G55</f>
        <v>78.665999958024642</v>
      </c>
      <c r="I56" s="329">
        <f>783.2+87.3</f>
        <v>870.5</v>
      </c>
      <c r="J56" s="329">
        <f>I56-H56</f>
        <v>791.8340000419754</v>
      </c>
      <c r="K56" s="374">
        <v>0.375</v>
      </c>
      <c r="L56" s="330">
        <f>J56/K56*3600/1000</f>
        <v>7601.606400402964</v>
      </c>
      <c r="M56" s="286"/>
      <c r="N56" s="231"/>
    </row>
    <row r="57" spans="2:14">
      <c r="B57" s="378"/>
      <c r="C57" s="434"/>
      <c r="D57" s="433"/>
      <c r="E57" s="432"/>
      <c r="F57" s="432"/>
      <c r="G57" s="382"/>
      <c r="H57" s="383"/>
      <c r="I57" s="384"/>
      <c r="J57" s="383"/>
      <c r="K57" s="385"/>
      <c r="L57" s="386"/>
      <c r="M57" s="387"/>
      <c r="N57" s="231"/>
    </row>
    <row r="58" spans="2:14">
      <c r="B58" s="378"/>
      <c r="C58" s="609" t="s">
        <v>35</v>
      </c>
      <c r="D58" s="610"/>
      <c r="E58" s="388" t="s">
        <v>230</v>
      </c>
      <c r="F58" s="389" t="s">
        <v>30</v>
      </c>
      <c r="G58" s="618">
        <v>78.930000000000007</v>
      </c>
      <c r="H58" s="318">
        <f>I58/(I58+I59)*G58</f>
        <v>0</v>
      </c>
      <c r="I58" s="319">
        <v>0</v>
      </c>
      <c r="J58" s="319">
        <f>I58-H58</f>
        <v>0</v>
      </c>
      <c r="K58" s="372">
        <v>0.6</v>
      </c>
      <c r="L58" s="320">
        <f>J58/K58*3600/1000</f>
        <v>0</v>
      </c>
      <c r="M58" s="387"/>
      <c r="N58" s="231"/>
    </row>
    <row r="59" spans="2:14">
      <c r="B59" s="378"/>
      <c r="C59" s="611"/>
      <c r="D59" s="612"/>
      <c r="E59" s="394" t="s">
        <v>0</v>
      </c>
      <c r="F59" s="395" t="s">
        <v>30</v>
      </c>
      <c r="G59" s="619"/>
      <c r="H59" s="328">
        <f>I59/(I59+I58)*G58</f>
        <v>78.930000000000007</v>
      </c>
      <c r="I59" s="329">
        <v>1001.01</v>
      </c>
      <c r="J59" s="329">
        <f>I59-H59</f>
        <v>922.07999999999993</v>
      </c>
      <c r="K59" s="374">
        <v>0.6</v>
      </c>
      <c r="L59" s="330">
        <f>J59/K59*3600/1000</f>
        <v>5532.48</v>
      </c>
      <c r="M59" s="387"/>
      <c r="N59" s="231"/>
    </row>
    <row r="60" spans="2:14">
      <c r="B60" s="378"/>
      <c r="C60" s="434"/>
      <c r="D60" s="433"/>
      <c r="E60" s="432"/>
      <c r="F60" s="432"/>
      <c r="G60" s="382"/>
      <c r="H60" s="383"/>
      <c r="I60" s="384"/>
      <c r="J60" s="383"/>
      <c r="K60" s="385"/>
      <c r="L60" s="386"/>
      <c r="M60" s="387"/>
      <c r="N60" s="231"/>
    </row>
    <row r="61" spans="2:14" ht="28" customHeight="1">
      <c r="B61" s="281"/>
      <c r="C61" s="620" t="s">
        <v>179</v>
      </c>
      <c r="D61" s="344"/>
      <c r="E61" s="316" t="s">
        <v>230</v>
      </c>
      <c r="F61" s="317" t="s">
        <v>34</v>
      </c>
      <c r="G61" s="618">
        <v>359.42</v>
      </c>
      <c r="H61" s="318">
        <f>I61/(I61+I62)*G61</f>
        <v>0</v>
      </c>
      <c r="I61" s="319">
        <v>0</v>
      </c>
      <c r="J61" s="319">
        <f>I61-H61</f>
        <v>0</v>
      </c>
      <c r="K61" s="372">
        <v>0.375</v>
      </c>
      <c r="L61" s="320">
        <f>J61/K61*3600/1000</f>
        <v>0</v>
      </c>
      <c r="M61" s="286"/>
      <c r="N61" s="231"/>
    </row>
    <row r="62" spans="2:14" ht="26" customHeight="1">
      <c r="B62" s="281"/>
      <c r="C62" s="621"/>
      <c r="D62" s="337"/>
      <c r="E62" s="326" t="s">
        <v>0</v>
      </c>
      <c r="F62" s="327" t="s">
        <v>34</v>
      </c>
      <c r="G62" s="619"/>
      <c r="H62" s="328">
        <f>I62/(I62+I61)*G61</f>
        <v>359.42</v>
      </c>
      <c r="I62" s="329">
        <v>3750.79</v>
      </c>
      <c r="J62" s="329">
        <f>I62-H62</f>
        <v>3391.37</v>
      </c>
      <c r="K62" s="374">
        <v>0.375</v>
      </c>
      <c r="L62" s="330">
        <f>J62/K62*3600/1000</f>
        <v>32557.151999999998</v>
      </c>
      <c r="M62" s="286"/>
      <c r="N62" s="231"/>
    </row>
    <row r="63" spans="2:14" ht="14">
      <c r="B63" s="281"/>
      <c r="C63" s="431" t="s">
        <v>36</v>
      </c>
      <c r="D63" s="361"/>
      <c r="E63" s="332"/>
      <c r="F63" s="429"/>
      <c r="G63" s="334"/>
      <c r="H63" s="335"/>
      <c r="I63" s="361"/>
      <c r="J63" s="361"/>
      <c r="K63" s="336"/>
      <c r="L63" s="361"/>
      <c r="M63" s="286"/>
    </row>
    <row r="64" spans="2:14" ht="14">
      <c r="B64" s="281"/>
      <c r="C64" s="361"/>
      <c r="D64" s="361"/>
      <c r="E64" s="332"/>
      <c r="F64" s="429"/>
      <c r="G64" s="334"/>
      <c r="H64" s="339"/>
      <c r="I64" s="425"/>
      <c r="J64" s="425"/>
      <c r="K64" s="336"/>
      <c r="L64" s="428"/>
      <c r="M64" s="286"/>
    </row>
    <row r="65" spans="2:13" ht="14">
      <c r="B65" s="281"/>
      <c r="C65" s="345" t="s">
        <v>37</v>
      </c>
      <c r="D65" s="346"/>
      <c r="E65" s="347" t="s">
        <v>230</v>
      </c>
      <c r="F65" s="348" t="s">
        <v>38</v>
      </c>
      <c r="G65" s="345"/>
      <c r="H65" s="349">
        <v>20.85</v>
      </c>
      <c r="I65" s="350">
        <v>738.25</v>
      </c>
      <c r="J65" s="350">
        <f>I65-H65</f>
        <v>717.4</v>
      </c>
      <c r="K65" s="351">
        <v>0.45</v>
      </c>
      <c r="L65" s="352">
        <f>J65/K65*3600/1000</f>
        <v>5739.2</v>
      </c>
      <c r="M65" s="286"/>
    </row>
    <row r="66" spans="2:13" ht="14">
      <c r="B66" s="281"/>
      <c r="C66" s="430"/>
      <c r="D66" s="361"/>
      <c r="E66" s="332"/>
      <c r="F66" s="429"/>
      <c r="G66" s="334"/>
      <c r="H66" s="339"/>
      <c r="I66" s="425"/>
      <c r="J66" s="425"/>
      <c r="K66" s="336"/>
      <c r="L66" s="428"/>
      <c r="M66" s="286"/>
    </row>
    <row r="67" spans="2:13" ht="14">
      <c r="B67" s="281"/>
      <c r="C67" s="354" t="s">
        <v>39</v>
      </c>
      <c r="D67" s="346"/>
      <c r="E67" s="347" t="s">
        <v>230</v>
      </c>
      <c r="F67" s="348" t="s">
        <v>38</v>
      </c>
      <c r="G67" s="345"/>
      <c r="H67" s="349">
        <v>13.07</v>
      </c>
      <c r="I67" s="350">
        <v>765.46</v>
      </c>
      <c r="J67" s="350">
        <f>I67-H67</f>
        <v>752.39</v>
      </c>
      <c r="K67" s="351">
        <v>0.45</v>
      </c>
      <c r="L67" s="352">
        <f>J67/K67*3600/1000</f>
        <v>6019.119999999999</v>
      </c>
      <c r="M67" s="286"/>
    </row>
    <row r="68" spans="2:13" ht="14">
      <c r="B68" s="281"/>
      <c r="C68" s="361"/>
      <c r="D68" s="361"/>
      <c r="E68" s="355"/>
      <c r="F68" s="361"/>
      <c r="G68" s="356"/>
      <c r="H68" s="357"/>
      <c r="I68" s="361"/>
      <c r="J68" s="361"/>
      <c r="K68" s="355"/>
      <c r="L68" s="423"/>
      <c r="M68" s="286"/>
    </row>
    <row r="69" spans="2:13" ht="14">
      <c r="B69" s="281"/>
      <c r="C69" s="361"/>
      <c r="D69" s="361"/>
      <c r="E69" s="361"/>
      <c r="F69" s="361"/>
      <c r="G69" s="361"/>
      <c r="H69" s="361"/>
      <c r="I69" s="427" t="s">
        <v>40</v>
      </c>
      <c r="J69" s="426">
        <f>SUM(J46:J67)</f>
        <v>10909.1</v>
      </c>
      <c r="K69" s="361"/>
      <c r="L69" s="361"/>
      <c r="M69" s="286"/>
    </row>
    <row r="70" spans="2:13" ht="14">
      <c r="B70" s="281"/>
      <c r="C70" s="361"/>
      <c r="D70" s="361"/>
      <c r="E70" s="361"/>
      <c r="F70" s="361"/>
      <c r="G70" s="361"/>
      <c r="H70" s="361"/>
      <c r="I70" s="361"/>
      <c r="J70" s="425"/>
      <c r="K70" s="424" t="s">
        <v>241</v>
      </c>
      <c r="L70" s="423">
        <f>L46+L51+L55+L58+L61+L65+L67</f>
        <v>45764.265599597027</v>
      </c>
      <c r="M70" s="286"/>
    </row>
    <row r="71" spans="2:13" ht="14">
      <c r="B71" s="281"/>
      <c r="C71" s="361"/>
      <c r="D71" s="361"/>
      <c r="E71" s="361"/>
      <c r="F71" s="361"/>
      <c r="G71" s="361"/>
      <c r="H71" s="361"/>
      <c r="I71" s="361"/>
      <c r="J71" s="361"/>
      <c r="K71" s="424" t="s">
        <v>42</v>
      </c>
      <c r="L71" s="423">
        <f>L48+L53+L56+L59+L62</f>
        <v>54448.358400402962</v>
      </c>
      <c r="M71" s="286"/>
    </row>
    <row r="72" spans="2:13" ht="14" thickBot="1">
      <c r="B72" s="363"/>
      <c r="C72" s="364"/>
      <c r="D72" s="364"/>
      <c r="E72" s="364"/>
      <c r="F72" s="364"/>
      <c r="G72" s="364"/>
      <c r="H72" s="364"/>
      <c r="I72" s="364"/>
      <c r="J72" s="364"/>
      <c r="K72" s="364"/>
      <c r="L72" s="364"/>
      <c r="M72" s="365"/>
    </row>
    <row r="74" spans="2:13">
      <c r="B74" s="496" t="s">
        <v>308</v>
      </c>
    </row>
  </sheetData>
  <mergeCells count="14">
    <mergeCell ref="G39:H40"/>
    <mergeCell ref="I39:J39"/>
    <mergeCell ref="G44:H44"/>
    <mergeCell ref="I44:J44"/>
    <mergeCell ref="C46:C48"/>
    <mergeCell ref="G46:G48"/>
    <mergeCell ref="C61:C62"/>
    <mergeCell ref="G61:G62"/>
    <mergeCell ref="C51:C53"/>
    <mergeCell ref="G51:G53"/>
    <mergeCell ref="C55:C56"/>
    <mergeCell ref="G55:G56"/>
    <mergeCell ref="C58:D59"/>
    <mergeCell ref="G58:G59"/>
  </mergeCells>
  <pageMargins left="0.75" right="0.75" top="1" bottom="1" header="0.5" footer="0.5"/>
  <legacy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A687B-8CA3-2648-9C00-C913E25B4406}">
  <dimension ref="A1:N74"/>
  <sheetViews>
    <sheetView topLeftCell="D1" zoomScale="67" zoomScaleNormal="150" zoomScalePageLayoutView="150" workbookViewId="0">
      <selection activeCell="O13" sqref="O13"/>
    </sheetView>
  </sheetViews>
  <sheetFormatPr baseColWidth="10" defaultColWidth="11.5" defaultRowHeight="13"/>
  <cols>
    <col min="1" max="1" width="6" style="5" customWidth="1"/>
    <col min="2" max="2" width="9.83203125" style="5" customWidth="1"/>
    <col min="3" max="3" width="12.33203125" style="5" customWidth="1"/>
    <col min="4" max="4" width="11.5" style="5"/>
    <col min="5" max="5" width="20.1640625" style="5" customWidth="1"/>
    <col min="6" max="6" width="17.5" style="5" bestFit="1" customWidth="1"/>
    <col min="7" max="7" width="12.1640625" style="5" customWidth="1"/>
    <col min="8" max="8" width="15.1640625" style="5" bestFit="1" customWidth="1"/>
    <col min="9" max="9" width="11.5" style="5" customWidth="1"/>
    <col min="10" max="10" width="13.1640625" style="5" bestFit="1" customWidth="1"/>
    <col min="11" max="11" width="16.1640625" style="5" bestFit="1" customWidth="1"/>
    <col min="12" max="12" width="12.5" style="5" customWidth="1"/>
    <col min="13" max="16384" width="11.5" style="5"/>
  </cols>
  <sheetData>
    <row r="1" spans="1:12" ht="20">
      <c r="A1" s="493" t="s">
        <v>323</v>
      </c>
      <c r="B1" s="448"/>
      <c r="C1" s="448"/>
      <c r="D1" s="448"/>
      <c r="E1" s="448"/>
      <c r="F1" s="448"/>
      <c r="G1" s="448"/>
      <c r="H1" s="174"/>
      <c r="I1" s="174"/>
      <c r="J1" s="175"/>
    </row>
    <row r="2" spans="1:12" ht="14" thickBot="1"/>
    <row r="3" spans="1:12" ht="16">
      <c r="A3" s="176" t="s">
        <v>17</v>
      </c>
      <c r="B3" s="176"/>
      <c r="F3" s="177">
        <v>128532</v>
      </c>
      <c r="G3" s="176" t="s">
        <v>1</v>
      </c>
      <c r="I3" s="178" t="s">
        <v>234</v>
      </c>
      <c r="J3" s="179"/>
      <c r="K3" s="180">
        <f>F32*F17</f>
        <v>6259788.8657600973</v>
      </c>
      <c r="L3" s="181" t="s">
        <v>9</v>
      </c>
    </row>
    <row r="4" spans="1:12" ht="17" thickBot="1">
      <c r="A4" s="176" t="s">
        <v>53</v>
      </c>
      <c r="B4" s="176"/>
      <c r="F4" s="182">
        <f>SUM(I46:I67)</f>
        <v>11426.1</v>
      </c>
      <c r="G4" s="176" t="s">
        <v>1</v>
      </c>
      <c r="I4" s="183" t="s">
        <v>15</v>
      </c>
      <c r="K4" s="184">
        <f>F33*F18</f>
        <v>87869.856359999991</v>
      </c>
      <c r="L4" s="185" t="s">
        <v>9</v>
      </c>
    </row>
    <row r="5" spans="1:12" ht="17" thickTop="1">
      <c r="A5" s="176" t="s">
        <v>169</v>
      </c>
      <c r="B5" s="176"/>
      <c r="F5" s="184">
        <f>F3-F4</f>
        <v>117105.9</v>
      </c>
      <c r="G5" s="176" t="s">
        <v>1</v>
      </c>
      <c r="I5" s="183" t="s">
        <v>8</v>
      </c>
      <c r="K5" s="186">
        <f>F34*F19</f>
        <v>20716478.82184102</v>
      </c>
      <c r="L5" s="185" t="s">
        <v>9</v>
      </c>
    </row>
    <row r="6" spans="1:12" ht="16">
      <c r="A6" s="176" t="s">
        <v>63</v>
      </c>
      <c r="B6" s="176"/>
      <c r="F6" s="177">
        <v>27339.3</v>
      </c>
      <c r="G6" s="176" t="s">
        <v>1</v>
      </c>
      <c r="I6" s="183" t="s">
        <v>54</v>
      </c>
      <c r="K6" s="187">
        <f>F35*F20</f>
        <v>10188201.35502</v>
      </c>
      <c r="L6" s="185" t="s">
        <v>9</v>
      </c>
    </row>
    <row r="7" spans="1:12" ht="16">
      <c r="A7" s="176" t="s">
        <v>64</v>
      </c>
      <c r="B7" s="176"/>
      <c r="F7" s="177">
        <v>9909</v>
      </c>
      <c r="G7" s="176" t="s">
        <v>1</v>
      </c>
      <c r="I7" s="188"/>
      <c r="L7" s="189"/>
    </row>
    <row r="8" spans="1:12" ht="17" thickBot="1">
      <c r="A8" s="176" t="s">
        <v>65</v>
      </c>
      <c r="B8" s="176"/>
      <c r="F8" s="447">
        <f>SUM(F6:F7)/F5</f>
        <v>0.31807364103772745</v>
      </c>
      <c r="G8" s="176"/>
      <c r="I8" s="191" t="s">
        <v>18</v>
      </c>
      <c r="J8" s="192"/>
      <c r="K8" s="193">
        <f>SUM(K3:K6)/F11/1000</f>
        <v>0.47292030198706886</v>
      </c>
      <c r="L8" s="194" t="s">
        <v>10</v>
      </c>
    </row>
    <row r="9" spans="1:12" ht="16">
      <c r="A9" s="176" t="s">
        <v>171</v>
      </c>
      <c r="B9" s="176"/>
      <c r="F9" s="195">
        <v>515.59</v>
      </c>
      <c r="G9" s="176" t="s">
        <v>1</v>
      </c>
      <c r="H9" s="494" t="s">
        <v>318</v>
      </c>
      <c r="I9" s="196"/>
      <c r="K9" s="197"/>
      <c r="L9" s="196"/>
    </row>
    <row r="10" spans="1:12" ht="16">
      <c r="A10" s="176" t="s">
        <v>172</v>
      </c>
      <c r="B10" s="176"/>
      <c r="F10" s="195">
        <f>591-19.85</f>
        <v>571.15</v>
      </c>
      <c r="G10" s="176" t="s">
        <v>1</v>
      </c>
      <c r="H10" s="494" t="s">
        <v>318</v>
      </c>
      <c r="I10" s="196"/>
      <c r="K10" s="197"/>
      <c r="L10" s="196"/>
    </row>
    <row r="11" spans="1:12" ht="16">
      <c r="A11" s="176" t="s">
        <v>176</v>
      </c>
      <c r="B11" s="176"/>
      <c r="F11" s="198">
        <f>F5-SUM(F9:F10)-F6-F7</f>
        <v>78770.859999999986</v>
      </c>
      <c r="G11" s="176" t="s">
        <v>1</v>
      </c>
      <c r="H11" s="176"/>
      <c r="I11" s="196"/>
      <c r="K11" s="197"/>
      <c r="L11" s="196"/>
    </row>
    <row r="12" spans="1:12" ht="16">
      <c r="A12" s="176"/>
      <c r="B12" s="176"/>
      <c r="G12" s="176"/>
    </row>
    <row r="13" spans="1:12" ht="16">
      <c r="A13" s="176" t="s">
        <v>6</v>
      </c>
      <c r="B13" s="176"/>
      <c r="F13" s="199">
        <v>6.7000000000000002E-4</v>
      </c>
      <c r="G13" s="176" t="s">
        <v>7</v>
      </c>
      <c r="H13" s="446"/>
    </row>
    <row r="14" spans="1:12" ht="16">
      <c r="A14" s="176" t="s">
        <v>2</v>
      </c>
      <c r="B14" s="176"/>
      <c r="F14" s="201">
        <f>3.281^3</f>
        <v>35.319837041000007</v>
      </c>
      <c r="G14" s="202" t="s">
        <v>19</v>
      </c>
    </row>
    <row r="15" spans="1:12" ht="16">
      <c r="A15" s="176" t="s">
        <v>43</v>
      </c>
      <c r="F15" s="201">
        <v>4.4200000000000003E-2</v>
      </c>
      <c r="G15" s="176" t="s">
        <v>44</v>
      </c>
      <c r="H15" s="494" t="s">
        <v>319</v>
      </c>
    </row>
    <row r="16" spans="1:12" ht="16">
      <c r="A16" s="176"/>
      <c r="B16" s="176"/>
      <c r="G16" s="202"/>
    </row>
    <row r="17" spans="1:8" ht="16">
      <c r="A17" s="176" t="s">
        <v>232</v>
      </c>
      <c r="B17" s="176"/>
      <c r="F17" s="201">
        <v>75.5</v>
      </c>
      <c r="G17" s="176" t="s">
        <v>4</v>
      </c>
      <c r="H17" s="176" t="s">
        <v>5</v>
      </c>
    </row>
    <row r="18" spans="1:8" ht="16">
      <c r="A18" s="176" t="s">
        <v>60</v>
      </c>
      <c r="B18" s="176"/>
      <c r="F18" s="201">
        <v>72.599999999999994</v>
      </c>
      <c r="G18" s="176" t="s">
        <v>4</v>
      </c>
      <c r="H18" s="176" t="s">
        <v>5</v>
      </c>
    </row>
    <row r="19" spans="1:8" ht="16">
      <c r="A19" s="176" t="s">
        <v>3</v>
      </c>
      <c r="B19" s="176"/>
      <c r="F19" s="201">
        <v>54.3</v>
      </c>
      <c r="G19" s="176" t="s">
        <v>4</v>
      </c>
      <c r="H19" s="176" t="s">
        <v>5</v>
      </c>
    </row>
    <row r="20" spans="1:8" ht="16">
      <c r="A20" s="176" t="s">
        <v>55</v>
      </c>
      <c r="B20" s="176"/>
      <c r="F20" s="201">
        <v>87.3</v>
      </c>
      <c r="G20" s="176" t="s">
        <v>4</v>
      </c>
      <c r="H20" s="176" t="s">
        <v>5</v>
      </c>
    </row>
    <row r="21" spans="1:8" ht="16">
      <c r="A21" s="176"/>
      <c r="B21" s="176"/>
      <c r="G21" s="176"/>
      <c r="H21" s="176"/>
    </row>
    <row r="22" spans="1:8" ht="16">
      <c r="A22" s="176" t="s">
        <v>236</v>
      </c>
      <c r="F22" s="203">
        <v>2661528</v>
      </c>
      <c r="G22" s="202" t="s">
        <v>47</v>
      </c>
      <c r="H22" s="494" t="s">
        <v>320</v>
      </c>
    </row>
    <row r="23" spans="1:8" ht="16">
      <c r="A23" s="176" t="s">
        <v>57</v>
      </c>
      <c r="F23" s="203">
        <v>27383</v>
      </c>
      <c r="G23" s="202" t="s">
        <v>47</v>
      </c>
      <c r="H23" s="494" t="s">
        <v>320</v>
      </c>
    </row>
    <row r="24" spans="1:8" ht="16">
      <c r="A24" s="204" t="s">
        <v>46</v>
      </c>
      <c r="F24" s="203">
        <v>10050101</v>
      </c>
      <c r="G24" s="202" t="s">
        <v>47</v>
      </c>
      <c r="H24" s="494" t="s">
        <v>320</v>
      </c>
    </row>
    <row r="25" spans="1:8" ht="16">
      <c r="A25" s="176" t="s">
        <v>45</v>
      </c>
      <c r="F25" s="203">
        <v>2640347</v>
      </c>
      <c r="G25" s="202" t="s">
        <v>47</v>
      </c>
      <c r="H25" s="494" t="s">
        <v>321</v>
      </c>
    </row>
    <row r="27" spans="1:8" ht="16">
      <c r="A27" s="176" t="s">
        <v>236</v>
      </c>
      <c r="F27" s="205">
        <f>F22*$F$15</f>
        <v>117639.53760000001</v>
      </c>
      <c r="G27" s="202" t="s">
        <v>16</v>
      </c>
      <c r="H27" s="176" t="s">
        <v>52</v>
      </c>
    </row>
    <row r="28" spans="1:8" ht="16">
      <c r="A28" s="176" t="s">
        <v>58</v>
      </c>
      <c r="F28" s="205">
        <f>F23*$F$15</f>
        <v>1210.3286000000001</v>
      </c>
      <c r="G28" s="202" t="s">
        <v>16</v>
      </c>
      <c r="H28" s="176" t="s">
        <v>52</v>
      </c>
    </row>
    <row r="29" spans="1:8" ht="16">
      <c r="A29" s="204" t="s">
        <v>46</v>
      </c>
      <c r="F29" s="205">
        <f>F24*$F$15</f>
        <v>444214.46420000005</v>
      </c>
      <c r="G29" s="202" t="s">
        <v>16</v>
      </c>
      <c r="H29" s="176" t="s">
        <v>52</v>
      </c>
    </row>
    <row r="30" spans="1:8" ht="16">
      <c r="A30" s="176" t="s">
        <v>45</v>
      </c>
      <c r="F30" s="205">
        <f>F25*$F$15</f>
        <v>116703.3374</v>
      </c>
      <c r="G30" s="202" t="s">
        <v>16</v>
      </c>
      <c r="H30" s="176" t="s">
        <v>52</v>
      </c>
    </row>
    <row r="32" spans="1:8" ht="16">
      <c r="A32" s="204" t="s">
        <v>238</v>
      </c>
      <c r="F32" s="205">
        <f>F27-L70</f>
        <v>82911.110804769502</v>
      </c>
      <c r="G32" s="202" t="s">
        <v>16</v>
      </c>
      <c r="H32" s="494" t="s">
        <v>322</v>
      </c>
    </row>
    <row r="33" spans="1:14" ht="16">
      <c r="A33" s="204" t="s">
        <v>59</v>
      </c>
      <c r="F33" s="205">
        <f>F28</f>
        <v>1210.3286000000001</v>
      </c>
      <c r="G33" s="202" t="s">
        <v>16</v>
      </c>
      <c r="H33" s="494" t="s">
        <v>322</v>
      </c>
    </row>
    <row r="34" spans="1:14" ht="16">
      <c r="A34" s="204" t="s">
        <v>50</v>
      </c>
      <c r="F34" s="205">
        <f>F29-L71</f>
        <v>381518.94699523057</v>
      </c>
      <c r="G34" s="202" t="s">
        <v>16</v>
      </c>
      <c r="H34" s="494" t="s">
        <v>322</v>
      </c>
    </row>
    <row r="35" spans="1:14" ht="17" customHeight="1">
      <c r="A35" s="204" t="s">
        <v>49</v>
      </c>
      <c r="F35" s="205">
        <f>F30</f>
        <v>116703.3374</v>
      </c>
      <c r="G35" s="202" t="s">
        <v>16</v>
      </c>
      <c r="H35" s="494" t="s">
        <v>322</v>
      </c>
    </row>
    <row r="36" spans="1:14" ht="14" customHeight="1" thickBot="1"/>
    <row r="37" spans="1:14" ht="14" customHeight="1">
      <c r="B37" s="278"/>
      <c r="C37" s="279"/>
      <c r="D37" s="279"/>
      <c r="E37" s="279"/>
      <c r="F37" s="279"/>
      <c r="G37" s="279"/>
      <c r="H37" s="279"/>
      <c r="I37" s="279"/>
      <c r="J37" s="279"/>
      <c r="K37" s="279"/>
      <c r="L37" s="279"/>
      <c r="M37" s="280"/>
    </row>
    <row r="38" spans="1:14" ht="18">
      <c r="B38" s="281"/>
      <c r="C38" s="495" t="s">
        <v>324</v>
      </c>
      <c r="D38" s="283"/>
      <c r="E38" s="284"/>
      <c r="F38" s="284"/>
      <c r="G38" s="284"/>
      <c r="H38" s="284"/>
      <c r="I38" s="284"/>
      <c r="J38" s="284"/>
      <c r="K38" s="284"/>
      <c r="L38" s="285"/>
      <c r="M38" s="286"/>
    </row>
    <row r="39" spans="1:14" ht="28" customHeight="1">
      <c r="B39" s="281"/>
      <c r="C39" s="287"/>
      <c r="D39" s="444"/>
      <c r="E39" s="289"/>
      <c r="F39" s="444"/>
      <c r="G39" s="622" t="s">
        <v>223</v>
      </c>
      <c r="H39" s="623"/>
      <c r="I39" s="616" t="s">
        <v>23</v>
      </c>
      <c r="J39" s="617"/>
      <c r="K39" s="289" t="s">
        <v>69</v>
      </c>
      <c r="L39" s="290" t="s">
        <v>70</v>
      </c>
      <c r="M39" s="286"/>
    </row>
    <row r="40" spans="1:14" ht="28" customHeight="1">
      <c r="B40" s="281"/>
      <c r="C40" s="287" t="s">
        <v>20</v>
      </c>
      <c r="D40" s="444"/>
      <c r="E40" s="289" t="s">
        <v>71</v>
      </c>
      <c r="F40" s="444" t="s">
        <v>22</v>
      </c>
      <c r="G40" s="624"/>
      <c r="H40" s="625"/>
      <c r="I40" s="444" t="s">
        <v>224</v>
      </c>
      <c r="J40" s="444" t="s">
        <v>26</v>
      </c>
      <c r="K40" s="289" t="s">
        <v>225</v>
      </c>
      <c r="L40" s="290" t="s">
        <v>72</v>
      </c>
      <c r="M40" s="286"/>
    </row>
    <row r="41" spans="1:14" ht="14" customHeight="1">
      <c r="B41" s="281"/>
      <c r="C41" s="287"/>
      <c r="D41" s="444"/>
      <c r="E41" s="291"/>
      <c r="F41" s="445"/>
      <c r="G41" s="293"/>
      <c r="H41" s="290"/>
      <c r="I41" s="444"/>
      <c r="J41" s="444"/>
      <c r="K41" s="289"/>
      <c r="L41" s="290"/>
      <c r="M41" s="286"/>
    </row>
    <row r="42" spans="1:14" ht="15" customHeight="1">
      <c r="B42" s="281"/>
      <c r="C42" s="287"/>
      <c r="D42" s="445"/>
      <c r="E42" s="291"/>
      <c r="F42" s="445"/>
      <c r="G42" s="293"/>
      <c r="H42" s="290"/>
      <c r="I42" s="444"/>
      <c r="J42" s="444"/>
      <c r="K42" s="289"/>
      <c r="L42" s="290"/>
      <c r="M42" s="286"/>
    </row>
    <row r="43" spans="1:14" ht="14" customHeight="1">
      <c r="B43" s="281"/>
      <c r="C43" s="294"/>
      <c r="D43" s="442"/>
      <c r="E43" s="296" t="s">
        <v>73</v>
      </c>
      <c r="F43" s="443"/>
      <c r="G43" s="294" t="s">
        <v>74</v>
      </c>
      <c r="H43" s="298"/>
      <c r="I43" s="442"/>
      <c r="J43" s="442"/>
      <c r="K43" s="299"/>
      <c r="L43" s="300"/>
      <c r="M43" s="286"/>
    </row>
    <row r="44" spans="1:14" ht="14">
      <c r="B44" s="281"/>
      <c r="C44" s="301"/>
      <c r="D44" s="302"/>
      <c r="E44" s="303"/>
      <c r="F44" s="304"/>
      <c r="G44" s="614" t="s">
        <v>1</v>
      </c>
      <c r="H44" s="615"/>
      <c r="I44" s="614" t="s">
        <v>1</v>
      </c>
      <c r="J44" s="615"/>
      <c r="K44" s="305"/>
      <c r="L44" s="306" t="s">
        <v>16</v>
      </c>
      <c r="M44" s="286"/>
      <c r="N44" s="231"/>
    </row>
    <row r="45" spans="1:14" ht="15">
      <c r="B45" s="281"/>
      <c r="C45" s="431" t="s">
        <v>28</v>
      </c>
      <c r="D45" s="441"/>
      <c r="E45" s="309"/>
      <c r="F45" s="440"/>
      <c r="G45" s="311"/>
      <c r="H45" s="312"/>
      <c r="I45" s="439"/>
      <c r="J45" s="439"/>
      <c r="K45" s="314"/>
      <c r="L45" s="438"/>
      <c r="M45" s="286"/>
      <c r="N45" s="231"/>
    </row>
    <row r="46" spans="1:14" ht="15">
      <c r="B46" s="281"/>
      <c r="C46" s="626" t="s">
        <v>31</v>
      </c>
      <c r="D46" s="371"/>
      <c r="E46" s="534" t="s">
        <v>229</v>
      </c>
      <c r="F46" s="317" t="s">
        <v>34</v>
      </c>
      <c r="G46" s="618">
        <v>13.21</v>
      </c>
      <c r="H46" s="318">
        <f>I46/(I46+I48)*G46</f>
        <v>0</v>
      </c>
      <c r="I46" s="319">
        <v>0</v>
      </c>
      <c r="J46" s="319">
        <f>I46-H46</f>
        <v>0</v>
      </c>
      <c r="K46" s="372">
        <v>0.375</v>
      </c>
      <c r="L46" s="320">
        <f>J46/K46*3600/1000</f>
        <v>0</v>
      </c>
      <c r="M46" s="286"/>
      <c r="N46" s="231"/>
    </row>
    <row r="47" spans="1:14" ht="15" customHeight="1">
      <c r="B47" s="281"/>
      <c r="C47" s="627"/>
      <c r="D47" s="435"/>
      <c r="E47" s="532"/>
      <c r="F47" s="533"/>
      <c r="G47" s="629"/>
      <c r="H47" s="324"/>
      <c r="I47" s="435"/>
      <c r="J47" s="435"/>
      <c r="K47" s="373"/>
      <c r="L47" s="324"/>
      <c r="M47" s="286"/>
      <c r="N47" s="231"/>
    </row>
    <row r="48" spans="1:14" ht="15" customHeight="1">
      <c r="B48" s="281"/>
      <c r="C48" s="628"/>
      <c r="D48" s="325"/>
      <c r="E48" s="326" t="s">
        <v>0</v>
      </c>
      <c r="F48" s="327" t="s">
        <v>34</v>
      </c>
      <c r="G48" s="619"/>
      <c r="H48" s="328">
        <v>14.71</v>
      </c>
      <c r="I48" s="329">
        <v>395.33</v>
      </c>
      <c r="J48" s="329">
        <f>I48-H48</f>
        <v>380.62</v>
      </c>
      <c r="K48" s="374">
        <v>0.375</v>
      </c>
      <c r="L48" s="330">
        <f>J48/K48*3600/1000</f>
        <v>3653.9520000000002</v>
      </c>
      <c r="M48" s="286"/>
      <c r="N48" s="231"/>
    </row>
    <row r="49" spans="2:14">
      <c r="B49" s="281"/>
      <c r="C49" s="361"/>
      <c r="D49" s="361"/>
      <c r="E49" s="332"/>
      <c r="F49" s="429"/>
      <c r="G49" s="334"/>
      <c r="H49" s="335"/>
      <c r="I49" s="361"/>
      <c r="J49" s="361"/>
      <c r="K49" s="314"/>
      <c r="L49" s="361"/>
      <c r="M49" s="286"/>
      <c r="N49" s="231"/>
    </row>
    <row r="50" spans="2:14">
      <c r="B50" s="281"/>
      <c r="C50" s="437"/>
      <c r="D50" s="361"/>
      <c r="E50" s="332"/>
      <c r="F50" s="429"/>
      <c r="G50" s="334"/>
      <c r="H50" s="339"/>
      <c r="I50" s="425"/>
      <c r="J50" s="425"/>
      <c r="K50" s="375"/>
      <c r="L50" s="428"/>
      <c r="M50" s="286"/>
      <c r="N50" s="231"/>
    </row>
    <row r="51" spans="2:14" ht="15" customHeight="1">
      <c r="B51" s="281"/>
      <c r="C51" s="626" t="s">
        <v>32</v>
      </c>
      <c r="D51" s="376"/>
      <c r="E51" s="316" t="s">
        <v>230</v>
      </c>
      <c r="F51" s="317" t="s">
        <v>30</v>
      </c>
      <c r="G51" s="618">
        <v>16.29</v>
      </c>
      <c r="H51" s="318">
        <f>I51/(I51+I53)*G51</f>
        <v>0</v>
      </c>
      <c r="I51" s="319">
        <v>0</v>
      </c>
      <c r="J51" s="319">
        <f>I51-H51</f>
        <v>0</v>
      </c>
      <c r="K51" s="372">
        <v>0.3</v>
      </c>
      <c r="L51" s="320">
        <f>J51/K51*3600/1000</f>
        <v>0</v>
      </c>
      <c r="M51" s="286"/>
      <c r="N51" s="231"/>
    </row>
    <row r="52" spans="2:14" ht="15" customHeight="1">
      <c r="B52" s="281"/>
      <c r="C52" s="627"/>
      <c r="D52" s="435"/>
      <c r="E52" s="322"/>
      <c r="F52" s="436"/>
      <c r="G52" s="629"/>
      <c r="H52" s="324"/>
      <c r="I52" s="435"/>
      <c r="J52" s="435"/>
      <c r="K52" s="373"/>
      <c r="L52" s="324"/>
      <c r="M52" s="286"/>
      <c r="N52" s="231"/>
    </row>
    <row r="53" spans="2:14" ht="15">
      <c r="B53" s="281"/>
      <c r="C53" s="628"/>
      <c r="D53" s="377"/>
      <c r="E53" s="326" t="s">
        <v>0</v>
      </c>
      <c r="F53" s="327" t="s">
        <v>30</v>
      </c>
      <c r="G53" s="619"/>
      <c r="H53" s="328">
        <v>12.78</v>
      </c>
      <c r="I53" s="329">
        <v>368.02</v>
      </c>
      <c r="J53" s="329">
        <f>I53-H53</f>
        <v>355.24</v>
      </c>
      <c r="K53" s="374">
        <v>0.3</v>
      </c>
      <c r="L53" s="330">
        <f>J53/K53*3600/1000</f>
        <v>4262.88</v>
      </c>
      <c r="M53" s="286"/>
      <c r="N53" s="231"/>
    </row>
    <row r="54" spans="2:14">
      <c r="B54" s="281"/>
      <c r="C54" s="361"/>
      <c r="D54" s="361"/>
      <c r="E54" s="332"/>
      <c r="F54" s="429"/>
      <c r="G54" s="334"/>
      <c r="H54" s="335"/>
      <c r="I54" s="361"/>
      <c r="J54" s="361"/>
      <c r="K54" s="314"/>
      <c r="L54" s="361"/>
      <c r="M54" s="286"/>
      <c r="N54" s="231"/>
    </row>
    <row r="55" spans="2:14" ht="28" customHeight="1">
      <c r="B55" s="281"/>
      <c r="C55" s="620" t="s">
        <v>178</v>
      </c>
      <c r="D55" s="344"/>
      <c r="E55" s="316" t="s">
        <v>230</v>
      </c>
      <c r="F55" s="317" t="s">
        <v>34</v>
      </c>
      <c r="G55" s="618">
        <v>429.18</v>
      </c>
      <c r="H55" s="318">
        <f>I55/(I55+I56)*G55</f>
        <v>310.55554216348844</v>
      </c>
      <c r="I55" s="319">
        <v>3362</v>
      </c>
      <c r="J55" s="319">
        <f>I55-H55</f>
        <v>3051.4444578365114</v>
      </c>
      <c r="K55" s="372">
        <v>0.375</v>
      </c>
      <c r="L55" s="320">
        <f>J55/K55*3600/1000</f>
        <v>29293.866795230511</v>
      </c>
      <c r="M55" s="286"/>
      <c r="N55" s="231"/>
    </row>
    <row r="56" spans="2:14" ht="26" customHeight="1">
      <c r="B56" s="281"/>
      <c r="C56" s="621"/>
      <c r="D56" s="337"/>
      <c r="E56" s="326" t="s">
        <v>0</v>
      </c>
      <c r="F56" s="327" t="s">
        <v>34</v>
      </c>
      <c r="G56" s="619"/>
      <c r="H56" s="328">
        <f>I56/(I56+I55)*G55</f>
        <v>118.62445783651155</v>
      </c>
      <c r="I56" s="329">
        <f>854.5+429.7</f>
        <v>1284.2</v>
      </c>
      <c r="J56" s="329">
        <f>I56-H56</f>
        <v>1165.5755421634885</v>
      </c>
      <c r="K56" s="374">
        <v>0.375</v>
      </c>
      <c r="L56" s="330">
        <f>J56/K56*3600/1000</f>
        <v>11189.52520476949</v>
      </c>
      <c r="M56" s="286"/>
      <c r="N56" s="231"/>
    </row>
    <row r="57" spans="2:14">
      <c r="B57" s="378"/>
      <c r="C57" s="434"/>
      <c r="D57" s="433"/>
      <c r="E57" s="432"/>
      <c r="F57" s="432"/>
      <c r="G57" s="382"/>
      <c r="H57" s="383"/>
      <c r="I57" s="384"/>
      <c r="J57" s="383"/>
      <c r="K57" s="385"/>
      <c r="L57" s="386"/>
      <c r="M57" s="387"/>
      <c r="N57" s="231"/>
    </row>
    <row r="58" spans="2:14">
      <c r="B58" s="378"/>
      <c r="C58" s="609" t="s">
        <v>35</v>
      </c>
      <c r="D58" s="610"/>
      <c r="E58" s="388" t="s">
        <v>230</v>
      </c>
      <c r="F58" s="389" t="s">
        <v>30</v>
      </c>
      <c r="G58" s="618">
        <v>92.34</v>
      </c>
      <c r="H58" s="318">
        <f>I58/(I58+I59)*G58</f>
        <v>0</v>
      </c>
      <c r="I58" s="319">
        <v>0</v>
      </c>
      <c r="J58" s="319">
        <f>I58-H58</f>
        <v>0</v>
      </c>
      <c r="K58" s="372">
        <v>0.6</v>
      </c>
      <c r="L58" s="320">
        <f>J58/K58*3600/1000</f>
        <v>0</v>
      </c>
      <c r="M58" s="387"/>
      <c r="N58" s="231"/>
    </row>
    <row r="59" spans="2:14">
      <c r="B59" s="378"/>
      <c r="C59" s="611"/>
      <c r="D59" s="612"/>
      <c r="E59" s="394" t="s">
        <v>0</v>
      </c>
      <c r="F59" s="395" t="s">
        <v>30</v>
      </c>
      <c r="G59" s="619"/>
      <c r="H59" s="328">
        <f>I59/(I59+I58)*G58</f>
        <v>92.34</v>
      </c>
      <c r="I59" s="329">
        <v>1251.68</v>
      </c>
      <c r="J59" s="329">
        <f>I59-H59</f>
        <v>1159.3400000000001</v>
      </c>
      <c r="K59" s="374">
        <v>0.6</v>
      </c>
      <c r="L59" s="330">
        <f>J59/K59*3600/1000</f>
        <v>6956.0400000000009</v>
      </c>
      <c r="M59" s="387"/>
      <c r="N59" s="231"/>
    </row>
    <row r="60" spans="2:14">
      <c r="B60" s="378"/>
      <c r="C60" s="434"/>
      <c r="D60" s="433"/>
      <c r="E60" s="432"/>
      <c r="F60" s="432"/>
      <c r="G60" s="382"/>
      <c r="H60" s="383"/>
      <c r="I60" s="384"/>
      <c r="J60" s="383"/>
      <c r="K60" s="385"/>
      <c r="L60" s="386"/>
      <c r="M60" s="387"/>
      <c r="N60" s="231"/>
    </row>
    <row r="61" spans="2:14" ht="28" customHeight="1">
      <c r="B61" s="281"/>
      <c r="C61" s="620" t="s">
        <v>179</v>
      </c>
      <c r="D61" s="344"/>
      <c r="E61" s="316" t="s">
        <v>230</v>
      </c>
      <c r="F61" s="317" t="s">
        <v>34</v>
      </c>
      <c r="G61" s="618">
        <v>249.75</v>
      </c>
      <c r="H61" s="318">
        <f>I61/(I61+I62)*G61</f>
        <v>0</v>
      </c>
      <c r="I61" s="319">
        <v>0</v>
      </c>
      <c r="J61" s="319">
        <f>I61-H61</f>
        <v>0</v>
      </c>
      <c r="K61" s="372">
        <v>0.375</v>
      </c>
      <c r="L61" s="320">
        <f>J61/K61*3600/1000</f>
        <v>0</v>
      </c>
      <c r="M61" s="286"/>
      <c r="N61" s="231"/>
    </row>
    <row r="62" spans="2:14" ht="26" customHeight="1">
      <c r="B62" s="281"/>
      <c r="C62" s="621"/>
      <c r="D62" s="337"/>
      <c r="E62" s="326" t="s">
        <v>0</v>
      </c>
      <c r="F62" s="327" t="s">
        <v>34</v>
      </c>
      <c r="G62" s="619"/>
      <c r="H62" s="328">
        <f>I62/(I62+I61)*G61</f>
        <v>249.75</v>
      </c>
      <c r="I62" s="329">
        <v>4065.7</v>
      </c>
      <c r="J62" s="329">
        <f>I62-H62</f>
        <v>3815.95</v>
      </c>
      <c r="K62" s="374">
        <v>0.375</v>
      </c>
      <c r="L62" s="330">
        <f>J62/K62*3600/1000</f>
        <v>36633.120000000003</v>
      </c>
      <c r="M62" s="286"/>
      <c r="N62" s="231"/>
    </row>
    <row r="63" spans="2:14" ht="14">
      <c r="B63" s="281"/>
      <c r="C63" s="431" t="s">
        <v>36</v>
      </c>
      <c r="D63" s="361"/>
      <c r="E63" s="332"/>
      <c r="F63" s="429"/>
      <c r="G63" s="334"/>
      <c r="H63" s="335"/>
      <c r="I63" s="361"/>
      <c r="J63" s="361"/>
      <c r="K63" s="336"/>
      <c r="L63" s="361"/>
      <c r="M63" s="286"/>
    </row>
    <row r="64" spans="2:14" ht="14">
      <c r="B64" s="281"/>
      <c r="C64" s="361"/>
      <c r="D64" s="361"/>
      <c r="E64" s="332"/>
      <c r="F64" s="429"/>
      <c r="G64" s="334"/>
      <c r="H64" s="339"/>
      <c r="I64" s="425"/>
      <c r="J64" s="425"/>
      <c r="K64" s="336"/>
      <c r="L64" s="428"/>
      <c r="M64" s="286"/>
    </row>
    <row r="65" spans="2:13" ht="14">
      <c r="B65" s="281"/>
      <c r="C65" s="345" t="s">
        <v>37</v>
      </c>
      <c r="D65" s="346"/>
      <c r="E65" s="347" t="s">
        <v>230</v>
      </c>
      <c r="F65" s="348" t="s">
        <v>38</v>
      </c>
      <c r="G65" s="345"/>
      <c r="H65" s="349">
        <v>19.850000000000001</v>
      </c>
      <c r="I65" s="350">
        <v>699.17</v>
      </c>
      <c r="J65" s="350">
        <f>I65-H65</f>
        <v>679.31999999999994</v>
      </c>
      <c r="K65" s="351">
        <v>0.45</v>
      </c>
      <c r="L65" s="352">
        <f>J65/K65*3600/1000</f>
        <v>5434.56</v>
      </c>
      <c r="M65" s="286"/>
    </row>
    <row r="66" spans="2:13" ht="14">
      <c r="B66" s="281"/>
      <c r="C66" s="430"/>
      <c r="D66" s="361"/>
      <c r="E66" s="332"/>
      <c r="F66" s="429"/>
      <c r="G66" s="334"/>
      <c r="H66" s="339"/>
      <c r="I66" s="425"/>
      <c r="J66" s="425"/>
      <c r="K66" s="336"/>
      <c r="L66" s="428"/>
      <c r="M66" s="286"/>
    </row>
    <row r="67" spans="2:13" ht="14">
      <c r="B67" s="281"/>
      <c r="C67" s="354" t="s">
        <v>39</v>
      </c>
      <c r="D67" s="346"/>
      <c r="E67" s="347" t="s">
        <v>230</v>
      </c>
      <c r="F67" s="348" t="s">
        <v>38</v>
      </c>
      <c r="G67" s="345"/>
      <c r="H67" s="349">
        <v>0</v>
      </c>
      <c r="I67" s="350">
        <v>0</v>
      </c>
      <c r="J67" s="350">
        <f>I67-H67</f>
        <v>0</v>
      </c>
      <c r="K67" s="351">
        <v>0.45</v>
      </c>
      <c r="L67" s="352">
        <f>J67/K67*3600/1000</f>
        <v>0</v>
      </c>
      <c r="M67" s="286"/>
    </row>
    <row r="68" spans="2:13" ht="14">
      <c r="B68" s="281"/>
      <c r="C68" s="361"/>
      <c r="D68" s="361"/>
      <c r="E68" s="355"/>
      <c r="F68" s="361"/>
      <c r="G68" s="356"/>
      <c r="H68" s="357"/>
      <c r="I68" s="361"/>
      <c r="J68" s="361"/>
      <c r="K68" s="355"/>
      <c r="L68" s="423"/>
      <c r="M68" s="286"/>
    </row>
    <row r="69" spans="2:13" ht="14">
      <c r="B69" s="281"/>
      <c r="C69" s="361"/>
      <c r="D69" s="361"/>
      <c r="E69" s="361"/>
      <c r="F69" s="361"/>
      <c r="G69" s="361"/>
      <c r="H69" s="361"/>
      <c r="I69" s="427" t="s">
        <v>40</v>
      </c>
      <c r="J69" s="426">
        <f>SUM(J46:J67)</f>
        <v>10607.49</v>
      </c>
      <c r="K69" s="361"/>
      <c r="L69" s="361"/>
      <c r="M69" s="286"/>
    </row>
    <row r="70" spans="2:13" ht="14">
      <c r="B70" s="281"/>
      <c r="C70" s="361"/>
      <c r="D70" s="361"/>
      <c r="E70" s="361"/>
      <c r="F70" s="361"/>
      <c r="G70" s="361"/>
      <c r="H70" s="361"/>
      <c r="I70" s="361"/>
      <c r="J70" s="425"/>
      <c r="K70" s="424" t="s">
        <v>241</v>
      </c>
      <c r="L70" s="423">
        <f>L46+L51+L55+L58+L61+L65+L67</f>
        <v>34728.426795230509</v>
      </c>
      <c r="M70" s="286"/>
    </row>
    <row r="71" spans="2:13" ht="14">
      <c r="B71" s="281"/>
      <c r="C71" s="361"/>
      <c r="D71" s="361"/>
      <c r="E71" s="361"/>
      <c r="F71" s="361"/>
      <c r="G71" s="361"/>
      <c r="H71" s="361"/>
      <c r="I71" s="361"/>
      <c r="J71" s="361"/>
      <c r="K71" s="424" t="s">
        <v>42</v>
      </c>
      <c r="L71" s="423">
        <f>L48+L53+L56+L59+L62</f>
        <v>62695.517204769494</v>
      </c>
      <c r="M71" s="286"/>
    </row>
    <row r="72" spans="2:13" ht="14" thickBot="1">
      <c r="B72" s="363"/>
      <c r="C72" s="364"/>
      <c r="D72" s="364"/>
      <c r="E72" s="364"/>
      <c r="F72" s="364"/>
      <c r="G72" s="364"/>
      <c r="H72" s="364"/>
      <c r="I72" s="364"/>
      <c r="J72" s="364"/>
      <c r="K72" s="364"/>
      <c r="L72" s="364"/>
      <c r="M72" s="365"/>
    </row>
    <row r="74" spans="2:13">
      <c r="B74" s="496" t="s">
        <v>325</v>
      </c>
    </row>
  </sheetData>
  <mergeCells count="14">
    <mergeCell ref="G39:H40"/>
    <mergeCell ref="I39:J39"/>
    <mergeCell ref="G44:H44"/>
    <mergeCell ref="I44:J44"/>
    <mergeCell ref="C46:C48"/>
    <mergeCell ref="G46:G48"/>
    <mergeCell ref="C61:C62"/>
    <mergeCell ref="G61:G62"/>
    <mergeCell ref="C51:C53"/>
    <mergeCell ref="G51:G53"/>
    <mergeCell ref="C55:C56"/>
    <mergeCell ref="G55:G56"/>
    <mergeCell ref="C58:D59"/>
    <mergeCell ref="G58:G59"/>
  </mergeCells>
  <pageMargins left="0.75" right="0.75" top="1" bottom="1" header="0.5" footer="0.5"/>
  <legacy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4741D-9D1D-A84A-A1D1-3614B13A6386}">
  <dimension ref="A1:Z191"/>
  <sheetViews>
    <sheetView topLeftCell="I12" zoomScaleNormal="150" zoomScalePageLayoutView="150" workbookViewId="0">
      <selection activeCell="O23" sqref="O23"/>
    </sheetView>
  </sheetViews>
  <sheetFormatPr baseColWidth="10" defaultColWidth="8.83203125" defaultRowHeight="13"/>
  <cols>
    <col min="1" max="1" width="10.6640625" style="5" customWidth="1"/>
    <col min="2" max="2" width="24.5" style="5" bestFit="1" customWidth="1"/>
    <col min="3" max="3" width="12" style="5" hidden="1" customWidth="1"/>
    <col min="4" max="4" width="55.83203125" style="8" hidden="1" customWidth="1"/>
    <col min="5" max="5" width="20.1640625" style="9" hidden="1" customWidth="1"/>
    <col min="6" max="6" width="8" style="5" customWidth="1"/>
    <col min="7" max="7" width="12.33203125" style="5" customWidth="1"/>
    <col min="8" max="8" width="9.6640625" style="5" customWidth="1"/>
    <col min="9" max="9" width="11" style="5" customWidth="1"/>
    <col min="10" max="10" width="13.83203125" style="5" customWidth="1"/>
    <col min="11" max="11" width="11" style="5" customWidth="1"/>
    <col min="12" max="12" width="8.1640625" style="5" customWidth="1"/>
    <col min="13" max="13" width="15.83203125" style="5" customWidth="1"/>
    <col min="14" max="14" width="19.6640625" style="5" customWidth="1"/>
    <col min="15" max="15" width="13.5" style="5" customWidth="1"/>
    <col min="16" max="16" width="10.6640625" style="5" bestFit="1" customWidth="1"/>
    <col min="17" max="17" width="25.83203125" style="5" bestFit="1" customWidth="1"/>
    <col min="18" max="18" width="8.5" style="5" bestFit="1" customWidth="1"/>
    <col min="19" max="19" width="9.6640625" style="5" bestFit="1" customWidth="1"/>
    <col min="20" max="20" width="8.33203125" style="5" bestFit="1" customWidth="1"/>
    <col min="21" max="21" width="6" style="5" bestFit="1" customWidth="1"/>
    <col min="22" max="22" width="8.33203125" style="5" bestFit="1" customWidth="1"/>
    <col min="23" max="23" width="10.1640625" style="5" customWidth="1"/>
    <col min="24" max="24" width="8.1640625" style="5" bestFit="1" customWidth="1"/>
    <col min="25" max="25" width="10" style="5" bestFit="1" customWidth="1"/>
    <col min="26" max="16384" width="8.83203125" style="5"/>
  </cols>
  <sheetData>
    <row r="1" spans="1:15" ht="56">
      <c r="A1" s="1" t="s">
        <v>73</v>
      </c>
      <c r="B1" s="1" t="s">
        <v>84</v>
      </c>
      <c r="C1" s="2" t="s">
        <v>148</v>
      </c>
      <c r="D1" s="2" t="s">
        <v>149</v>
      </c>
      <c r="E1" s="1" t="s">
        <v>22</v>
      </c>
      <c r="F1" s="3" t="s">
        <v>133</v>
      </c>
      <c r="G1" s="3" t="s">
        <v>134</v>
      </c>
      <c r="H1" s="3" t="s">
        <v>147</v>
      </c>
      <c r="I1" s="4" t="s">
        <v>150</v>
      </c>
      <c r="J1" s="497" t="s">
        <v>311</v>
      </c>
      <c r="O1" s="479"/>
    </row>
    <row r="2" spans="1:15" ht="14" thickBot="1">
      <c r="A2" s="23"/>
      <c r="I2" s="486"/>
    </row>
    <row r="3" spans="1:15">
      <c r="A3" s="503" t="s">
        <v>89</v>
      </c>
      <c r="B3" s="537" t="s">
        <v>312</v>
      </c>
      <c r="C3" s="504" t="s">
        <v>313</v>
      </c>
      <c r="D3" s="505" t="s">
        <v>293</v>
      </c>
      <c r="E3" s="506" t="s">
        <v>126</v>
      </c>
      <c r="F3" s="179">
        <v>340</v>
      </c>
      <c r="G3" s="490">
        <v>1918000</v>
      </c>
      <c r="H3" s="507" t="s">
        <v>293</v>
      </c>
      <c r="I3" s="33" t="s">
        <v>128</v>
      </c>
      <c r="J3" s="489">
        <f>G3/$G$79</f>
        <v>1.6729630144511731E-2</v>
      </c>
    </row>
    <row r="4" spans="1:15">
      <c r="A4" s="513" t="s">
        <v>151</v>
      </c>
      <c r="B4" s="538" t="s">
        <v>314</v>
      </c>
      <c r="C4" s="509" t="s">
        <v>313</v>
      </c>
      <c r="D4" s="510" t="s">
        <v>293</v>
      </c>
      <c r="E4" s="511" t="s">
        <v>151</v>
      </c>
      <c r="F4" s="12">
        <v>1320</v>
      </c>
      <c r="G4" s="502">
        <v>2148790</v>
      </c>
      <c r="H4" s="512" t="s">
        <v>293</v>
      </c>
      <c r="I4" s="535" t="s">
        <v>128</v>
      </c>
      <c r="J4" s="489">
        <f t="shared" ref="J4:J8" si="0">G4/$G$79</f>
        <v>1.8742680895842214E-2</v>
      </c>
    </row>
    <row r="5" spans="1:15">
      <c r="A5" s="513" t="s">
        <v>151</v>
      </c>
      <c r="B5" s="538" t="s">
        <v>315</v>
      </c>
      <c r="C5" s="509" t="s">
        <v>313</v>
      </c>
      <c r="D5" s="510" t="s">
        <v>293</v>
      </c>
      <c r="E5" s="511" t="s">
        <v>151</v>
      </c>
      <c r="F5" s="12">
        <v>62</v>
      </c>
      <c r="G5" s="502">
        <v>2780</v>
      </c>
      <c r="H5" s="512" t="s">
        <v>293</v>
      </c>
      <c r="I5" s="535" t="s">
        <v>128</v>
      </c>
      <c r="J5" s="489">
        <f>G5/$G$79</f>
        <v>2.4248369031148391E-5</v>
      </c>
    </row>
    <row r="6" spans="1:15">
      <c r="A6" s="513" t="s">
        <v>151</v>
      </c>
      <c r="B6" s="536" t="s">
        <v>316</v>
      </c>
      <c r="C6" s="509" t="s">
        <v>313</v>
      </c>
      <c r="D6" s="510" t="s">
        <v>293</v>
      </c>
      <c r="E6" s="511" t="s">
        <v>297</v>
      </c>
      <c r="F6" s="12">
        <v>1320</v>
      </c>
      <c r="G6" s="502">
        <v>3598100</v>
      </c>
      <c r="H6" s="512" t="s">
        <v>293</v>
      </c>
      <c r="I6" s="535" t="s">
        <v>128</v>
      </c>
      <c r="J6" s="489">
        <f t="shared" si="0"/>
        <v>3.1384193025530582E-2</v>
      </c>
    </row>
    <row r="7" spans="1:15">
      <c r="A7" s="513" t="s">
        <v>151</v>
      </c>
      <c r="B7" s="538" t="s">
        <v>317</v>
      </c>
      <c r="C7" s="509" t="s">
        <v>313</v>
      </c>
      <c r="D7" s="510" t="s">
        <v>293</v>
      </c>
      <c r="E7" s="511" t="s">
        <v>151</v>
      </c>
      <c r="F7" s="12">
        <v>97</v>
      </c>
      <c r="G7" s="502">
        <v>56900</v>
      </c>
      <c r="H7" s="512" t="s">
        <v>293</v>
      </c>
      <c r="I7" s="535" t="s">
        <v>128</v>
      </c>
      <c r="J7" s="489">
        <f t="shared" si="0"/>
        <v>4.9630654599724586E-4</v>
      </c>
    </row>
    <row r="8" spans="1:15">
      <c r="A8" s="508" t="s">
        <v>89</v>
      </c>
      <c r="B8" s="538" t="s">
        <v>286</v>
      </c>
      <c r="C8" s="509" t="s">
        <v>287</v>
      </c>
      <c r="D8" s="510" t="s">
        <v>288</v>
      </c>
      <c r="E8" s="511" t="s">
        <v>126</v>
      </c>
      <c r="F8" s="12">
        <v>340</v>
      </c>
      <c r="G8" s="502">
        <v>2432000</v>
      </c>
      <c r="H8" s="512" t="s">
        <v>293</v>
      </c>
      <c r="I8" s="33" t="s">
        <v>128</v>
      </c>
      <c r="J8" s="489">
        <f t="shared" si="0"/>
        <v>2.1212961684803196E-2</v>
      </c>
    </row>
    <row r="9" spans="1:15">
      <c r="A9" s="513" t="s">
        <v>151</v>
      </c>
      <c r="B9" s="538" t="s">
        <v>289</v>
      </c>
      <c r="C9" s="509" t="s">
        <v>287</v>
      </c>
      <c r="D9" s="510" t="s">
        <v>288</v>
      </c>
      <c r="E9" s="511" t="s">
        <v>151</v>
      </c>
      <c r="F9" s="12">
        <v>1230</v>
      </c>
      <c r="G9" s="502">
        <v>2858440</v>
      </c>
      <c r="H9" s="512" t="s">
        <v>293</v>
      </c>
      <c r="I9" s="33" t="s">
        <v>128</v>
      </c>
      <c r="J9" s="489">
        <f t="shared" ref="J9:J11" si="1">G9/$G$79</f>
        <v>2.493255682496252E-2</v>
      </c>
    </row>
    <row r="10" spans="1:15">
      <c r="A10" s="513" t="s">
        <v>151</v>
      </c>
      <c r="B10" s="538" t="s">
        <v>290</v>
      </c>
      <c r="C10" s="509" t="s">
        <v>287</v>
      </c>
      <c r="D10" s="510" t="s">
        <v>288</v>
      </c>
      <c r="E10" s="511" t="s">
        <v>151</v>
      </c>
      <c r="F10" s="12">
        <v>1180</v>
      </c>
      <c r="G10" s="502">
        <v>3367700</v>
      </c>
      <c r="H10" s="512" t="s">
        <v>293</v>
      </c>
      <c r="I10" s="33" t="s">
        <v>128</v>
      </c>
      <c r="J10" s="489">
        <f t="shared" si="1"/>
        <v>2.9374544023812389E-2</v>
      </c>
    </row>
    <row r="11" spans="1:15">
      <c r="A11" s="513" t="s">
        <v>151</v>
      </c>
      <c r="B11" s="499" t="s">
        <v>291</v>
      </c>
      <c r="C11" s="509" t="s">
        <v>287</v>
      </c>
      <c r="D11" s="465" t="s">
        <v>298</v>
      </c>
      <c r="E11" s="511" t="s">
        <v>297</v>
      </c>
      <c r="F11" s="12">
        <v>1320</v>
      </c>
      <c r="G11" s="502">
        <v>7307170</v>
      </c>
      <c r="H11" s="512" t="s">
        <v>293</v>
      </c>
      <c r="I11" s="33" t="s">
        <v>128</v>
      </c>
      <c r="J11" s="489">
        <f t="shared" si="1"/>
        <v>6.3736314652279344E-2</v>
      </c>
      <c r="K11" s="61">
        <f>SUM(J3:J11)</f>
        <v>0.20663343616677038</v>
      </c>
    </row>
    <row r="12" spans="1:15">
      <c r="A12" s="513" t="s">
        <v>151</v>
      </c>
      <c r="B12" s="499" t="s">
        <v>292</v>
      </c>
      <c r="C12" s="509" t="s">
        <v>287</v>
      </c>
      <c r="D12" s="510" t="s">
        <v>288</v>
      </c>
      <c r="E12" s="511" t="s">
        <v>151</v>
      </c>
      <c r="F12" s="12">
        <v>11</v>
      </c>
      <c r="G12" s="502">
        <v>8820</v>
      </c>
      <c r="H12" s="512" t="s">
        <v>293</v>
      </c>
      <c r="I12" s="33" t="s">
        <v>128</v>
      </c>
      <c r="J12" s="62"/>
    </row>
    <row r="13" spans="1:15" s="12" customFormat="1">
      <c r="A13" s="498" t="s">
        <v>132</v>
      </c>
      <c r="B13" s="499" t="s">
        <v>283</v>
      </c>
      <c r="C13" s="142" t="s">
        <v>284</v>
      </c>
      <c r="D13" s="500" t="s">
        <v>285</v>
      </c>
      <c r="E13" s="501" t="s">
        <v>151</v>
      </c>
      <c r="F13" s="12">
        <v>425</v>
      </c>
      <c r="G13" s="502">
        <v>2463950</v>
      </c>
      <c r="H13" s="512" t="s">
        <v>293</v>
      </c>
      <c r="I13" s="33" t="s">
        <v>128</v>
      </c>
      <c r="J13" s="62"/>
    </row>
    <row r="14" spans="1:15">
      <c r="A14" s="26" t="s">
        <v>131</v>
      </c>
      <c r="B14" s="540" t="s">
        <v>282</v>
      </c>
      <c r="C14" s="142" t="s">
        <v>281</v>
      </c>
      <c r="D14" s="487" t="s">
        <v>279</v>
      </c>
      <c r="E14" s="110" t="s">
        <v>195</v>
      </c>
      <c r="F14" s="7">
        <v>130</v>
      </c>
      <c r="G14" s="488">
        <v>514830</v>
      </c>
      <c r="H14" s="512" t="s">
        <v>293</v>
      </c>
      <c r="I14" s="33" t="s">
        <v>128</v>
      </c>
      <c r="J14" s="62"/>
    </row>
    <row r="15" spans="1:15">
      <c r="A15" s="34" t="s">
        <v>132</v>
      </c>
      <c r="B15" s="539" t="s">
        <v>261</v>
      </c>
      <c r="C15" s="449" t="s">
        <v>262</v>
      </c>
      <c r="D15" s="465"/>
      <c r="E15" s="135"/>
      <c r="F15" s="23">
        <v>404</v>
      </c>
      <c r="G15" s="464">
        <v>2591180</v>
      </c>
      <c r="H15" s="512" t="s">
        <v>293</v>
      </c>
      <c r="I15" s="33" t="s">
        <v>128</v>
      </c>
      <c r="J15" s="62"/>
    </row>
    <row r="16" spans="1:15">
      <c r="A16" s="26" t="s">
        <v>131</v>
      </c>
      <c r="B16" s="539" t="s">
        <v>258</v>
      </c>
      <c r="C16" s="449" t="s">
        <v>262</v>
      </c>
      <c r="D16" s="465"/>
      <c r="E16" s="135" t="s">
        <v>195</v>
      </c>
      <c r="F16" s="23">
        <v>22</v>
      </c>
      <c r="G16" s="464">
        <v>105390</v>
      </c>
      <c r="H16" s="512" t="s">
        <v>293</v>
      </c>
      <c r="I16" s="33" t="s">
        <v>128</v>
      </c>
      <c r="J16" s="62"/>
    </row>
    <row r="17" spans="1:22">
      <c r="A17" s="26" t="s">
        <v>131</v>
      </c>
      <c r="B17" s="539" t="s">
        <v>259</v>
      </c>
      <c r="C17" s="449" t="s">
        <v>262</v>
      </c>
      <c r="D17" s="465"/>
      <c r="E17" s="135" t="s">
        <v>131</v>
      </c>
      <c r="F17" s="23">
        <v>17.399999999999999</v>
      </c>
      <c r="G17" s="464">
        <v>360</v>
      </c>
      <c r="H17" s="512" t="s">
        <v>293</v>
      </c>
      <c r="I17" s="33" t="s">
        <v>128</v>
      </c>
      <c r="J17" s="62"/>
    </row>
    <row r="18" spans="1:22">
      <c r="A18" s="26" t="s">
        <v>131</v>
      </c>
      <c r="B18" s="539" t="s">
        <v>191</v>
      </c>
      <c r="C18" s="449" t="s">
        <v>226</v>
      </c>
      <c r="D18" s="465" t="s">
        <v>242</v>
      </c>
      <c r="E18" s="135" t="s">
        <v>195</v>
      </c>
      <c r="F18" s="23">
        <v>96</v>
      </c>
      <c r="G18" s="464">
        <v>230250</v>
      </c>
      <c r="H18" s="512" t="s">
        <v>293</v>
      </c>
      <c r="I18" s="33" t="s">
        <v>128</v>
      </c>
      <c r="J18" s="62"/>
      <c r="L18" s="22"/>
      <c r="M18" s="23"/>
    </row>
    <row r="19" spans="1:22">
      <c r="A19" s="26" t="s">
        <v>131</v>
      </c>
      <c r="B19" s="539" t="s">
        <v>192</v>
      </c>
      <c r="C19" s="449" t="s">
        <v>226</v>
      </c>
      <c r="D19" s="463" t="s">
        <v>196</v>
      </c>
      <c r="E19" s="135" t="s">
        <v>195</v>
      </c>
      <c r="F19" s="23">
        <v>121</v>
      </c>
      <c r="G19" s="464">
        <v>275890</v>
      </c>
      <c r="H19" s="512" t="s">
        <v>293</v>
      </c>
      <c r="I19" s="33" t="s">
        <v>128</v>
      </c>
      <c r="J19" s="62"/>
      <c r="L19" s="22"/>
      <c r="M19" s="23"/>
      <c r="N19" s="23"/>
    </row>
    <row r="20" spans="1:22">
      <c r="A20" s="26" t="s">
        <v>131</v>
      </c>
      <c r="B20" s="539" t="s">
        <v>190</v>
      </c>
      <c r="C20" s="449" t="s">
        <v>227</v>
      </c>
      <c r="D20" s="463" t="s">
        <v>196</v>
      </c>
      <c r="E20" s="135" t="s">
        <v>195</v>
      </c>
      <c r="F20" s="23">
        <v>72</v>
      </c>
      <c r="G20" s="464">
        <v>170900</v>
      </c>
      <c r="H20" s="512" t="s">
        <v>293</v>
      </c>
      <c r="I20" s="33" t="s">
        <v>128</v>
      </c>
      <c r="J20" s="62"/>
      <c r="L20" s="22"/>
      <c r="M20" s="23"/>
      <c r="N20" s="23"/>
    </row>
    <row r="21" spans="1:22" ht="14" thickBot="1">
      <c r="A21" s="34" t="s">
        <v>132</v>
      </c>
      <c r="B21" s="539" t="s">
        <v>193</v>
      </c>
      <c r="C21" s="449">
        <v>40556</v>
      </c>
      <c r="D21" s="465" t="s">
        <v>201</v>
      </c>
      <c r="E21" s="135"/>
      <c r="F21" s="23">
        <v>202</v>
      </c>
      <c r="G21" s="464">
        <v>1179820</v>
      </c>
      <c r="H21" s="512" t="s">
        <v>293</v>
      </c>
      <c r="I21" s="33" t="s">
        <v>128</v>
      </c>
      <c r="J21" s="62"/>
      <c r="L21" s="22"/>
      <c r="M21" s="23"/>
      <c r="N21" s="23"/>
    </row>
    <row r="22" spans="1:22" ht="32" customHeight="1" thickTop="1">
      <c r="A22" s="34" t="s">
        <v>132</v>
      </c>
      <c r="B22" s="539" t="s">
        <v>153</v>
      </c>
      <c r="C22" s="449">
        <v>40710</v>
      </c>
      <c r="D22" s="484" t="s">
        <v>200</v>
      </c>
      <c r="E22" s="135" t="s">
        <v>158</v>
      </c>
      <c r="F22" s="23">
        <v>225</v>
      </c>
      <c r="G22" s="464">
        <v>870990</v>
      </c>
      <c r="H22" s="512" t="s">
        <v>293</v>
      </c>
      <c r="I22" s="33" t="s">
        <v>128</v>
      </c>
      <c r="J22" s="62"/>
      <c r="M22" s="515" t="s">
        <v>310</v>
      </c>
      <c r="N22" s="41"/>
      <c r="O22" s="483">
        <f>G79</f>
        <v>114646886</v>
      </c>
      <c r="P22" s="531" t="s">
        <v>13</v>
      </c>
      <c r="Q22" s="41"/>
      <c r="R22" s="41"/>
      <c r="S22" s="43"/>
    </row>
    <row r="23" spans="1:22">
      <c r="A23" s="34" t="s">
        <v>132</v>
      </c>
      <c r="B23" s="539" t="s">
        <v>152</v>
      </c>
      <c r="C23" s="449">
        <v>40679</v>
      </c>
      <c r="D23" s="465" t="s">
        <v>137</v>
      </c>
      <c r="E23" s="135" t="s">
        <v>158</v>
      </c>
      <c r="F23" s="23">
        <v>185</v>
      </c>
      <c r="G23" s="464">
        <v>1394010</v>
      </c>
      <c r="H23" s="512" t="s">
        <v>293</v>
      </c>
      <c r="I23" s="33" t="s">
        <v>128</v>
      </c>
      <c r="J23" s="62"/>
      <c r="L23" s="22"/>
      <c r="M23" s="46" t="s">
        <v>146</v>
      </c>
      <c r="O23" s="479">
        <f>W91*1000</f>
        <v>22986352.955031414</v>
      </c>
      <c r="P23" s="48" t="s">
        <v>13</v>
      </c>
      <c r="Q23" s="22"/>
      <c r="S23" s="480"/>
      <c r="T23" s="22"/>
      <c r="U23" s="22"/>
      <c r="V23" s="23"/>
    </row>
    <row r="24" spans="1:22">
      <c r="A24" s="34" t="s">
        <v>151</v>
      </c>
      <c r="B24" s="539" t="s">
        <v>204</v>
      </c>
      <c r="C24" s="133">
        <v>40655</v>
      </c>
      <c r="D24" s="465" t="s">
        <v>137</v>
      </c>
      <c r="E24" s="135" t="s">
        <v>38</v>
      </c>
      <c r="F24" s="23">
        <v>219</v>
      </c>
      <c r="G24" s="462">
        <v>1199690</v>
      </c>
      <c r="H24" s="512" t="s">
        <v>293</v>
      </c>
      <c r="I24" s="33" t="s">
        <v>128</v>
      </c>
      <c r="J24" s="62"/>
      <c r="L24" s="22"/>
      <c r="M24" s="46"/>
      <c r="O24" s="479"/>
      <c r="P24" s="48"/>
      <c r="Q24" s="22"/>
      <c r="S24" s="480"/>
      <c r="T24" s="22"/>
      <c r="U24" s="22"/>
      <c r="V24" s="23"/>
    </row>
    <row r="25" spans="1:22">
      <c r="A25" s="53" t="s">
        <v>89</v>
      </c>
      <c r="B25" s="23" t="s">
        <v>155</v>
      </c>
      <c r="C25" s="133">
        <v>40570</v>
      </c>
      <c r="D25" s="465" t="s">
        <v>140</v>
      </c>
      <c r="E25" s="135" t="s">
        <v>126</v>
      </c>
      <c r="F25" s="23">
        <v>325</v>
      </c>
      <c r="G25" s="464">
        <v>2484000</v>
      </c>
      <c r="H25" s="512" t="s">
        <v>293</v>
      </c>
      <c r="I25" s="33" t="s">
        <v>128</v>
      </c>
      <c r="J25" s="62"/>
      <c r="L25" s="22"/>
      <c r="M25" s="46"/>
      <c r="O25" s="479"/>
      <c r="P25" s="48"/>
      <c r="Q25" s="22"/>
      <c r="S25" s="480"/>
      <c r="T25" s="22"/>
      <c r="U25" s="22"/>
      <c r="V25" s="23"/>
    </row>
    <row r="26" spans="1:22">
      <c r="A26" s="34" t="s">
        <v>132</v>
      </c>
      <c r="B26" s="23" t="s">
        <v>280</v>
      </c>
      <c r="C26" s="449">
        <v>40455</v>
      </c>
      <c r="D26" s="465" t="s">
        <v>137</v>
      </c>
      <c r="E26" s="135" t="s">
        <v>158</v>
      </c>
      <c r="F26" s="23">
        <v>212</v>
      </c>
      <c r="G26" s="464">
        <v>815370</v>
      </c>
      <c r="H26" s="512" t="s">
        <v>293</v>
      </c>
      <c r="I26" s="33" t="s">
        <v>128</v>
      </c>
      <c r="J26" s="62"/>
      <c r="L26" s="22"/>
      <c r="M26" s="529" t="s">
        <v>300</v>
      </c>
      <c r="O26" s="481">
        <f>Y95*O30</f>
        <v>7616240.568</v>
      </c>
      <c r="P26" s="48" t="s">
        <v>9</v>
      </c>
      <c r="Q26" s="22"/>
      <c r="S26" s="480"/>
      <c r="T26" s="22"/>
      <c r="U26" s="22"/>
      <c r="V26" s="482"/>
    </row>
    <row r="27" spans="1:22">
      <c r="A27" s="34" t="s">
        <v>132</v>
      </c>
      <c r="B27" s="23" t="s">
        <v>198</v>
      </c>
      <c r="C27" s="449">
        <v>40380</v>
      </c>
      <c r="D27" s="465" t="s">
        <v>137</v>
      </c>
      <c r="E27" s="135" t="s">
        <v>157</v>
      </c>
      <c r="F27" s="23">
        <v>200</v>
      </c>
      <c r="G27" s="464">
        <v>1127596</v>
      </c>
      <c r="H27" s="512" t="s">
        <v>293</v>
      </c>
      <c r="I27" s="33" t="s">
        <v>128</v>
      </c>
      <c r="J27" s="62"/>
      <c r="M27" s="46" t="s">
        <v>228</v>
      </c>
      <c r="O27" s="481">
        <f>Y92*O31</f>
        <v>36046.720000000001</v>
      </c>
      <c r="P27" s="48" t="s">
        <v>9</v>
      </c>
      <c r="Q27" s="22"/>
      <c r="S27" s="480"/>
      <c r="T27" s="22"/>
      <c r="U27" s="22"/>
      <c r="V27" s="23"/>
    </row>
    <row r="28" spans="1:22">
      <c r="A28" s="34" t="s">
        <v>132</v>
      </c>
      <c r="B28" s="23" t="s">
        <v>206</v>
      </c>
      <c r="C28" s="449">
        <v>40338</v>
      </c>
      <c r="D28" s="516" t="s">
        <v>137</v>
      </c>
      <c r="E28" s="135" t="s">
        <v>158</v>
      </c>
      <c r="F28" s="23">
        <v>200</v>
      </c>
      <c r="G28" s="464">
        <v>1221790</v>
      </c>
      <c r="H28" s="512" t="s">
        <v>293</v>
      </c>
      <c r="I28" s="33" t="s">
        <v>128</v>
      </c>
      <c r="J28" s="62"/>
      <c r="M28" s="46" t="s">
        <v>88</v>
      </c>
      <c r="O28" s="479">
        <f>Y93*O32</f>
        <v>2960173.1879999996</v>
      </c>
      <c r="P28" s="48" t="s">
        <v>9</v>
      </c>
      <c r="Q28" s="22"/>
      <c r="S28" s="480"/>
      <c r="T28" s="22"/>
      <c r="U28" s="22"/>
      <c r="V28" s="23"/>
    </row>
    <row r="29" spans="1:22">
      <c r="A29" s="34" t="s">
        <v>132</v>
      </c>
      <c r="B29" s="23" t="s">
        <v>75</v>
      </c>
      <c r="C29" s="449">
        <v>40322</v>
      </c>
      <c r="D29" s="465" t="s">
        <v>137</v>
      </c>
      <c r="E29" s="135" t="s">
        <v>159</v>
      </c>
      <c r="F29" s="23">
        <v>213</v>
      </c>
      <c r="G29" s="464">
        <v>841430</v>
      </c>
      <c r="H29" s="512" t="s">
        <v>293</v>
      </c>
      <c r="I29" s="33" t="s">
        <v>128</v>
      </c>
      <c r="J29" s="62"/>
      <c r="M29" s="46" t="s">
        <v>216</v>
      </c>
      <c r="O29" s="479">
        <f>Y94*O33</f>
        <v>2272.695652173913</v>
      </c>
      <c r="P29" s="48" t="s">
        <v>9</v>
      </c>
      <c r="S29" s="57"/>
      <c r="T29" s="22"/>
      <c r="U29" s="22"/>
      <c r="V29" s="23"/>
    </row>
    <row r="30" spans="1:22">
      <c r="A30" s="34" t="s">
        <v>132</v>
      </c>
      <c r="B30" s="23" t="s">
        <v>76</v>
      </c>
      <c r="C30" s="449">
        <v>40295</v>
      </c>
      <c r="D30" s="465" t="s">
        <v>137</v>
      </c>
      <c r="E30" s="135" t="s">
        <v>158</v>
      </c>
      <c r="F30" s="23">
        <v>225</v>
      </c>
      <c r="G30" s="464">
        <v>849760</v>
      </c>
      <c r="H30" s="512" t="s">
        <v>293</v>
      </c>
      <c r="I30" s="33" t="s">
        <v>128</v>
      </c>
      <c r="J30" s="62"/>
      <c r="M30" s="529" t="s">
        <v>55</v>
      </c>
      <c r="O30" s="5">
        <v>87.3</v>
      </c>
      <c r="P30" s="48" t="s">
        <v>4</v>
      </c>
      <c r="Q30" s="530" t="s">
        <v>301</v>
      </c>
      <c r="S30" s="57"/>
      <c r="T30" s="22"/>
      <c r="U30" s="22"/>
      <c r="V30" s="23"/>
    </row>
    <row r="31" spans="1:22" ht="12.75" customHeight="1">
      <c r="A31" s="34" t="s">
        <v>132</v>
      </c>
      <c r="B31" s="23" t="s">
        <v>77</v>
      </c>
      <c r="C31" s="449">
        <v>40264</v>
      </c>
      <c r="D31" s="465" t="s">
        <v>137</v>
      </c>
      <c r="E31" s="135" t="s">
        <v>158</v>
      </c>
      <c r="F31" s="23">
        <v>217</v>
      </c>
      <c r="G31" s="464">
        <v>1668920</v>
      </c>
      <c r="H31" s="512" t="s">
        <v>293</v>
      </c>
      <c r="I31" s="33" t="s">
        <v>128</v>
      </c>
      <c r="J31" s="62"/>
      <c r="M31" s="46" t="s">
        <v>232</v>
      </c>
      <c r="O31" s="58">
        <v>75.5</v>
      </c>
      <c r="P31" s="48" t="s">
        <v>4</v>
      </c>
      <c r="Q31" s="530" t="s">
        <v>301</v>
      </c>
      <c r="S31" s="57"/>
      <c r="U31" s="22"/>
      <c r="V31" s="23"/>
    </row>
    <row r="32" spans="1:22">
      <c r="A32" s="34" t="s">
        <v>132</v>
      </c>
      <c r="B32" s="23" t="s">
        <v>78</v>
      </c>
      <c r="C32" s="449">
        <v>40165</v>
      </c>
      <c r="D32" s="59" t="s">
        <v>137</v>
      </c>
      <c r="E32" s="135" t="s">
        <v>158</v>
      </c>
      <c r="F32" s="23">
        <v>214</v>
      </c>
      <c r="G32" s="464">
        <v>1246470</v>
      </c>
      <c r="H32" s="512" t="s">
        <v>293</v>
      </c>
      <c r="I32" s="33" t="s">
        <v>128</v>
      </c>
      <c r="J32" s="62"/>
      <c r="M32" s="46" t="s">
        <v>3</v>
      </c>
      <c r="O32" s="58">
        <v>54.3</v>
      </c>
      <c r="P32" s="48" t="s">
        <v>4</v>
      </c>
      <c r="Q32" s="530" t="s">
        <v>301</v>
      </c>
      <c r="S32" s="60"/>
      <c r="U32" s="22"/>
      <c r="V32" s="23"/>
    </row>
    <row r="33" spans="1:26">
      <c r="A33" s="34" t="s">
        <v>132</v>
      </c>
      <c r="B33" s="23" t="s">
        <v>79</v>
      </c>
      <c r="C33" s="449">
        <v>39889</v>
      </c>
      <c r="D33" s="465" t="s">
        <v>137</v>
      </c>
      <c r="E33" s="135" t="s">
        <v>135</v>
      </c>
      <c r="F33" s="23">
        <v>165</v>
      </c>
      <c r="G33" s="464">
        <v>912480</v>
      </c>
      <c r="H33" s="512" t="s">
        <v>293</v>
      </c>
      <c r="I33" s="33" t="s">
        <v>128</v>
      </c>
      <c r="J33" s="62"/>
      <c r="M33" s="46" t="s">
        <v>214</v>
      </c>
      <c r="O33" s="5">
        <v>72.599999999999994</v>
      </c>
      <c r="P33" s="48" t="s">
        <v>4</v>
      </c>
      <c r="Q33" s="530" t="s">
        <v>301</v>
      </c>
      <c r="S33" s="60"/>
      <c r="V33" s="23"/>
    </row>
    <row r="34" spans="1:26">
      <c r="A34" s="26" t="s">
        <v>131</v>
      </c>
      <c r="B34" s="23" t="s">
        <v>80</v>
      </c>
      <c r="C34" s="449">
        <v>37803</v>
      </c>
      <c r="D34" s="465" t="s">
        <v>136</v>
      </c>
      <c r="E34" s="135" t="s">
        <v>131</v>
      </c>
      <c r="F34" s="23">
        <v>1450</v>
      </c>
      <c r="G34" s="464">
        <v>6409860</v>
      </c>
      <c r="H34" s="512" t="s">
        <v>293</v>
      </c>
      <c r="I34" s="33" t="s">
        <v>128</v>
      </c>
      <c r="J34" s="62"/>
      <c r="K34" s="61"/>
      <c r="M34" s="54"/>
      <c r="S34" s="60"/>
      <c r="U34" s="22"/>
      <c r="V34" s="23"/>
    </row>
    <row r="35" spans="1:26" ht="21" thickBot="1">
      <c r="A35" s="34" t="s">
        <v>132</v>
      </c>
      <c r="B35" s="23" t="s">
        <v>81</v>
      </c>
      <c r="C35" s="449">
        <v>37144</v>
      </c>
      <c r="D35" s="465" t="s">
        <v>137</v>
      </c>
      <c r="E35" s="135" t="s">
        <v>158</v>
      </c>
      <c r="F35" s="23">
        <v>235</v>
      </c>
      <c r="G35" s="464">
        <v>1041560</v>
      </c>
      <c r="H35" s="512" t="s">
        <v>293</v>
      </c>
      <c r="I35" s="33" t="s">
        <v>128</v>
      </c>
      <c r="J35" s="62"/>
      <c r="M35" s="421" t="s">
        <v>309</v>
      </c>
      <c r="N35" s="64"/>
      <c r="O35" s="65">
        <f>(O27+O28+O29+O26)/O23</f>
        <v>0.46178413741483715</v>
      </c>
      <c r="P35" s="66" t="s">
        <v>10</v>
      </c>
      <c r="Q35" s="67"/>
      <c r="R35" s="68"/>
      <c r="S35" s="69"/>
      <c r="V35" s="23"/>
    </row>
    <row r="36" spans="1:26" ht="14" thickTop="1">
      <c r="A36" s="34" t="s">
        <v>132</v>
      </c>
      <c r="B36" s="23" t="s">
        <v>82</v>
      </c>
      <c r="C36" s="449">
        <v>37048</v>
      </c>
      <c r="D36" s="465" t="s">
        <v>137</v>
      </c>
      <c r="E36" s="135" t="s">
        <v>38</v>
      </c>
      <c r="F36" s="23">
        <v>31</v>
      </c>
      <c r="G36" s="464">
        <v>145120</v>
      </c>
      <c r="H36" s="512" t="s">
        <v>293</v>
      </c>
      <c r="I36" s="33" t="s">
        <v>128</v>
      </c>
      <c r="J36" s="62"/>
      <c r="U36" s="22"/>
      <c r="V36" s="23"/>
    </row>
    <row r="37" spans="1:26">
      <c r="A37" s="26" t="s">
        <v>131</v>
      </c>
      <c r="B37" s="23" t="s">
        <v>83</v>
      </c>
      <c r="C37" s="449">
        <v>37043</v>
      </c>
      <c r="D37" s="465" t="s">
        <v>136</v>
      </c>
      <c r="E37" s="135" t="s">
        <v>131</v>
      </c>
      <c r="F37" s="23">
        <v>184</v>
      </c>
      <c r="G37" s="464">
        <v>756000</v>
      </c>
      <c r="H37" s="512" t="s">
        <v>293</v>
      </c>
      <c r="I37" s="33" t="s">
        <v>128</v>
      </c>
      <c r="J37" s="62"/>
      <c r="Q37" s="48"/>
      <c r="S37" s="48"/>
      <c r="U37" s="22"/>
      <c r="V37" s="23"/>
    </row>
    <row r="38" spans="1:26">
      <c r="A38" s="34" t="s">
        <v>132</v>
      </c>
      <c r="B38" s="23" t="s">
        <v>90</v>
      </c>
      <c r="C38" s="449">
        <v>36817</v>
      </c>
      <c r="D38" s="465" t="s">
        <v>137</v>
      </c>
      <c r="E38" s="135" t="s">
        <v>158</v>
      </c>
      <c r="F38" s="23">
        <v>586</v>
      </c>
      <c r="G38" s="464">
        <v>4440850</v>
      </c>
      <c r="H38" s="512" t="s">
        <v>293</v>
      </c>
      <c r="I38" s="33" t="s">
        <v>128</v>
      </c>
      <c r="J38" s="62"/>
      <c r="M38" s="70"/>
      <c r="N38" s="478"/>
      <c r="O38" s="477"/>
      <c r="P38" s="70"/>
      <c r="Q38" s="48"/>
      <c r="S38" s="48"/>
      <c r="U38" s="22"/>
      <c r="V38" s="23"/>
    </row>
    <row r="39" spans="1:26">
      <c r="A39" s="53" t="s">
        <v>89</v>
      </c>
      <c r="B39" s="23" t="s">
        <v>154</v>
      </c>
      <c r="C39" s="449">
        <v>36683</v>
      </c>
      <c r="D39" s="465" t="s">
        <v>140</v>
      </c>
      <c r="E39" s="135" t="s">
        <v>126</v>
      </c>
      <c r="F39" s="23">
        <v>325</v>
      </c>
      <c r="G39" s="464">
        <v>2627000</v>
      </c>
      <c r="H39" s="512" t="s">
        <v>293</v>
      </c>
      <c r="I39" s="33" t="s">
        <v>128</v>
      </c>
      <c r="J39" s="62"/>
      <c r="M39" s="70"/>
      <c r="N39" s="478"/>
      <c r="O39" s="477"/>
      <c r="P39" s="70"/>
      <c r="Q39" s="48"/>
      <c r="S39" s="48"/>
      <c r="U39" s="22"/>
      <c r="V39" s="23"/>
    </row>
    <row r="40" spans="1:26">
      <c r="A40" s="34" t="s">
        <v>132</v>
      </c>
      <c r="B40" s="23" t="s">
        <v>91</v>
      </c>
      <c r="C40" s="449">
        <v>36599</v>
      </c>
      <c r="D40" s="465" t="s">
        <v>137</v>
      </c>
      <c r="E40" s="135" t="s">
        <v>38</v>
      </c>
      <c r="F40" s="23">
        <v>135</v>
      </c>
      <c r="G40" s="464"/>
      <c r="H40" s="512" t="s">
        <v>293</v>
      </c>
      <c r="I40" s="38" t="s">
        <v>86</v>
      </c>
      <c r="J40" s="62"/>
      <c r="M40" s="48"/>
      <c r="Q40" s="73"/>
      <c r="R40" s="48"/>
      <c r="U40" s="22"/>
      <c r="V40" s="23"/>
    </row>
    <row r="41" spans="1:26">
      <c r="A41" s="34" t="s">
        <v>132</v>
      </c>
      <c r="B41" s="23" t="s">
        <v>92</v>
      </c>
      <c r="C41" s="449">
        <v>36525</v>
      </c>
      <c r="D41" s="465" t="s">
        <v>137</v>
      </c>
      <c r="E41" s="135"/>
      <c r="F41" s="23">
        <v>134</v>
      </c>
      <c r="G41" s="464">
        <v>498290</v>
      </c>
      <c r="H41" s="512" t="s">
        <v>293</v>
      </c>
      <c r="I41" s="33" t="s">
        <v>128</v>
      </c>
      <c r="J41" s="62"/>
      <c r="M41" s="48"/>
      <c r="Q41" s="73"/>
      <c r="R41" s="48"/>
      <c r="S41" s="48"/>
      <c r="U41" s="22"/>
      <c r="V41" s="23"/>
    </row>
    <row r="42" spans="1:26" ht="14">
      <c r="A42" s="34" t="s">
        <v>132</v>
      </c>
      <c r="B42" s="23" t="s">
        <v>93</v>
      </c>
      <c r="C42" s="449">
        <v>36505</v>
      </c>
      <c r="D42" s="465" t="s">
        <v>137</v>
      </c>
      <c r="E42" s="135"/>
      <c r="F42" s="23">
        <v>450</v>
      </c>
      <c r="G42" s="464">
        <v>2591640</v>
      </c>
      <c r="H42" s="512" t="s">
        <v>293</v>
      </c>
      <c r="I42" s="33" t="s">
        <v>128</v>
      </c>
      <c r="J42" s="62"/>
      <c r="P42" s="22"/>
      <c r="Q42" s="22"/>
      <c r="R42" s="22"/>
      <c r="S42" s="22"/>
      <c r="T42" s="22"/>
      <c r="U42" s="75"/>
      <c r="V42" s="22"/>
    </row>
    <row r="43" spans="1:26">
      <c r="A43" s="34" t="s">
        <v>132</v>
      </c>
      <c r="B43" s="23" t="s">
        <v>94</v>
      </c>
      <c r="C43" s="449">
        <v>36454</v>
      </c>
      <c r="D43" s="465" t="s">
        <v>137</v>
      </c>
      <c r="E43" s="135"/>
      <c r="F43" s="23">
        <v>157</v>
      </c>
      <c r="G43" s="464">
        <v>1048680</v>
      </c>
      <c r="H43" s="512" t="s">
        <v>293</v>
      </c>
      <c r="I43" s="33" t="s">
        <v>128</v>
      </c>
      <c r="J43" s="62"/>
      <c r="U43" s="22"/>
      <c r="V43" s="22"/>
    </row>
    <row r="44" spans="1:26">
      <c r="A44" s="34" t="s">
        <v>132</v>
      </c>
      <c r="B44" s="23" t="s">
        <v>95</v>
      </c>
      <c r="C44" s="449">
        <v>36414</v>
      </c>
      <c r="D44" s="465" t="s">
        <v>137</v>
      </c>
      <c r="E44" s="135"/>
      <c r="F44" s="23">
        <v>140</v>
      </c>
      <c r="G44" s="464">
        <v>743020</v>
      </c>
      <c r="H44" s="512" t="s">
        <v>293</v>
      </c>
      <c r="I44" s="33" t="s">
        <v>128</v>
      </c>
      <c r="J44" s="62"/>
      <c r="U44" s="22"/>
      <c r="V44" s="22"/>
    </row>
    <row r="45" spans="1:26">
      <c r="A45" s="34" t="s">
        <v>132</v>
      </c>
      <c r="B45" s="23" t="s">
        <v>96</v>
      </c>
      <c r="C45" s="449">
        <v>36353</v>
      </c>
      <c r="D45" s="465" t="s">
        <v>137</v>
      </c>
      <c r="E45" s="135"/>
      <c r="F45" s="23">
        <v>135</v>
      </c>
      <c r="G45" s="473"/>
      <c r="H45" s="512" t="s">
        <v>293</v>
      </c>
      <c r="I45" s="38" t="s">
        <v>86</v>
      </c>
      <c r="J45" s="62"/>
      <c r="O45" s="76"/>
      <c r="P45" s="77"/>
      <c r="Q45" s="77"/>
      <c r="R45" s="77"/>
      <c r="S45" s="77"/>
      <c r="T45" s="77"/>
      <c r="U45" s="77"/>
      <c r="V45" s="77"/>
      <c r="W45" s="77"/>
      <c r="X45" s="77"/>
      <c r="Y45" s="77"/>
      <c r="Z45" s="78"/>
    </row>
    <row r="46" spans="1:26" ht="13" customHeight="1">
      <c r="A46" s="34" t="s">
        <v>132</v>
      </c>
      <c r="B46" s="23" t="s">
        <v>97</v>
      </c>
      <c r="C46" s="449">
        <v>35827</v>
      </c>
      <c r="D46" s="465" t="s">
        <v>137</v>
      </c>
      <c r="E46" s="135"/>
      <c r="F46" s="23">
        <v>365</v>
      </c>
      <c r="G46" s="464">
        <v>1237280</v>
      </c>
      <c r="H46" s="512" t="s">
        <v>293</v>
      </c>
      <c r="I46" s="33" t="s">
        <v>128</v>
      </c>
      <c r="J46" s="62"/>
      <c r="O46" s="24"/>
      <c r="P46" s="668" t="s">
        <v>334</v>
      </c>
      <c r="Q46" s="669"/>
      <c r="R46" s="669"/>
      <c r="S46" s="669"/>
      <c r="T46" s="669"/>
      <c r="U46" s="669"/>
      <c r="V46" s="669"/>
      <c r="W46" s="669"/>
      <c r="X46" s="669"/>
      <c r="Y46" s="670"/>
      <c r="Z46" s="25"/>
    </row>
    <row r="47" spans="1:26" ht="28">
      <c r="A47" s="34" t="s">
        <v>132</v>
      </c>
      <c r="B47" s="23" t="s">
        <v>98</v>
      </c>
      <c r="C47" s="449">
        <v>35740</v>
      </c>
      <c r="D47" s="465" t="s">
        <v>137</v>
      </c>
      <c r="E47" s="135" t="s">
        <v>85</v>
      </c>
      <c r="F47" s="23">
        <v>362</v>
      </c>
      <c r="G47" s="464">
        <v>1089060</v>
      </c>
      <c r="H47" s="512" t="s">
        <v>293</v>
      </c>
      <c r="I47" s="33" t="s">
        <v>128</v>
      </c>
      <c r="J47" s="62"/>
      <c r="O47" s="24"/>
      <c r="P47" s="633" t="s">
        <v>20</v>
      </c>
      <c r="Q47" s="634"/>
      <c r="R47" s="639" t="s">
        <v>21</v>
      </c>
      <c r="S47" s="639" t="s">
        <v>22</v>
      </c>
      <c r="T47" s="642" t="s">
        <v>67</v>
      </c>
      <c r="U47" s="643"/>
      <c r="V47" s="633" t="s">
        <v>23</v>
      </c>
      <c r="W47" s="634"/>
      <c r="X47" s="646" t="s">
        <v>130</v>
      </c>
      <c r="Y47" s="422" t="s">
        <v>25</v>
      </c>
      <c r="Z47" s="25"/>
    </row>
    <row r="48" spans="1:26">
      <c r="A48" s="34" t="s">
        <v>132</v>
      </c>
      <c r="B48" s="23" t="s">
        <v>99</v>
      </c>
      <c r="C48" s="449">
        <v>35601</v>
      </c>
      <c r="D48" s="465" t="s">
        <v>137</v>
      </c>
      <c r="E48" s="135"/>
      <c r="F48" s="23">
        <v>131</v>
      </c>
      <c r="G48" s="464">
        <v>665850</v>
      </c>
      <c r="H48" s="512" t="s">
        <v>293</v>
      </c>
      <c r="I48" s="33" t="s">
        <v>128</v>
      </c>
      <c r="J48" s="62"/>
      <c r="O48" s="24"/>
      <c r="P48" s="635"/>
      <c r="Q48" s="636"/>
      <c r="R48" s="640"/>
      <c r="S48" s="640"/>
      <c r="T48" s="644"/>
      <c r="U48" s="645"/>
      <c r="V48" s="476" t="s">
        <v>66</v>
      </c>
      <c r="W48" s="476" t="s">
        <v>26</v>
      </c>
      <c r="X48" s="647"/>
      <c r="Y48" s="82" t="s">
        <v>16</v>
      </c>
      <c r="Z48" s="25"/>
    </row>
    <row r="49" spans="1:26" ht="42">
      <c r="A49" s="34" t="s">
        <v>132</v>
      </c>
      <c r="B49" s="23" t="s">
        <v>100</v>
      </c>
      <c r="C49" s="449">
        <v>35520</v>
      </c>
      <c r="D49" s="59" t="s">
        <v>137</v>
      </c>
      <c r="E49" s="135"/>
      <c r="F49" s="23">
        <v>1292</v>
      </c>
      <c r="G49" s="464">
        <v>5201000</v>
      </c>
      <c r="H49" s="512" t="s">
        <v>293</v>
      </c>
      <c r="I49" s="33" t="s">
        <v>128</v>
      </c>
      <c r="J49" s="62"/>
      <c r="O49" s="24"/>
      <c r="P49" s="635"/>
      <c r="Q49" s="636"/>
      <c r="R49" s="640"/>
      <c r="S49" s="640"/>
      <c r="T49" s="83" t="s">
        <v>27</v>
      </c>
      <c r="U49" s="84" t="s">
        <v>1</v>
      </c>
      <c r="V49" s="85" t="s">
        <v>1</v>
      </c>
      <c r="W49" s="84" t="s">
        <v>1</v>
      </c>
      <c r="X49" s="647"/>
      <c r="Y49" s="82"/>
      <c r="Z49" s="25"/>
    </row>
    <row r="50" spans="1:26">
      <c r="A50" s="34" t="s">
        <v>132</v>
      </c>
      <c r="B50" s="23" t="s">
        <v>101</v>
      </c>
      <c r="C50" s="449">
        <v>35400</v>
      </c>
      <c r="D50" s="465" t="s">
        <v>137</v>
      </c>
      <c r="E50" s="135"/>
      <c r="F50" s="23">
        <v>1466</v>
      </c>
      <c r="G50" s="464">
        <v>7608190</v>
      </c>
      <c r="H50" s="512" t="s">
        <v>293</v>
      </c>
      <c r="I50" s="33" t="s">
        <v>128</v>
      </c>
      <c r="J50" s="62"/>
      <c r="O50" s="24"/>
      <c r="P50" s="637"/>
      <c r="Q50" s="638"/>
      <c r="R50" s="641"/>
      <c r="S50" s="641"/>
      <c r="T50" s="86"/>
      <c r="U50" s="87"/>
      <c r="V50" s="88"/>
      <c r="W50" s="87"/>
      <c r="X50" s="648"/>
      <c r="Y50" s="89"/>
      <c r="Z50" s="25"/>
    </row>
    <row r="51" spans="1:26">
      <c r="A51" s="34" t="s">
        <v>132</v>
      </c>
      <c r="B51" s="23" t="s">
        <v>102</v>
      </c>
      <c r="C51" s="449">
        <v>34213</v>
      </c>
      <c r="D51" s="465" t="s">
        <v>139</v>
      </c>
      <c r="E51" s="135"/>
      <c r="F51" s="23">
        <v>1350</v>
      </c>
      <c r="G51" s="464">
        <v>3413620</v>
      </c>
      <c r="H51" s="512" t="s">
        <v>293</v>
      </c>
      <c r="I51" s="33" t="s">
        <v>128</v>
      </c>
      <c r="J51" s="62"/>
      <c r="O51" s="24"/>
      <c r="P51" s="460" t="s">
        <v>124</v>
      </c>
      <c r="Q51" s="460"/>
      <c r="R51" s="459"/>
      <c r="S51" s="459"/>
      <c r="T51" s="459"/>
      <c r="U51" s="460"/>
      <c r="V51" s="459"/>
      <c r="W51" s="459"/>
      <c r="X51" s="459"/>
      <c r="Y51" s="458"/>
      <c r="Z51" s="25"/>
    </row>
    <row r="52" spans="1:26">
      <c r="A52" s="34" t="s">
        <v>132</v>
      </c>
      <c r="B52" s="23" t="s">
        <v>103</v>
      </c>
      <c r="C52" s="449">
        <v>32874</v>
      </c>
      <c r="D52" s="465" t="s">
        <v>138</v>
      </c>
      <c r="E52" s="135"/>
      <c r="F52" s="23">
        <v>880</v>
      </c>
      <c r="G52" s="464">
        <v>2006120</v>
      </c>
      <c r="H52" s="512" t="s">
        <v>293</v>
      </c>
      <c r="I52" s="33" t="s">
        <v>128</v>
      </c>
      <c r="J52" s="62"/>
      <c r="O52" s="24"/>
      <c r="P52" s="460"/>
      <c r="Q52" s="460"/>
      <c r="R52" s="459"/>
      <c r="S52" s="459"/>
      <c r="T52" s="459"/>
      <c r="U52" s="460"/>
      <c r="V52" s="459"/>
      <c r="W52" s="459"/>
      <c r="X52" s="459"/>
      <c r="Y52" s="458"/>
      <c r="Z52" s="25"/>
    </row>
    <row r="53" spans="1:26" ht="12.75" customHeight="1">
      <c r="A53" s="34" t="s">
        <v>132</v>
      </c>
      <c r="B53" s="23" t="s">
        <v>117</v>
      </c>
      <c r="C53" s="449">
        <v>31048</v>
      </c>
      <c r="D53" s="465" t="s">
        <v>139</v>
      </c>
      <c r="E53" s="135"/>
      <c r="F53" s="23">
        <v>50</v>
      </c>
      <c r="G53" s="464">
        <v>5250</v>
      </c>
      <c r="H53" s="512" t="s">
        <v>293</v>
      </c>
      <c r="I53" s="33" t="s">
        <v>128</v>
      </c>
      <c r="J53" s="62"/>
      <c r="O53" s="24"/>
      <c r="P53" s="662" t="s">
        <v>312</v>
      </c>
      <c r="Q53" s="650"/>
      <c r="R53" s="93" t="s">
        <v>126</v>
      </c>
      <c r="S53" s="94"/>
      <c r="T53" s="660">
        <f>703110*1918/9880/1000</f>
        <v>136.49443117408904</v>
      </c>
      <c r="U53" s="456">
        <f>V53/(V53+V54)*T53</f>
        <v>136.49443117408904</v>
      </c>
      <c r="V53" s="457">
        <v>1918</v>
      </c>
      <c r="W53" s="456">
        <f>V53-U53</f>
        <v>1781.505568825911</v>
      </c>
      <c r="X53" s="475"/>
      <c r="Y53" s="450"/>
      <c r="Z53" s="25"/>
    </row>
    <row r="54" spans="1:26">
      <c r="A54" s="26" t="s">
        <v>131</v>
      </c>
      <c r="B54" s="23" t="s">
        <v>104</v>
      </c>
      <c r="C54" s="449">
        <v>28307</v>
      </c>
      <c r="D54" s="465" t="s">
        <v>202</v>
      </c>
      <c r="E54" s="135"/>
      <c r="F54" s="23">
        <v>3478</v>
      </c>
      <c r="G54" s="464">
        <v>13185490</v>
      </c>
      <c r="H54" s="512" t="s">
        <v>293</v>
      </c>
      <c r="I54" s="33" t="s">
        <v>128</v>
      </c>
      <c r="J54" s="62"/>
      <c r="O54" s="24"/>
      <c r="P54" s="663"/>
      <c r="Q54" s="664"/>
      <c r="R54" s="517"/>
      <c r="S54" s="514"/>
      <c r="T54" s="665"/>
      <c r="U54" s="518"/>
      <c r="V54" s="519"/>
      <c r="W54" s="518"/>
      <c r="X54" s="520"/>
      <c r="Y54" s="521"/>
      <c r="Z54" s="25"/>
    </row>
    <row r="55" spans="1:26" ht="12.75" customHeight="1">
      <c r="A55" s="34" t="s">
        <v>132</v>
      </c>
      <c r="B55" s="23" t="s">
        <v>105</v>
      </c>
      <c r="C55" s="449">
        <v>27576</v>
      </c>
      <c r="D55" s="465" t="s">
        <v>139</v>
      </c>
      <c r="E55" s="135"/>
      <c r="F55" s="23">
        <v>244</v>
      </c>
      <c r="G55" s="464">
        <v>160940</v>
      </c>
      <c r="H55" s="512" t="s">
        <v>293</v>
      </c>
      <c r="I55" s="33" t="s">
        <v>128</v>
      </c>
      <c r="J55" s="62"/>
      <c r="O55" s="24"/>
      <c r="P55" s="77"/>
      <c r="Q55" s="77"/>
      <c r="R55" s="77"/>
      <c r="S55" s="77"/>
      <c r="T55" s="77"/>
      <c r="U55" s="77"/>
      <c r="V55" s="77"/>
      <c r="W55" s="77"/>
      <c r="X55" s="77"/>
      <c r="Y55" s="77"/>
      <c r="Z55" s="25"/>
    </row>
    <row r="56" spans="1:26">
      <c r="A56" s="26" t="s">
        <v>131</v>
      </c>
      <c r="B56" s="23" t="s">
        <v>119</v>
      </c>
      <c r="C56" s="449">
        <v>27395</v>
      </c>
      <c r="D56" s="465" t="s">
        <v>139</v>
      </c>
      <c r="E56" s="135"/>
      <c r="F56" s="23">
        <v>1</v>
      </c>
      <c r="G56" s="464">
        <v>3450</v>
      </c>
      <c r="H56" s="512" t="s">
        <v>293</v>
      </c>
      <c r="I56" s="33" t="s">
        <v>128</v>
      </c>
      <c r="J56" s="62"/>
      <c r="O56" s="24"/>
      <c r="P56" s="140"/>
      <c r="Q56" s="140"/>
      <c r="R56" s="140"/>
      <c r="S56" s="140"/>
      <c r="T56" s="140"/>
      <c r="U56" s="140"/>
      <c r="V56" s="140"/>
      <c r="W56" s="140"/>
      <c r="X56" s="140"/>
      <c r="Y56" s="140"/>
      <c r="Z56" s="25"/>
    </row>
    <row r="57" spans="1:26">
      <c r="A57" s="34" t="s">
        <v>132</v>
      </c>
      <c r="B57" s="23" t="s">
        <v>263</v>
      </c>
      <c r="C57" s="449">
        <v>27089</v>
      </c>
      <c r="D57" s="465" t="s">
        <v>139</v>
      </c>
      <c r="E57" s="135"/>
      <c r="F57" s="23">
        <v>640</v>
      </c>
      <c r="G57" s="464">
        <v>284210</v>
      </c>
      <c r="H57" s="512" t="s">
        <v>293</v>
      </c>
      <c r="I57" s="33" t="s">
        <v>128</v>
      </c>
      <c r="J57" s="62"/>
      <c r="O57" s="24"/>
      <c r="P57" s="666" t="s">
        <v>286</v>
      </c>
      <c r="Q57" s="664"/>
      <c r="R57" s="522" t="s">
        <v>126</v>
      </c>
      <c r="S57" s="514"/>
      <c r="T57" s="667">
        <f>703110*2432/9880/1000</f>
        <v>173.07323076923078</v>
      </c>
      <c r="U57" s="523">
        <f>V57/(V57+V58)*T57</f>
        <v>173.07323076923078</v>
      </c>
      <c r="V57" s="524">
        <v>2432</v>
      </c>
      <c r="W57" s="523">
        <f>V57-U57</f>
        <v>2258.9267692307694</v>
      </c>
      <c r="X57" s="525"/>
      <c r="Y57" s="526"/>
      <c r="Z57" s="25"/>
    </row>
    <row r="58" spans="1:26">
      <c r="A58" s="34" t="s">
        <v>132</v>
      </c>
      <c r="B58" s="23" t="s">
        <v>260</v>
      </c>
      <c r="C58" s="449" t="s">
        <v>264</v>
      </c>
      <c r="D58" s="465"/>
      <c r="E58" s="135"/>
      <c r="F58" s="23">
        <v>1762</v>
      </c>
      <c r="G58" s="464">
        <v>7758020</v>
      </c>
      <c r="H58" s="512" t="s">
        <v>293</v>
      </c>
      <c r="I58" s="33" t="s">
        <v>128</v>
      </c>
      <c r="J58" s="62"/>
      <c r="O58" s="24"/>
      <c r="P58" s="651"/>
      <c r="Q58" s="652"/>
      <c r="R58" s="99"/>
      <c r="S58" s="100"/>
      <c r="T58" s="661"/>
      <c r="U58" s="456"/>
      <c r="V58" s="457"/>
      <c r="W58" s="456"/>
      <c r="X58" s="475"/>
      <c r="Y58" s="450"/>
      <c r="Z58" s="25"/>
    </row>
    <row r="59" spans="1:26">
      <c r="A59" s="34" t="s">
        <v>132</v>
      </c>
      <c r="B59" s="474" t="s">
        <v>120</v>
      </c>
      <c r="C59" s="449">
        <v>25569</v>
      </c>
      <c r="D59" s="465" t="s">
        <v>139</v>
      </c>
      <c r="E59" s="135"/>
      <c r="F59" s="23">
        <v>174</v>
      </c>
      <c r="G59" s="473">
        <v>94130</v>
      </c>
      <c r="H59" s="512" t="s">
        <v>293</v>
      </c>
      <c r="I59" s="33" t="s">
        <v>128</v>
      </c>
      <c r="J59" s="62"/>
      <c r="O59" s="24"/>
      <c r="P59" s="460"/>
      <c r="Q59" s="459"/>
      <c r="R59" s="459"/>
      <c r="S59" s="459"/>
      <c r="T59" s="459"/>
      <c r="U59" s="459"/>
      <c r="V59" s="459"/>
      <c r="W59" s="459"/>
      <c r="X59" s="452"/>
      <c r="Y59" s="458"/>
      <c r="Z59" s="25"/>
    </row>
    <row r="60" spans="1:26">
      <c r="A60" s="26" t="s">
        <v>131</v>
      </c>
      <c r="B60" s="23" t="s">
        <v>106</v>
      </c>
      <c r="C60" s="449" t="s">
        <v>107</v>
      </c>
      <c r="D60" s="465" t="s">
        <v>136</v>
      </c>
      <c r="E60" s="135"/>
      <c r="F60" s="23">
        <v>1000</v>
      </c>
      <c r="G60" s="464">
        <v>4141860</v>
      </c>
      <c r="H60" s="512" t="s">
        <v>293</v>
      </c>
      <c r="I60" s="33" t="s">
        <v>128</v>
      </c>
      <c r="J60" s="62"/>
      <c r="O60" s="24"/>
      <c r="P60" s="659" t="s">
        <v>314</v>
      </c>
      <c r="Q60" s="655"/>
      <c r="R60" s="527" t="s">
        <v>0</v>
      </c>
      <c r="S60" s="94"/>
      <c r="T60" s="660">
        <f>1285* 2148.79/63082</f>
        <v>43.77152198725468</v>
      </c>
      <c r="U60" s="456">
        <f>V60/(V60+V61)*T60</f>
        <v>43.69004074062331</v>
      </c>
      <c r="V60" s="457">
        <v>2144.79</v>
      </c>
      <c r="W60" s="456">
        <f>V60-U60</f>
        <v>2101.0999592593766</v>
      </c>
      <c r="X60" s="455">
        <v>0.45</v>
      </c>
      <c r="Y60" s="450">
        <f>V60/X60*3600/1000</f>
        <v>17158.32</v>
      </c>
      <c r="Z60" s="25"/>
    </row>
    <row r="61" spans="1:26">
      <c r="A61" s="34" t="s">
        <v>132</v>
      </c>
      <c r="B61" s="23" t="s">
        <v>108</v>
      </c>
      <c r="C61" s="449">
        <v>24624</v>
      </c>
      <c r="D61" s="465" t="s">
        <v>139</v>
      </c>
      <c r="E61" s="135"/>
      <c r="F61" s="23">
        <v>132</v>
      </c>
      <c r="G61" s="473">
        <v>7190</v>
      </c>
      <c r="H61" s="512" t="s">
        <v>293</v>
      </c>
      <c r="I61" s="33" t="s">
        <v>128</v>
      </c>
      <c r="J61" s="62"/>
      <c r="O61" s="24"/>
      <c r="P61" s="656"/>
      <c r="Q61" s="657"/>
      <c r="R61" s="106" t="s">
        <v>156</v>
      </c>
      <c r="S61" s="100"/>
      <c r="T61" s="661"/>
      <c r="U61" s="456">
        <f>V61/(V61+V60)*T60</f>
        <v>8.1481246631368687E-2</v>
      </c>
      <c r="V61" s="457">
        <v>4</v>
      </c>
      <c r="W61" s="456">
        <f>V61-U61</f>
        <v>3.9185187533686312</v>
      </c>
      <c r="X61" s="455">
        <v>0.46</v>
      </c>
      <c r="Y61" s="450">
        <f>V61/X61*3600/1000</f>
        <v>31.304347826086957</v>
      </c>
      <c r="Z61" s="25"/>
    </row>
    <row r="62" spans="1:26" ht="12.75" customHeight="1">
      <c r="A62" s="34" t="s">
        <v>132</v>
      </c>
      <c r="B62" s="23" t="s">
        <v>109</v>
      </c>
      <c r="C62" s="449">
        <v>23193</v>
      </c>
      <c r="D62" s="465" t="s">
        <v>139</v>
      </c>
      <c r="E62" s="135"/>
      <c r="F62" s="23">
        <v>195</v>
      </c>
      <c r="G62" s="473"/>
      <c r="H62" s="512" t="s">
        <v>293</v>
      </c>
      <c r="I62" s="38" t="s">
        <v>86</v>
      </c>
      <c r="J62" s="62"/>
      <c r="O62" s="24"/>
      <c r="P62" s="460"/>
      <c r="Q62" s="459"/>
      <c r="R62" s="459"/>
      <c r="S62" s="459"/>
      <c r="T62" s="459"/>
      <c r="U62" s="459"/>
      <c r="V62" s="459"/>
      <c r="W62" s="459"/>
      <c r="X62" s="452"/>
      <c r="Y62" s="458"/>
      <c r="Z62" s="25"/>
    </row>
    <row r="63" spans="1:26">
      <c r="A63" s="26" t="s">
        <v>131</v>
      </c>
      <c r="B63" s="23" t="s">
        <v>118</v>
      </c>
      <c r="C63" s="449">
        <v>23071</v>
      </c>
      <c r="D63" s="465" t="s">
        <v>139</v>
      </c>
      <c r="E63" s="135"/>
      <c r="F63" s="23">
        <v>13.8</v>
      </c>
      <c r="G63" s="464">
        <v>45730</v>
      </c>
      <c r="H63" s="512" t="s">
        <v>293</v>
      </c>
      <c r="I63" s="33" t="s">
        <v>128</v>
      </c>
      <c r="J63" s="62"/>
      <c r="M63" s="23"/>
      <c r="O63" s="24"/>
      <c r="P63" s="659" t="s">
        <v>289</v>
      </c>
      <c r="Q63" s="655"/>
      <c r="R63" s="102" t="s">
        <v>156</v>
      </c>
      <c r="S63" s="94"/>
      <c r="T63" s="660">
        <f>1285* 2858.44/63082</f>
        <v>58.227313655242384</v>
      </c>
      <c r="U63" s="456">
        <f>V63/(V64+V63)*T63</f>
        <v>0</v>
      </c>
      <c r="V63" s="457"/>
      <c r="W63" s="456">
        <f>V63-U63</f>
        <v>0</v>
      </c>
      <c r="X63" s="455">
        <v>0.46</v>
      </c>
      <c r="Y63" s="450">
        <f>V63/X63*3600/1000</f>
        <v>0</v>
      </c>
      <c r="Z63" s="25"/>
    </row>
    <row r="64" spans="1:26">
      <c r="A64" s="26" t="s">
        <v>131</v>
      </c>
      <c r="B64" s="23" t="s">
        <v>110</v>
      </c>
      <c r="C64" s="449">
        <v>22282</v>
      </c>
      <c r="D64" s="465" t="s">
        <v>136</v>
      </c>
      <c r="E64" s="135"/>
      <c r="F64" s="23">
        <v>13.5</v>
      </c>
      <c r="G64" s="464">
        <v>25930</v>
      </c>
      <c r="H64" s="512" t="s">
        <v>293</v>
      </c>
      <c r="I64" s="33" t="s">
        <v>128</v>
      </c>
      <c r="J64" s="62"/>
      <c r="M64" s="23"/>
      <c r="O64" s="24"/>
      <c r="P64" s="656"/>
      <c r="Q64" s="657"/>
      <c r="R64" s="106" t="s">
        <v>0</v>
      </c>
      <c r="S64" s="100"/>
      <c r="T64" s="661"/>
      <c r="U64" s="456">
        <f>V64/(V64+V63)*T63</f>
        <v>58.227313655242384</v>
      </c>
      <c r="V64" s="457">
        <v>2858.44</v>
      </c>
      <c r="W64" s="456">
        <f>V64-U64</f>
        <v>2800.2126863447575</v>
      </c>
      <c r="X64" s="455">
        <v>0.6</v>
      </c>
      <c r="Y64" s="450">
        <f>V64/X64*3600/1000</f>
        <v>17150.64</v>
      </c>
      <c r="Z64" s="25"/>
    </row>
    <row r="65" spans="1:26" ht="13" customHeight="1">
      <c r="A65" s="26" t="s">
        <v>131</v>
      </c>
      <c r="B65" s="23" t="s">
        <v>111</v>
      </c>
      <c r="C65" s="449">
        <v>22098</v>
      </c>
      <c r="D65" s="465" t="s">
        <v>136</v>
      </c>
      <c r="E65" s="135"/>
      <c r="F65" s="23">
        <v>243</v>
      </c>
      <c r="G65" s="464">
        <v>916530</v>
      </c>
      <c r="H65" s="512" t="s">
        <v>293</v>
      </c>
      <c r="I65" s="33" t="s">
        <v>128</v>
      </c>
      <c r="J65" s="62"/>
      <c r="M65" s="23"/>
      <c r="O65" s="24"/>
      <c r="P65" s="460"/>
      <c r="Q65" s="459"/>
      <c r="R65" s="459"/>
      <c r="S65" s="459"/>
      <c r="T65" s="459"/>
      <c r="U65" s="459"/>
      <c r="V65" s="459"/>
      <c r="W65" s="459"/>
      <c r="X65" s="452"/>
      <c r="Y65" s="458"/>
      <c r="Z65" s="25"/>
    </row>
    <row r="66" spans="1:26" ht="12.75" customHeight="1">
      <c r="A66" s="26" t="s">
        <v>131</v>
      </c>
      <c r="B66" s="23" t="s">
        <v>112</v>
      </c>
      <c r="C66" s="449">
        <v>21763</v>
      </c>
      <c r="D66" s="465" t="s">
        <v>136</v>
      </c>
      <c r="E66" s="135"/>
      <c r="F66" s="23">
        <v>13.2</v>
      </c>
      <c r="G66" s="464">
        <v>31430</v>
      </c>
      <c r="H66" s="512" t="s">
        <v>293</v>
      </c>
      <c r="I66" s="33" t="s">
        <v>128</v>
      </c>
      <c r="J66" s="62"/>
      <c r="M66" s="23"/>
      <c r="O66" s="24"/>
      <c r="P66" s="659" t="s">
        <v>290</v>
      </c>
      <c r="Q66" s="655"/>
      <c r="R66" s="102" t="s">
        <v>156</v>
      </c>
      <c r="S66" s="94"/>
      <c r="T66" s="660">
        <f>1285* 3367.7/63082</f>
        <v>68.601098570115084</v>
      </c>
      <c r="U66" s="456">
        <f>V66/(V67+V66)*T66</f>
        <v>0</v>
      </c>
      <c r="V66" s="457"/>
      <c r="W66" s="456">
        <f>V66-U66</f>
        <v>0</v>
      </c>
      <c r="X66" s="455">
        <v>0.46</v>
      </c>
      <c r="Y66" s="450">
        <f>V66/X66*3600/1000</f>
        <v>0</v>
      </c>
      <c r="Z66" s="25"/>
    </row>
    <row r="67" spans="1:26" ht="12.75" customHeight="1">
      <c r="A67" s="26" t="s">
        <v>131</v>
      </c>
      <c r="B67" s="23" t="s">
        <v>113</v>
      </c>
      <c r="C67" s="449">
        <v>21217</v>
      </c>
      <c r="D67" s="465" t="s">
        <v>136</v>
      </c>
      <c r="E67" s="135"/>
      <c r="F67" s="23">
        <v>4</v>
      </c>
      <c r="G67" s="464">
        <v>17240</v>
      </c>
      <c r="H67" s="512" t="s">
        <v>293</v>
      </c>
      <c r="I67" s="33" t="s">
        <v>128</v>
      </c>
      <c r="J67" s="62"/>
      <c r="M67" s="23"/>
      <c r="O67" s="24"/>
      <c r="P67" s="656"/>
      <c r="Q67" s="657"/>
      <c r="R67" s="106" t="s">
        <v>0</v>
      </c>
      <c r="S67" s="100"/>
      <c r="T67" s="661"/>
      <c r="U67" s="456">
        <f>V67/(V67+V66)*T66</f>
        <v>68.601098570115084</v>
      </c>
      <c r="V67" s="457">
        <v>3367.7</v>
      </c>
      <c r="W67" s="456">
        <f>V67-U67</f>
        <v>3299.0989014298848</v>
      </c>
      <c r="X67" s="455">
        <v>0.6</v>
      </c>
      <c r="Y67" s="450">
        <f>V67/X67*3600/1000</f>
        <v>20206.2</v>
      </c>
      <c r="Z67" s="25"/>
    </row>
    <row r="68" spans="1:26">
      <c r="A68" s="26" t="s">
        <v>131</v>
      </c>
      <c r="B68" s="23" t="s">
        <v>114</v>
      </c>
      <c r="C68" s="449">
        <v>19329</v>
      </c>
      <c r="D68" s="465" t="s">
        <v>136</v>
      </c>
      <c r="E68" s="135"/>
      <c r="F68" s="23">
        <v>20</v>
      </c>
      <c r="G68" s="464">
        <v>95720</v>
      </c>
      <c r="H68" s="512" t="s">
        <v>293</v>
      </c>
      <c r="I68" s="33" t="s">
        <v>128</v>
      </c>
      <c r="J68" s="62"/>
      <c r="M68" s="23"/>
      <c r="O68" s="24"/>
      <c r="P68" s="460"/>
      <c r="Q68" s="459"/>
      <c r="R68" s="459"/>
      <c r="S68" s="459"/>
      <c r="T68" s="459"/>
      <c r="U68" s="459"/>
      <c r="V68" s="459"/>
      <c r="W68" s="459"/>
      <c r="X68" s="452"/>
      <c r="Y68" s="458"/>
      <c r="Z68" s="25"/>
    </row>
    <row r="69" spans="1:26">
      <c r="A69" s="26" t="s">
        <v>131</v>
      </c>
      <c r="B69" s="23" t="s">
        <v>115</v>
      </c>
      <c r="C69" s="449">
        <v>19176</v>
      </c>
      <c r="D69" s="465" t="s">
        <v>136</v>
      </c>
      <c r="E69" s="135"/>
      <c r="F69" s="23">
        <v>22</v>
      </c>
      <c r="G69" s="464">
        <v>65540</v>
      </c>
      <c r="H69" s="512" t="s">
        <v>293</v>
      </c>
      <c r="I69" s="33" t="s">
        <v>128</v>
      </c>
      <c r="J69" s="62"/>
      <c r="M69" s="23"/>
      <c r="O69" s="24"/>
      <c r="Z69" s="25"/>
    </row>
    <row r="70" spans="1:26" ht="13" customHeight="1">
      <c r="A70" s="26" t="s">
        <v>131</v>
      </c>
      <c r="B70" s="23" t="s">
        <v>116</v>
      </c>
      <c r="C70" s="449">
        <v>9192</v>
      </c>
      <c r="D70" s="465" t="s">
        <v>136</v>
      </c>
      <c r="E70" s="135"/>
      <c r="F70" s="23">
        <v>1.1000000000000001</v>
      </c>
      <c r="G70" s="464">
        <v>2310</v>
      </c>
      <c r="H70" s="512" t="s">
        <v>293</v>
      </c>
      <c r="I70" s="33" t="s">
        <v>128</v>
      </c>
      <c r="J70" s="62"/>
      <c r="M70" s="23"/>
      <c r="O70" s="24"/>
      <c r="P70" s="659" t="s">
        <v>291</v>
      </c>
      <c r="Q70" s="655"/>
      <c r="R70" s="527" t="s">
        <v>296</v>
      </c>
      <c r="S70" s="94"/>
      <c r="T70" s="660">
        <f>1285* 7307.17/63082</f>
        <v>148.84933023683459</v>
      </c>
      <c r="U70" s="456">
        <f>V70/(V71+V70)*T70</f>
        <v>148.84933023683459</v>
      </c>
      <c r="V70" s="457">
        <v>7307.17</v>
      </c>
      <c r="W70" s="456">
        <f>V70-U70</f>
        <v>7158.3206697631658</v>
      </c>
      <c r="X70" s="455">
        <v>0.45</v>
      </c>
      <c r="Y70" s="450">
        <f>V70/X70*3600/1000</f>
        <v>58457.36</v>
      </c>
      <c r="Z70" s="25"/>
    </row>
    <row r="71" spans="1:26">
      <c r="A71" s="34" t="s">
        <v>132</v>
      </c>
      <c r="B71" s="23" t="s">
        <v>121</v>
      </c>
      <c r="C71" s="449" t="s">
        <v>141</v>
      </c>
      <c r="D71" s="465"/>
      <c r="E71" s="135"/>
      <c r="F71" s="23">
        <v>59</v>
      </c>
      <c r="G71" s="473"/>
      <c r="H71" s="512" t="s">
        <v>293</v>
      </c>
      <c r="I71" s="38" t="s">
        <v>86</v>
      </c>
      <c r="J71" s="62"/>
      <c r="M71" s="23"/>
      <c r="O71" s="24"/>
      <c r="P71" s="656"/>
      <c r="Q71" s="657"/>
      <c r="R71" s="106"/>
      <c r="S71" s="100"/>
      <c r="T71" s="661"/>
      <c r="U71" s="456"/>
      <c r="V71" s="457"/>
      <c r="W71" s="456"/>
      <c r="X71" s="455"/>
      <c r="Y71" s="450"/>
      <c r="Z71" s="25"/>
    </row>
    <row r="72" spans="1:26">
      <c r="A72" s="34" t="s">
        <v>132</v>
      </c>
      <c r="B72" s="23" t="s">
        <v>122</v>
      </c>
      <c r="C72" s="449" t="s">
        <v>141</v>
      </c>
      <c r="D72" s="465"/>
      <c r="E72" s="135"/>
      <c r="F72" s="23">
        <v>35</v>
      </c>
      <c r="G72" s="464"/>
      <c r="H72" s="512" t="s">
        <v>293</v>
      </c>
      <c r="I72" s="38" t="s">
        <v>86</v>
      </c>
      <c r="J72" s="62"/>
      <c r="M72" s="23"/>
      <c r="O72" s="24"/>
      <c r="Z72" s="25"/>
    </row>
    <row r="73" spans="1:26">
      <c r="A73" s="34" t="s">
        <v>132</v>
      </c>
      <c r="B73" s="23" t="s">
        <v>123</v>
      </c>
      <c r="C73" s="449" t="s">
        <v>141</v>
      </c>
      <c r="D73" s="465"/>
      <c r="E73" s="135"/>
      <c r="F73" s="23">
        <v>39</v>
      </c>
      <c r="G73" s="473"/>
      <c r="H73" s="512" t="s">
        <v>293</v>
      </c>
      <c r="I73" s="38" t="s">
        <v>86</v>
      </c>
      <c r="J73" s="62"/>
      <c r="M73" s="23"/>
      <c r="O73" s="24"/>
      <c r="Z73" s="25"/>
    </row>
    <row r="74" spans="1:26" ht="12.75" customHeight="1">
      <c r="A74" s="34" t="s">
        <v>132</v>
      </c>
      <c r="B74" s="23" t="s">
        <v>127</v>
      </c>
      <c r="C74" s="449" t="s">
        <v>141</v>
      </c>
      <c r="D74" s="465"/>
      <c r="E74" s="135"/>
      <c r="F74" s="23">
        <v>17</v>
      </c>
      <c r="G74" s="473"/>
      <c r="H74" s="512" t="s">
        <v>293</v>
      </c>
      <c r="I74" s="38" t="s">
        <v>86</v>
      </c>
      <c r="J74" s="62"/>
      <c r="M74" s="23"/>
      <c r="N74" s="23"/>
      <c r="O74" s="24"/>
      <c r="P74" s="659" t="s">
        <v>317</v>
      </c>
      <c r="Q74" s="655"/>
      <c r="R74" s="102" t="s">
        <v>230</v>
      </c>
      <c r="S74" s="94"/>
      <c r="T74" s="660">
        <f>1285* 56.9/63082</f>
        <v>1.1590707333312196</v>
      </c>
      <c r="U74" s="456">
        <f>V74/(V74+V75)*T74</f>
        <v>1.1590707333312196</v>
      </c>
      <c r="V74" s="457">
        <v>56.9</v>
      </c>
      <c r="W74" s="456">
        <f>V74-U74</f>
        <v>55.740929266668779</v>
      </c>
      <c r="X74" s="455">
        <v>0.45</v>
      </c>
      <c r="Y74" s="450">
        <f>V74/X74*3600/1000</f>
        <v>455.2</v>
      </c>
      <c r="Z74" s="25"/>
    </row>
    <row r="75" spans="1:26" ht="14" thickBot="1">
      <c r="A75" s="111" t="s">
        <v>89</v>
      </c>
      <c r="B75" s="469" t="s">
        <v>189</v>
      </c>
      <c r="C75" s="472" t="s">
        <v>265</v>
      </c>
      <c r="D75" s="471"/>
      <c r="E75" s="470" t="s">
        <v>194</v>
      </c>
      <c r="F75" s="469">
        <v>100</v>
      </c>
      <c r="G75" s="468">
        <v>419000</v>
      </c>
      <c r="H75" s="546" t="s">
        <v>293</v>
      </c>
      <c r="I75" s="118" t="s">
        <v>128</v>
      </c>
      <c r="J75" s="62"/>
      <c r="M75" s="23"/>
      <c r="N75" s="23"/>
      <c r="O75" s="24"/>
      <c r="P75" s="656"/>
      <c r="Q75" s="657"/>
      <c r="R75" s="466"/>
      <c r="S75" s="100"/>
      <c r="T75" s="661"/>
      <c r="U75" s="456"/>
      <c r="V75" s="457"/>
      <c r="W75" s="456"/>
      <c r="X75" s="455"/>
      <c r="Y75" s="450"/>
      <c r="Z75" s="25"/>
    </row>
    <row r="76" spans="1:26">
      <c r="J76" s="62"/>
      <c r="M76" s="23"/>
      <c r="N76" s="23"/>
      <c r="O76" s="24"/>
      <c r="Z76" s="25"/>
    </row>
    <row r="77" spans="1:26">
      <c r="J77" s="62"/>
      <c r="M77" s="23"/>
      <c r="N77" s="23"/>
      <c r="O77" s="24"/>
      <c r="P77" s="659" t="s">
        <v>315</v>
      </c>
      <c r="Q77" s="655"/>
      <c r="R77" s="102" t="s">
        <v>230</v>
      </c>
      <c r="S77" s="94"/>
      <c r="T77" s="660">
        <f>1285*2.78/63082</f>
        <v>5.6629466408801239E-2</v>
      </c>
      <c r="U77" s="456">
        <f>V77/(V77+V78)*T77</f>
        <v>5.6629466408801239E-2</v>
      </c>
      <c r="V77" s="457">
        <v>2.78</v>
      </c>
      <c r="W77" s="456">
        <f>V77-U77</f>
        <v>2.7233705335911984</v>
      </c>
      <c r="X77" s="455">
        <v>0.45</v>
      </c>
      <c r="Y77" s="450">
        <f>V77/X77*3600/1000</f>
        <v>22.239999999999995</v>
      </c>
      <c r="Z77" s="25"/>
    </row>
    <row r="78" spans="1:26" ht="14" thickBot="1">
      <c r="J78" s="62"/>
      <c r="M78" s="23"/>
      <c r="N78" s="23"/>
      <c r="O78" s="24"/>
      <c r="P78" s="656"/>
      <c r="Q78" s="657"/>
      <c r="R78" s="466"/>
      <c r="S78" s="100"/>
      <c r="T78" s="661"/>
      <c r="U78" s="456"/>
      <c r="V78" s="457"/>
      <c r="W78" s="456"/>
      <c r="X78" s="455"/>
      <c r="Y78" s="450"/>
      <c r="Z78" s="25"/>
    </row>
    <row r="79" spans="1:26" ht="14" thickBot="1">
      <c r="E79" s="491" t="s">
        <v>295</v>
      </c>
      <c r="F79" s="126"/>
      <c r="G79" s="127">
        <f>SUM(G3:G75)</f>
        <v>114646886</v>
      </c>
      <c r="O79" s="119"/>
      <c r="Z79" s="120"/>
    </row>
    <row r="80" spans="1:26">
      <c r="O80" s="119"/>
      <c r="Z80" s="120"/>
    </row>
    <row r="81" spans="1:26">
      <c r="B81" s="23"/>
      <c r="C81" s="449"/>
      <c r="D81" s="465"/>
      <c r="E81" s="135"/>
      <c r="F81" s="23"/>
      <c r="G81" s="464"/>
      <c r="H81" s="463"/>
      <c r="L81" s="22"/>
      <c r="M81" s="23"/>
      <c r="N81" s="23"/>
      <c r="O81" s="119"/>
      <c r="P81" s="659" t="s">
        <v>316</v>
      </c>
      <c r="Q81" s="655"/>
      <c r="R81" s="527" t="s">
        <v>296</v>
      </c>
      <c r="S81" s="94"/>
      <c r="T81" s="660">
        <f>1285* 3598.1/63082</f>
        <v>73.294418376081921</v>
      </c>
      <c r="U81" s="456">
        <f>V81/(V82+V81)*T81</f>
        <v>73.294418376081921</v>
      </c>
      <c r="V81" s="457">
        <v>3598.1</v>
      </c>
      <c r="W81" s="456">
        <f>V81-U81</f>
        <v>3524.805581623918</v>
      </c>
      <c r="X81" s="455">
        <v>0.45</v>
      </c>
      <c r="Y81" s="450">
        <f>V81/X81*3600/1000</f>
        <v>28784.799999999999</v>
      </c>
      <c r="Z81" s="120"/>
    </row>
    <row r="82" spans="1:26">
      <c r="B82" s="23"/>
      <c r="C82" s="449"/>
      <c r="D82" s="465"/>
      <c r="E82" s="135"/>
      <c r="F82" s="23"/>
      <c r="G82" s="464"/>
      <c r="H82" s="463"/>
      <c r="L82" s="22"/>
      <c r="M82" s="23"/>
      <c r="N82" s="23"/>
      <c r="O82" s="119"/>
      <c r="P82" s="656"/>
      <c r="Q82" s="657"/>
      <c r="R82" s="106"/>
      <c r="S82" s="100"/>
      <c r="T82" s="661"/>
      <c r="U82" s="456"/>
      <c r="V82" s="457"/>
      <c r="W82" s="456"/>
      <c r="X82" s="455"/>
      <c r="Y82" s="450"/>
      <c r="Z82" s="120"/>
    </row>
    <row r="83" spans="1:26">
      <c r="A83" s="23"/>
      <c r="B83" s="23"/>
      <c r="C83" s="133"/>
      <c r="D83" s="134"/>
      <c r="H83" s="462"/>
      <c r="L83" s="22"/>
      <c r="M83" s="23"/>
      <c r="N83" s="23"/>
      <c r="O83" s="119"/>
      <c r="Z83" s="120"/>
    </row>
    <row r="84" spans="1:26">
      <c r="A84" s="23"/>
      <c r="B84" s="23"/>
      <c r="C84" s="133"/>
      <c r="D84" s="134"/>
      <c r="E84" s="135"/>
      <c r="F84" s="23"/>
      <c r="G84" s="462"/>
      <c r="H84" s="462"/>
      <c r="I84" s="461"/>
      <c r="L84" s="22"/>
      <c r="M84" s="23"/>
      <c r="N84" s="23"/>
      <c r="O84" s="119"/>
      <c r="Z84" s="120"/>
    </row>
    <row r="85" spans="1:26">
      <c r="L85" s="22"/>
      <c r="M85" s="23"/>
      <c r="N85" s="23"/>
      <c r="O85" s="119"/>
      <c r="Z85" s="120"/>
    </row>
    <row r="86" spans="1:26">
      <c r="A86" s="496" t="s">
        <v>335</v>
      </c>
      <c r="L86" s="22"/>
      <c r="M86" s="23"/>
      <c r="N86" s="23"/>
      <c r="O86" s="119"/>
      <c r="Z86" s="120"/>
    </row>
    <row r="87" spans="1:26">
      <c r="A87" s="23"/>
      <c r="B87" s="23"/>
      <c r="C87" s="133"/>
      <c r="D87" s="134"/>
      <c r="E87" s="135"/>
      <c r="F87" s="23"/>
      <c r="G87" s="23"/>
      <c r="H87" s="23"/>
      <c r="I87" s="23"/>
      <c r="O87" s="139"/>
      <c r="Z87" s="141"/>
    </row>
    <row r="88" spans="1:26">
      <c r="A88" s="23"/>
      <c r="B88" s="23"/>
      <c r="C88" s="133"/>
      <c r="D88" s="134"/>
      <c r="E88" s="135"/>
      <c r="F88" s="23"/>
      <c r="G88" s="23"/>
      <c r="H88" s="23"/>
      <c r="I88" s="23"/>
    </row>
    <row r="89" spans="1:26">
      <c r="A89" s="23"/>
      <c r="B89" s="23"/>
      <c r="C89" s="133"/>
      <c r="D89" s="134"/>
      <c r="E89" s="135"/>
      <c r="F89" s="23"/>
      <c r="G89" s="23"/>
      <c r="H89" s="23"/>
      <c r="I89" s="23"/>
    </row>
    <row r="90" spans="1:26">
      <c r="A90" s="23"/>
      <c r="B90" s="23"/>
      <c r="C90" s="133"/>
      <c r="D90" s="134"/>
      <c r="E90" s="135"/>
      <c r="F90" s="23"/>
      <c r="G90" s="23"/>
      <c r="H90" s="23"/>
      <c r="I90" s="23"/>
      <c r="P90" s="452"/>
      <c r="Q90" s="452"/>
      <c r="R90" s="452"/>
      <c r="S90" s="452"/>
      <c r="T90" s="452"/>
      <c r="U90" s="452"/>
      <c r="V90" s="452"/>
      <c r="W90" s="452"/>
      <c r="X90" s="452"/>
      <c r="Y90" s="452"/>
    </row>
    <row r="91" spans="1:26">
      <c r="A91" s="23"/>
      <c r="B91" s="23"/>
      <c r="C91" s="133"/>
      <c r="D91" s="134"/>
      <c r="E91" s="135"/>
      <c r="F91" s="23"/>
      <c r="G91" s="23"/>
      <c r="H91" s="23"/>
      <c r="I91" s="23"/>
      <c r="P91" s="454"/>
      <c r="Q91" s="454"/>
      <c r="R91" s="452"/>
      <c r="S91" s="452"/>
      <c r="T91" s="452"/>
      <c r="U91" s="452"/>
      <c r="V91" s="453" t="s">
        <v>40</v>
      </c>
      <c r="W91" s="450">
        <f>SUM(W53:W86)</f>
        <v>22986.352955031412</v>
      </c>
      <c r="X91" s="452"/>
      <c r="Y91" s="452"/>
    </row>
    <row r="92" spans="1:26">
      <c r="A92" s="23"/>
      <c r="B92" s="23"/>
      <c r="C92" s="133"/>
      <c r="D92" s="134"/>
      <c r="E92" s="135"/>
      <c r="F92" s="23"/>
      <c r="G92" s="23"/>
      <c r="H92" s="23"/>
      <c r="I92" s="23"/>
      <c r="P92" s="452"/>
      <c r="Q92" s="452"/>
      <c r="R92" s="452"/>
      <c r="S92" s="452"/>
      <c r="T92" s="452"/>
      <c r="U92" s="452"/>
      <c r="V92" s="452"/>
      <c r="W92" s="452"/>
      <c r="X92" s="453" t="s">
        <v>41</v>
      </c>
      <c r="Y92" s="450">
        <f>Y74+Y77</f>
        <v>477.44</v>
      </c>
    </row>
    <row r="93" spans="1:26">
      <c r="A93" s="23"/>
      <c r="B93" s="23"/>
      <c r="C93" s="133"/>
      <c r="D93" s="134"/>
      <c r="E93" s="135"/>
      <c r="F93" s="23"/>
      <c r="G93" s="23"/>
      <c r="H93" s="23"/>
      <c r="I93" s="23"/>
      <c r="P93" s="452"/>
      <c r="Q93" s="452"/>
      <c r="R93" s="452"/>
      <c r="S93" s="452"/>
      <c r="T93" s="452"/>
      <c r="U93" s="452"/>
      <c r="V93" s="452"/>
      <c r="W93" s="452"/>
      <c r="X93" s="451" t="s">
        <v>42</v>
      </c>
      <c r="Y93" s="450">
        <f>Y67+Y64+Y60</f>
        <v>54515.159999999996</v>
      </c>
    </row>
    <row r="94" spans="1:26">
      <c r="A94" s="23"/>
      <c r="B94" s="23"/>
      <c r="C94" s="133"/>
      <c r="D94" s="134"/>
      <c r="E94" s="135"/>
      <c r="F94" s="23"/>
      <c r="G94" s="23"/>
      <c r="H94" s="23"/>
      <c r="I94" s="23"/>
      <c r="P94" s="452"/>
      <c r="Q94" s="452"/>
      <c r="R94" s="452"/>
      <c r="S94" s="452"/>
      <c r="T94" s="452"/>
      <c r="U94" s="452"/>
      <c r="V94" s="452"/>
      <c r="W94" s="452"/>
      <c r="X94" s="451" t="s">
        <v>213</v>
      </c>
      <c r="Y94" s="450">
        <f>Y66+Y63+Y61</f>
        <v>31.304347826086957</v>
      </c>
    </row>
    <row r="95" spans="1:26" ht="13" customHeight="1">
      <c r="A95" s="23"/>
      <c r="B95" s="23"/>
      <c r="C95" s="133"/>
      <c r="D95" s="134"/>
      <c r="E95" s="135"/>
      <c r="F95" s="23"/>
      <c r="G95" s="23"/>
      <c r="H95" s="23"/>
      <c r="I95" s="23"/>
      <c r="P95" s="140"/>
      <c r="Q95" s="140"/>
      <c r="R95" s="140"/>
      <c r="S95" s="140"/>
      <c r="T95" s="140"/>
      <c r="U95" s="140"/>
      <c r="V95" s="140"/>
      <c r="W95" s="140"/>
      <c r="X95" s="528" t="s">
        <v>299</v>
      </c>
      <c r="Y95" s="450">
        <f>Y70+Y81</f>
        <v>87242.16</v>
      </c>
    </row>
    <row r="96" spans="1:26">
      <c r="A96" s="23"/>
      <c r="B96" s="23"/>
      <c r="C96" s="133"/>
      <c r="D96" s="134"/>
      <c r="E96" s="135"/>
      <c r="F96" s="23"/>
      <c r="G96" s="23"/>
      <c r="H96" s="23"/>
      <c r="I96" s="23"/>
    </row>
    <row r="97" spans="1:9" ht="15.75" customHeight="1">
      <c r="A97" s="23"/>
      <c r="B97" s="23"/>
      <c r="C97" s="133"/>
      <c r="D97" s="134"/>
      <c r="E97" s="135"/>
      <c r="F97" s="23"/>
      <c r="G97" s="23"/>
      <c r="H97" s="23"/>
      <c r="I97" s="23"/>
    </row>
    <row r="98" spans="1:9">
      <c r="A98" s="23"/>
      <c r="B98" s="23"/>
      <c r="C98" s="133"/>
      <c r="D98" s="134"/>
      <c r="E98" s="135"/>
      <c r="F98" s="23"/>
      <c r="G98" s="23"/>
      <c r="H98" s="23"/>
      <c r="I98" s="23"/>
    </row>
    <row r="99" spans="1:9">
      <c r="A99" s="23"/>
      <c r="B99" s="23"/>
      <c r="C99" s="449"/>
      <c r="D99" s="134"/>
      <c r="E99" s="135"/>
      <c r="F99" s="23"/>
      <c r="G99" s="23"/>
      <c r="H99" s="23"/>
      <c r="I99" s="23"/>
    </row>
    <row r="100" spans="1:9">
      <c r="A100" s="23"/>
      <c r="B100" s="23"/>
      <c r="C100" s="133"/>
      <c r="D100" s="134"/>
      <c r="E100" s="135"/>
      <c r="F100" s="23"/>
      <c r="G100" s="23"/>
      <c r="H100" s="23"/>
      <c r="I100" s="23"/>
    </row>
    <row r="101" spans="1:9">
      <c r="A101" s="23"/>
      <c r="B101" s="23"/>
      <c r="C101" s="133"/>
      <c r="D101" s="134"/>
      <c r="E101" s="135"/>
      <c r="F101" s="23"/>
      <c r="G101" s="23"/>
      <c r="H101" s="23"/>
      <c r="I101" s="23"/>
    </row>
    <row r="102" spans="1:9">
      <c r="A102" s="23"/>
      <c r="B102" s="23"/>
      <c r="C102" s="133"/>
      <c r="D102" s="134"/>
      <c r="E102" s="135"/>
      <c r="F102" s="23"/>
      <c r="G102" s="23"/>
      <c r="H102" s="23"/>
      <c r="I102" s="23"/>
    </row>
    <row r="103" spans="1:9">
      <c r="A103" s="23"/>
      <c r="B103" s="23"/>
      <c r="C103" s="133"/>
      <c r="D103" s="134"/>
      <c r="E103" s="135"/>
      <c r="F103" s="23"/>
      <c r="G103" s="23"/>
      <c r="H103" s="23"/>
      <c r="I103" s="23"/>
    </row>
    <row r="104" spans="1:9">
      <c r="A104" s="23"/>
      <c r="B104" s="23"/>
      <c r="C104" s="133"/>
      <c r="D104" s="134"/>
      <c r="E104" s="135"/>
      <c r="F104" s="23"/>
      <c r="G104" s="23"/>
      <c r="H104" s="23"/>
      <c r="I104" s="23"/>
    </row>
    <row r="105" spans="1:9">
      <c r="A105" s="23"/>
      <c r="B105" s="23"/>
      <c r="C105" s="133"/>
      <c r="D105" s="134"/>
      <c r="E105" s="135"/>
      <c r="F105" s="23"/>
      <c r="G105" s="23"/>
      <c r="H105" s="23"/>
      <c r="I105" s="23"/>
    </row>
    <row r="106" spans="1:9">
      <c r="A106" s="23"/>
      <c r="B106" s="23"/>
      <c r="C106" s="133"/>
      <c r="D106" s="134"/>
      <c r="E106" s="135"/>
      <c r="F106" s="23"/>
      <c r="G106" s="23"/>
      <c r="H106" s="23"/>
      <c r="I106" s="23"/>
    </row>
    <row r="107" spans="1:9">
      <c r="A107" s="23"/>
      <c r="B107" s="23"/>
      <c r="C107" s="133"/>
      <c r="D107" s="134"/>
      <c r="E107" s="135"/>
      <c r="F107" s="23"/>
      <c r="G107" s="23"/>
      <c r="H107" s="23"/>
      <c r="I107" s="23"/>
    </row>
    <row r="108" spans="1:9">
      <c r="A108" s="23"/>
      <c r="B108" s="23"/>
      <c r="C108" s="133"/>
      <c r="D108" s="134"/>
      <c r="E108" s="135"/>
      <c r="F108" s="23"/>
      <c r="G108" s="23"/>
      <c r="H108" s="23"/>
      <c r="I108" s="23"/>
    </row>
    <row r="109" spans="1:9">
      <c r="A109" s="23"/>
      <c r="B109" s="23"/>
      <c r="C109" s="133"/>
      <c r="D109" s="134"/>
      <c r="E109" s="135"/>
      <c r="F109" s="23"/>
      <c r="G109" s="23"/>
      <c r="H109" s="23"/>
      <c r="I109" s="23"/>
    </row>
    <row r="110" spans="1:9">
      <c r="A110" s="23"/>
      <c r="B110" s="23"/>
      <c r="C110" s="133"/>
      <c r="D110" s="134"/>
      <c r="E110" s="135"/>
      <c r="F110" s="23"/>
      <c r="G110" s="23"/>
      <c r="H110" s="23"/>
      <c r="I110" s="23"/>
    </row>
    <row r="111" spans="1:9">
      <c r="A111" s="23"/>
      <c r="B111" s="23"/>
      <c r="C111" s="133"/>
      <c r="D111" s="134"/>
      <c r="E111" s="135"/>
      <c r="F111" s="23"/>
      <c r="G111" s="23"/>
      <c r="H111" s="23"/>
      <c r="I111" s="23"/>
    </row>
    <row r="112" spans="1:9">
      <c r="A112" s="23"/>
      <c r="B112" s="23"/>
      <c r="C112" s="133"/>
      <c r="D112" s="134"/>
      <c r="E112" s="135"/>
      <c r="F112" s="23"/>
      <c r="G112" s="23"/>
      <c r="H112" s="23"/>
      <c r="I112" s="23"/>
    </row>
    <row r="113" spans="1:14">
      <c r="A113" s="23"/>
      <c r="B113" s="23"/>
      <c r="C113" s="133"/>
      <c r="D113" s="134"/>
      <c r="E113" s="135"/>
      <c r="F113" s="23"/>
      <c r="G113" s="23"/>
      <c r="H113" s="23"/>
      <c r="I113" s="23"/>
    </row>
    <row r="114" spans="1:14">
      <c r="A114" s="23"/>
      <c r="B114" s="23"/>
      <c r="C114" s="133"/>
      <c r="D114" s="134"/>
      <c r="E114" s="135"/>
      <c r="F114" s="23"/>
      <c r="G114" s="23"/>
      <c r="H114" s="23"/>
      <c r="I114" s="23"/>
      <c r="M114" s="23"/>
      <c r="N114" s="23"/>
    </row>
    <row r="115" spans="1:14">
      <c r="A115" s="23"/>
      <c r="B115" s="23"/>
      <c r="C115" s="133"/>
      <c r="D115" s="134"/>
      <c r="E115" s="135"/>
      <c r="F115" s="23"/>
      <c r="G115" s="23"/>
      <c r="H115" s="23"/>
      <c r="I115" s="23"/>
      <c r="M115" s="23"/>
      <c r="N115" s="23"/>
    </row>
    <row r="116" spans="1:14">
      <c r="A116" s="23"/>
      <c r="B116" s="23"/>
      <c r="C116" s="133"/>
      <c r="D116" s="134"/>
      <c r="E116" s="135"/>
      <c r="F116" s="23"/>
      <c r="G116" s="23"/>
      <c r="H116" s="23"/>
      <c r="I116" s="23"/>
      <c r="M116" s="23"/>
      <c r="N116" s="23"/>
    </row>
    <row r="117" spans="1:14">
      <c r="A117" s="23"/>
      <c r="B117" s="23"/>
      <c r="C117" s="133"/>
      <c r="D117" s="134"/>
      <c r="E117" s="135"/>
      <c r="F117" s="23"/>
      <c r="G117" s="23"/>
      <c r="H117" s="23"/>
      <c r="I117" s="23"/>
      <c r="M117" s="22"/>
      <c r="N117" s="22"/>
    </row>
    <row r="118" spans="1:14">
      <c r="A118" s="23"/>
      <c r="B118" s="23"/>
      <c r="C118" s="133"/>
      <c r="D118" s="134"/>
      <c r="E118" s="135"/>
      <c r="F118" s="23"/>
      <c r="G118" s="23"/>
      <c r="H118" s="23"/>
      <c r="I118" s="23"/>
      <c r="M118" s="22"/>
      <c r="N118" s="22"/>
    </row>
    <row r="119" spans="1:14">
      <c r="A119" s="22"/>
      <c r="B119" s="22"/>
      <c r="C119" s="144"/>
      <c r="D119" s="145"/>
      <c r="E119" s="146"/>
      <c r="F119" s="22"/>
      <c r="G119" s="22"/>
      <c r="H119" s="22"/>
      <c r="I119" s="22"/>
      <c r="M119" s="22"/>
      <c r="N119" s="22"/>
    </row>
    <row r="120" spans="1:14">
      <c r="A120" s="22"/>
      <c r="B120" s="22"/>
      <c r="C120" s="144"/>
      <c r="D120" s="145"/>
      <c r="E120" s="146"/>
      <c r="F120" s="22"/>
      <c r="G120" s="22"/>
      <c r="H120" s="22"/>
      <c r="I120" s="22"/>
      <c r="M120" s="22"/>
      <c r="N120" s="22"/>
    </row>
    <row r="121" spans="1:14">
      <c r="A121" s="22"/>
      <c r="B121" s="22"/>
      <c r="C121" s="144"/>
      <c r="D121" s="145"/>
      <c r="E121" s="146"/>
      <c r="F121" s="22"/>
      <c r="G121" s="22"/>
      <c r="H121" s="22"/>
      <c r="I121" s="22"/>
      <c r="M121" s="22"/>
      <c r="N121" s="22"/>
    </row>
    <row r="122" spans="1:14">
      <c r="A122" s="22"/>
      <c r="B122" s="22"/>
      <c r="C122" s="144"/>
      <c r="D122" s="145"/>
      <c r="E122" s="146"/>
      <c r="F122" s="22"/>
      <c r="G122" s="22"/>
      <c r="H122" s="22"/>
      <c r="I122" s="22"/>
      <c r="M122" s="22"/>
      <c r="N122" s="22"/>
    </row>
    <row r="123" spans="1:14">
      <c r="A123" s="22"/>
      <c r="B123" s="22"/>
      <c r="C123" s="144"/>
      <c r="D123" s="145"/>
      <c r="E123" s="146"/>
      <c r="F123" s="22"/>
      <c r="G123" s="22"/>
      <c r="H123" s="22"/>
      <c r="I123" s="22"/>
      <c r="M123" s="22"/>
      <c r="N123" s="22"/>
    </row>
    <row r="124" spans="1:14">
      <c r="A124" s="22"/>
      <c r="B124" s="22"/>
      <c r="C124" s="144"/>
      <c r="D124" s="145"/>
      <c r="E124" s="146"/>
      <c r="F124" s="22"/>
      <c r="G124" s="22"/>
      <c r="H124" s="22"/>
      <c r="I124" s="22"/>
      <c r="M124" s="22"/>
      <c r="N124" s="22"/>
    </row>
    <row r="125" spans="1:14">
      <c r="A125" s="22"/>
      <c r="B125" s="22"/>
      <c r="C125" s="144"/>
      <c r="D125" s="145"/>
      <c r="E125" s="146"/>
      <c r="F125" s="22"/>
      <c r="G125" s="22"/>
      <c r="H125" s="22"/>
      <c r="I125" s="22"/>
      <c r="M125" s="22"/>
      <c r="N125" s="22"/>
    </row>
    <row r="126" spans="1:14">
      <c r="A126" s="22"/>
      <c r="B126" s="22"/>
      <c r="C126" s="144"/>
      <c r="D126" s="145"/>
      <c r="E126" s="146"/>
      <c r="F126" s="22"/>
      <c r="G126" s="22"/>
      <c r="H126" s="22"/>
      <c r="I126" s="22"/>
    </row>
    <row r="127" spans="1:14">
      <c r="A127" s="22"/>
      <c r="B127" s="22"/>
      <c r="C127" s="144"/>
      <c r="D127" s="145"/>
      <c r="E127" s="146"/>
      <c r="F127" s="22"/>
      <c r="G127" s="22"/>
      <c r="H127" s="22"/>
      <c r="I127" s="22"/>
    </row>
    <row r="128" spans="1:14">
      <c r="C128" s="147"/>
      <c r="D128" s="145"/>
      <c r="E128" s="5"/>
    </row>
    <row r="129" spans="3:5">
      <c r="C129" s="147"/>
      <c r="D129" s="145"/>
      <c r="E129" s="5"/>
    </row>
    <row r="130" spans="3:5">
      <c r="C130" s="147"/>
      <c r="D130" s="145"/>
      <c r="E130" s="5"/>
    </row>
    <row r="131" spans="3:5">
      <c r="C131" s="147"/>
      <c r="D131" s="145"/>
      <c r="E131" s="5"/>
    </row>
    <row r="132" spans="3:5">
      <c r="C132" s="147"/>
      <c r="D132" s="145"/>
      <c r="E132" s="5"/>
    </row>
    <row r="133" spans="3:5">
      <c r="C133" s="147"/>
      <c r="D133" s="145"/>
      <c r="E133" s="5"/>
    </row>
    <row r="134" spans="3:5">
      <c r="C134" s="147"/>
      <c r="D134" s="145"/>
      <c r="E134" s="5"/>
    </row>
    <row r="135" spans="3:5">
      <c r="C135" s="147"/>
      <c r="D135" s="145"/>
      <c r="E135" s="5"/>
    </row>
    <row r="191" spans="4:5" ht="12.75" customHeight="1">
      <c r="D191" s="5"/>
      <c r="E191" s="5"/>
    </row>
  </sheetData>
  <mergeCells count="25">
    <mergeCell ref="P46:Y46"/>
    <mergeCell ref="P47:Q50"/>
    <mergeCell ref="R47:R50"/>
    <mergeCell ref="S47:S50"/>
    <mergeCell ref="T47:U48"/>
    <mergeCell ref="V47:W47"/>
    <mergeCell ref="X47:X50"/>
    <mergeCell ref="P53:Q54"/>
    <mergeCell ref="T53:T54"/>
    <mergeCell ref="P57:Q58"/>
    <mergeCell ref="T57:T58"/>
    <mergeCell ref="P60:Q61"/>
    <mergeCell ref="T60:T61"/>
    <mergeCell ref="P63:Q64"/>
    <mergeCell ref="T63:T64"/>
    <mergeCell ref="P66:Q67"/>
    <mergeCell ref="T66:T67"/>
    <mergeCell ref="P70:Q71"/>
    <mergeCell ref="T70:T71"/>
    <mergeCell ref="P74:Q75"/>
    <mergeCell ref="T74:T75"/>
    <mergeCell ref="P81:Q82"/>
    <mergeCell ref="T81:T82"/>
    <mergeCell ref="P77:Q78"/>
    <mergeCell ref="T77:T78"/>
  </mergeCells>
  <hyperlinks>
    <hyperlink ref="D54" r:id="rId1" xr:uid="{E3B41FE7-77EB-DD4F-8B5B-54CBC534772B}"/>
    <hyperlink ref="D60" r:id="rId2" xr:uid="{406EF8AD-DCE2-2242-AE25-979E360650F3}"/>
    <hyperlink ref="D64" r:id="rId3" xr:uid="{D954341F-4B21-984B-91FD-65F6077BB2CC}"/>
    <hyperlink ref="D65" r:id="rId4" xr:uid="{D74B0534-2FEB-EF4C-B0A4-F9520A0BC11D}"/>
    <hyperlink ref="D66" r:id="rId5" xr:uid="{5A4A987F-D3BC-DA4E-9933-0BEA4B1F84E0}"/>
    <hyperlink ref="D67" r:id="rId6" xr:uid="{032750F7-D14D-A44F-AE0D-81188F4A4BB3}"/>
    <hyperlink ref="D68" r:id="rId7" xr:uid="{726A8578-4C68-CE41-9DE3-52F584AF5E93}"/>
    <hyperlink ref="D69" r:id="rId8" xr:uid="{62596EA7-71DB-CE44-A901-66338102CF48}"/>
    <hyperlink ref="D70" r:id="rId9" xr:uid="{A88929CC-C395-7A49-B919-BC1A0D587615}"/>
    <hyperlink ref="D34" r:id="rId10" xr:uid="{0D0B5AB2-1DAD-8F48-BA28-8C2D114B57C7}"/>
    <hyperlink ref="D37" r:id="rId11" xr:uid="{6BF5A234-8E95-7B41-86AB-C9D576475200}"/>
    <hyperlink ref="D55" r:id="rId12" xr:uid="{18B0CA19-B68E-B74F-BB18-0B3369E046F3}"/>
    <hyperlink ref="D43" r:id="rId13" xr:uid="{2C770BF0-FA63-5747-AB12-CA0864D4298C}"/>
    <hyperlink ref="D39" r:id="rId14" xr:uid="{0A05451C-9914-4849-ABBF-B54290CA006E}"/>
    <hyperlink ref="D26" r:id="rId15" xr:uid="{33829FF6-5182-4742-B043-118378D9AC08}"/>
    <hyperlink ref="D32" r:id="rId16" xr:uid="{BAD06929-54AF-E646-B6DA-E305041D007F}"/>
    <hyperlink ref="D49" r:id="rId17" xr:uid="{0F83A02F-1F15-6D46-9AF4-1C3A33916245}"/>
    <hyperlink ref="D28" r:id="rId18" xr:uid="{612C33E5-8711-DE42-BF54-E1663792D08D}"/>
    <hyperlink ref="D11" r:id="rId19" xr:uid="{1E469DB1-37A5-AD48-B9D1-215815FF6380}"/>
  </hyperlinks>
  <pageMargins left="0.7" right="0.7" top="0.75" bottom="0.75" header="0.3" footer="0.3"/>
  <legacyDrawing r:id="rId2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4:D9"/>
  <sheetViews>
    <sheetView workbookViewId="0">
      <selection activeCell="G11" sqref="G11"/>
    </sheetView>
  </sheetViews>
  <sheetFormatPr baseColWidth="10" defaultColWidth="10.83203125" defaultRowHeight="13"/>
  <cols>
    <col min="2" max="2" width="11.6640625" customWidth="1"/>
    <col min="3" max="3" width="13" bestFit="1" customWidth="1"/>
  </cols>
  <sheetData>
    <row r="4" spans="1:4" ht="20" customHeight="1">
      <c r="A4" s="400" t="s">
        <v>86</v>
      </c>
      <c r="B4" s="400" t="s">
        <v>254</v>
      </c>
      <c r="C4" s="400" t="s">
        <v>255</v>
      </c>
      <c r="D4" s="400" t="s">
        <v>256</v>
      </c>
    </row>
    <row r="5" spans="1:4" ht="20" customHeight="1">
      <c r="A5" s="400">
        <v>1</v>
      </c>
      <c r="B5" s="400" t="s">
        <v>248</v>
      </c>
      <c r="C5" s="401">
        <v>136500</v>
      </c>
      <c r="D5" s="400" t="s">
        <v>13</v>
      </c>
    </row>
    <row r="6" spans="1:4" ht="20" customHeight="1">
      <c r="A6" s="400">
        <v>2</v>
      </c>
      <c r="B6" s="400" t="s">
        <v>249</v>
      </c>
      <c r="C6" s="402" t="e">
        <f>#REF!</f>
        <v>#REF!</v>
      </c>
      <c r="D6" s="400" t="s">
        <v>10</v>
      </c>
    </row>
    <row r="7" spans="1:4" ht="20" customHeight="1">
      <c r="A7" s="400">
        <v>3</v>
      </c>
      <c r="B7" s="400" t="s">
        <v>251</v>
      </c>
      <c r="C7" s="403" t="e">
        <f>C5*C6</f>
        <v>#REF!</v>
      </c>
      <c r="D7" s="400" t="s">
        <v>250</v>
      </c>
    </row>
    <row r="8" spans="1:4" ht="20" customHeight="1">
      <c r="A8" s="400">
        <v>4</v>
      </c>
      <c r="B8" s="400" t="s">
        <v>252</v>
      </c>
      <c r="C8" s="400">
        <v>0</v>
      </c>
      <c r="D8" s="400" t="s">
        <v>250</v>
      </c>
    </row>
    <row r="9" spans="1:4" ht="20" customHeight="1">
      <c r="A9" s="400">
        <v>5</v>
      </c>
      <c r="B9" s="400" t="s">
        <v>253</v>
      </c>
      <c r="C9" s="404" t="e">
        <f>C7-C8</f>
        <v>#REF!</v>
      </c>
      <c r="D9" s="400" t="s">
        <v>250</v>
      </c>
    </row>
  </sheetData>
  <phoneticPr fontId="69" type="noConversion"/>
  <pageMargins left="0.75" right="0.75" top="1" bottom="1" header="0.5" footer="0.5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8CC1B-9BAB-6E45-BCDD-224781645B54}">
  <dimension ref="A1:Z213"/>
  <sheetViews>
    <sheetView topLeftCell="E12" zoomScaleNormal="150" zoomScalePageLayoutView="150" workbookViewId="0">
      <selection activeCell="O25" sqref="O25"/>
    </sheetView>
  </sheetViews>
  <sheetFormatPr baseColWidth="10" defaultColWidth="8.83203125" defaultRowHeight="13"/>
  <cols>
    <col min="1" max="1" width="10.6640625" style="5" customWidth="1"/>
    <col min="2" max="2" width="24.5" style="5" bestFit="1" customWidth="1"/>
    <col min="3" max="3" width="12" style="5" customWidth="1"/>
    <col min="4" max="4" width="55.83203125" style="8" customWidth="1"/>
    <col min="5" max="5" width="20.1640625" style="9" customWidth="1"/>
    <col min="6" max="6" width="8" style="5" customWidth="1"/>
    <col min="7" max="7" width="12.33203125" style="5" customWidth="1"/>
    <col min="8" max="8" width="9.6640625" style="5" customWidth="1"/>
    <col min="9" max="9" width="11" style="5" customWidth="1"/>
    <col min="10" max="10" width="13.83203125" style="5" customWidth="1"/>
    <col min="11" max="11" width="11" style="5" customWidth="1"/>
    <col min="12" max="12" width="8.1640625" style="5" customWidth="1"/>
    <col min="13" max="13" width="15.83203125" style="5" customWidth="1"/>
    <col min="14" max="14" width="19.6640625" style="5" customWidth="1"/>
    <col min="15" max="15" width="13.5" style="5" customWidth="1"/>
    <col min="16" max="16" width="10.6640625" style="5" bestFit="1" customWidth="1"/>
    <col min="17" max="17" width="25.83203125" style="5" bestFit="1" customWidth="1"/>
    <col min="18" max="18" width="8.5" style="5" bestFit="1" customWidth="1"/>
    <col min="19" max="19" width="9.6640625" style="5" bestFit="1" customWidth="1"/>
    <col min="20" max="20" width="8.33203125" style="5" bestFit="1" customWidth="1"/>
    <col min="21" max="21" width="6.83203125" style="5" bestFit="1" customWidth="1"/>
    <col min="22" max="22" width="8.33203125" style="5" bestFit="1" customWidth="1"/>
    <col min="23" max="23" width="10.1640625" style="5" customWidth="1"/>
    <col min="24" max="24" width="8.1640625" style="5" bestFit="1" customWidth="1"/>
    <col min="25" max="25" width="10" style="5" bestFit="1" customWidth="1"/>
    <col min="26" max="16384" width="8.83203125" style="5"/>
  </cols>
  <sheetData>
    <row r="1" spans="1:15" ht="56">
      <c r="A1" s="1" t="s">
        <v>73</v>
      </c>
      <c r="B1" s="1" t="s">
        <v>84</v>
      </c>
      <c r="C1" s="2" t="s">
        <v>148</v>
      </c>
      <c r="D1" s="2" t="s">
        <v>149</v>
      </c>
      <c r="E1" s="1" t="s">
        <v>22</v>
      </c>
      <c r="F1" s="3" t="s">
        <v>133</v>
      </c>
      <c r="G1" s="3" t="s">
        <v>134</v>
      </c>
      <c r="H1" s="3" t="s">
        <v>147</v>
      </c>
      <c r="I1" s="4" t="s">
        <v>150</v>
      </c>
      <c r="J1" s="497" t="s">
        <v>333</v>
      </c>
      <c r="O1" s="479"/>
    </row>
    <row r="2" spans="1:15" ht="14" thickBot="1">
      <c r="A2" s="23"/>
      <c r="I2" s="486"/>
    </row>
    <row r="3" spans="1:15">
      <c r="A3" s="26" t="s">
        <v>131</v>
      </c>
      <c r="B3" s="537" t="s">
        <v>329</v>
      </c>
      <c r="C3" s="504" t="s">
        <v>331</v>
      </c>
      <c r="D3" s="505" t="s">
        <v>294</v>
      </c>
      <c r="E3" s="506" t="s">
        <v>131</v>
      </c>
      <c r="F3" s="179">
        <v>1410</v>
      </c>
      <c r="G3" s="490">
        <v>1556240</v>
      </c>
      <c r="H3" s="507" t="s">
        <v>294</v>
      </c>
      <c r="I3" s="20" t="s">
        <v>128</v>
      </c>
      <c r="J3" s="485">
        <f>G3/$G$81</f>
        <v>1.3946208908919854E-2</v>
      </c>
    </row>
    <row r="4" spans="1:15" s="12" customFormat="1">
      <c r="A4" s="541" t="s">
        <v>131</v>
      </c>
      <c r="B4" s="538" t="s">
        <v>330</v>
      </c>
      <c r="C4" s="509" t="s">
        <v>331</v>
      </c>
      <c r="D4" s="510" t="s">
        <v>294</v>
      </c>
      <c r="E4" s="511" t="s">
        <v>131</v>
      </c>
      <c r="F4" s="12">
        <v>108</v>
      </c>
      <c r="G4" s="502">
        <v>72150</v>
      </c>
      <c r="H4" s="512" t="s">
        <v>294</v>
      </c>
      <c r="I4" s="33" t="s">
        <v>128</v>
      </c>
      <c r="J4" s="489">
        <f t="shared" ref="J4:J7" si="0">G4/$G$81</f>
        <v>6.4657056288141125E-4</v>
      </c>
    </row>
    <row r="5" spans="1:15">
      <c r="A5" s="508" t="s">
        <v>89</v>
      </c>
      <c r="B5" s="538" t="s">
        <v>312</v>
      </c>
      <c r="C5" s="509" t="s">
        <v>313</v>
      </c>
      <c r="D5" s="510" t="s">
        <v>293</v>
      </c>
      <c r="E5" s="511" t="s">
        <v>126</v>
      </c>
      <c r="F5" s="12">
        <v>340</v>
      </c>
      <c r="G5" s="502">
        <v>2298000</v>
      </c>
      <c r="H5" s="512" t="s">
        <v>294</v>
      </c>
      <c r="I5" s="33" t="s">
        <v>128</v>
      </c>
      <c r="J5" s="489">
        <f t="shared" si="0"/>
        <v>2.0593474061004619E-2</v>
      </c>
    </row>
    <row r="6" spans="1:15">
      <c r="A6" s="513" t="s">
        <v>151</v>
      </c>
      <c r="B6" s="538" t="s">
        <v>314</v>
      </c>
      <c r="C6" s="509" t="s">
        <v>313</v>
      </c>
      <c r="D6" s="510" t="s">
        <v>293</v>
      </c>
      <c r="E6" s="511" t="s">
        <v>151</v>
      </c>
      <c r="F6" s="12">
        <v>1320</v>
      </c>
      <c r="G6" s="502">
        <v>5284190</v>
      </c>
      <c r="H6" s="512" t="s">
        <v>294</v>
      </c>
      <c r="I6" s="535" t="s">
        <v>128</v>
      </c>
      <c r="J6" s="489">
        <f t="shared" si="0"/>
        <v>4.7354146953185371E-2</v>
      </c>
    </row>
    <row r="7" spans="1:15">
      <c r="A7" s="513" t="s">
        <v>151</v>
      </c>
      <c r="B7" s="538" t="s">
        <v>315</v>
      </c>
      <c r="C7" s="509" t="s">
        <v>313</v>
      </c>
      <c r="D7" s="510" t="s">
        <v>293</v>
      </c>
      <c r="E7" s="511" t="s">
        <v>151</v>
      </c>
      <c r="F7" s="12">
        <v>62</v>
      </c>
      <c r="G7" s="502"/>
      <c r="H7" s="512" t="s">
        <v>294</v>
      </c>
      <c r="I7" s="38" t="s">
        <v>86</v>
      </c>
      <c r="J7" s="489">
        <f t="shared" si="0"/>
        <v>0</v>
      </c>
    </row>
    <row r="8" spans="1:15">
      <c r="A8" s="513" t="s">
        <v>151</v>
      </c>
      <c r="B8" s="538" t="s">
        <v>316</v>
      </c>
      <c r="C8" s="509" t="s">
        <v>313</v>
      </c>
      <c r="D8" s="465" t="s">
        <v>328</v>
      </c>
      <c r="E8" s="511" t="s">
        <v>297</v>
      </c>
      <c r="F8" s="12">
        <v>1320</v>
      </c>
      <c r="G8" s="502">
        <v>7553640</v>
      </c>
      <c r="H8" s="512" t="s">
        <v>294</v>
      </c>
      <c r="I8" s="535" t="s">
        <v>128</v>
      </c>
      <c r="J8" s="489">
        <f t="shared" ref="J8:J11" si="1">G8/$G$81</f>
        <v>6.7691770846895954E-2</v>
      </c>
    </row>
    <row r="9" spans="1:15">
      <c r="A9" s="513" t="s">
        <v>151</v>
      </c>
      <c r="B9" s="538" t="s">
        <v>317</v>
      </c>
      <c r="C9" s="509" t="s">
        <v>313</v>
      </c>
      <c r="D9" s="510" t="s">
        <v>293</v>
      </c>
      <c r="E9" s="511" t="s">
        <v>151</v>
      </c>
      <c r="F9" s="12">
        <v>97</v>
      </c>
      <c r="G9" s="502">
        <v>15110</v>
      </c>
      <c r="H9" s="512" t="s">
        <v>294</v>
      </c>
      <c r="I9" s="535" t="s">
        <v>128</v>
      </c>
      <c r="J9" s="489">
        <f t="shared" si="1"/>
        <v>1.3540791691113132E-4</v>
      </c>
    </row>
    <row r="10" spans="1:15">
      <c r="A10" s="508" t="s">
        <v>89</v>
      </c>
      <c r="B10" s="538" t="s">
        <v>286</v>
      </c>
      <c r="C10" s="509" t="s">
        <v>287</v>
      </c>
      <c r="D10" s="510" t="s">
        <v>288</v>
      </c>
      <c r="E10" s="511" t="s">
        <v>126</v>
      </c>
      <c r="F10" s="12">
        <v>340</v>
      </c>
      <c r="G10" s="502">
        <v>2694000</v>
      </c>
      <c r="H10" s="512" t="s">
        <v>294</v>
      </c>
      <c r="I10" s="33" t="s">
        <v>128</v>
      </c>
      <c r="J10" s="489">
        <f t="shared" si="1"/>
        <v>2.4142218938357891E-2</v>
      </c>
    </row>
    <row r="11" spans="1:15">
      <c r="A11" s="513" t="s">
        <v>151</v>
      </c>
      <c r="B11" s="538" t="s">
        <v>289</v>
      </c>
      <c r="C11" s="509" t="s">
        <v>287</v>
      </c>
      <c r="D11" s="510" t="s">
        <v>288</v>
      </c>
      <c r="E11" s="511" t="s">
        <v>151</v>
      </c>
      <c r="F11" s="12">
        <v>1230</v>
      </c>
      <c r="G11" s="502">
        <v>6589440</v>
      </c>
      <c r="H11" s="512" t="s">
        <v>294</v>
      </c>
      <c r="I11" s="33" t="s">
        <v>128</v>
      </c>
      <c r="J11" s="489">
        <f t="shared" si="1"/>
        <v>5.9051114759158516E-2</v>
      </c>
      <c r="K11" s="61">
        <f>SUM(J3:J11)</f>
        <v>0.23356091294731474</v>
      </c>
    </row>
    <row r="12" spans="1:15">
      <c r="A12" s="513" t="s">
        <v>151</v>
      </c>
      <c r="B12" s="538" t="s">
        <v>290</v>
      </c>
      <c r="C12" s="509" t="s">
        <v>287</v>
      </c>
      <c r="D12" s="510" t="s">
        <v>288</v>
      </c>
      <c r="E12" s="511" t="s">
        <v>151</v>
      </c>
      <c r="F12" s="12">
        <v>1180</v>
      </c>
      <c r="G12" s="502">
        <v>6149750</v>
      </c>
      <c r="H12" s="512" t="s">
        <v>294</v>
      </c>
      <c r="I12" s="33" t="s">
        <v>128</v>
      </c>
      <c r="J12" s="62"/>
    </row>
    <row r="13" spans="1:15">
      <c r="A13" s="513" t="s">
        <v>151</v>
      </c>
      <c r="B13" s="499" t="s">
        <v>291</v>
      </c>
      <c r="C13" s="509" t="s">
        <v>287</v>
      </c>
      <c r="D13" s="465" t="s">
        <v>298</v>
      </c>
      <c r="E13" s="511" t="s">
        <v>297</v>
      </c>
      <c r="F13" s="12">
        <v>1320</v>
      </c>
      <c r="G13" s="502">
        <v>8220190</v>
      </c>
      <c r="H13" s="512" t="s">
        <v>294</v>
      </c>
      <c r="I13" s="33" t="s">
        <v>128</v>
      </c>
      <c r="J13" s="62"/>
    </row>
    <row r="14" spans="1:15">
      <c r="A14" s="513" t="s">
        <v>151</v>
      </c>
      <c r="B14" s="499" t="s">
        <v>292</v>
      </c>
      <c r="C14" s="509" t="s">
        <v>287</v>
      </c>
      <c r="D14" s="510" t="s">
        <v>288</v>
      </c>
      <c r="E14" s="511" t="s">
        <v>151</v>
      </c>
      <c r="F14" s="12">
        <v>11</v>
      </c>
      <c r="G14" s="502"/>
      <c r="H14" s="512" t="s">
        <v>294</v>
      </c>
      <c r="I14" s="38" t="s">
        <v>86</v>
      </c>
      <c r="J14" s="62"/>
    </row>
    <row r="15" spans="1:15" s="12" customFormat="1">
      <c r="A15" s="498" t="s">
        <v>132</v>
      </c>
      <c r="B15" s="499" t="s">
        <v>283</v>
      </c>
      <c r="C15" s="142" t="s">
        <v>284</v>
      </c>
      <c r="D15" s="500" t="s">
        <v>285</v>
      </c>
      <c r="E15" s="501" t="s">
        <v>151</v>
      </c>
      <c r="F15" s="12">
        <v>425</v>
      </c>
      <c r="G15" s="502">
        <v>1784290</v>
      </c>
      <c r="H15" s="512" t="s">
        <v>294</v>
      </c>
      <c r="I15" s="33" t="s">
        <v>128</v>
      </c>
      <c r="J15" s="62"/>
    </row>
    <row r="16" spans="1:15">
      <c r="A16" s="26" t="s">
        <v>131</v>
      </c>
      <c r="B16" s="540" t="s">
        <v>282</v>
      </c>
      <c r="C16" s="142" t="s">
        <v>281</v>
      </c>
      <c r="D16" s="487" t="s">
        <v>279</v>
      </c>
      <c r="E16" s="110" t="s">
        <v>195</v>
      </c>
      <c r="F16" s="7">
        <v>130</v>
      </c>
      <c r="G16" s="488">
        <v>594420</v>
      </c>
      <c r="H16" s="512" t="s">
        <v>294</v>
      </c>
      <c r="I16" s="33" t="s">
        <v>128</v>
      </c>
      <c r="J16" s="62"/>
    </row>
    <row r="17" spans="1:22">
      <c r="A17" s="34" t="s">
        <v>132</v>
      </c>
      <c r="B17" s="539" t="s">
        <v>261</v>
      </c>
      <c r="C17" s="449" t="s">
        <v>262</v>
      </c>
      <c r="D17" s="487" t="s">
        <v>279</v>
      </c>
      <c r="E17" s="135"/>
      <c r="F17" s="23">
        <v>404</v>
      </c>
      <c r="G17" s="464">
        <v>3014510</v>
      </c>
      <c r="H17" s="512" t="s">
        <v>294</v>
      </c>
      <c r="I17" s="33" t="s">
        <v>128</v>
      </c>
      <c r="J17" s="62"/>
    </row>
    <row r="18" spans="1:22">
      <c r="A18" s="26" t="s">
        <v>131</v>
      </c>
      <c r="B18" s="539" t="s">
        <v>258</v>
      </c>
      <c r="C18" s="449" t="s">
        <v>262</v>
      </c>
      <c r="D18" s="487" t="s">
        <v>279</v>
      </c>
      <c r="E18" s="135" t="s">
        <v>195</v>
      </c>
      <c r="F18" s="23">
        <v>22</v>
      </c>
      <c r="G18" s="464">
        <v>135990</v>
      </c>
      <c r="H18" s="512" t="s">
        <v>294</v>
      </c>
      <c r="I18" s="33" t="s">
        <v>128</v>
      </c>
      <c r="J18" s="62"/>
    </row>
    <row r="19" spans="1:22">
      <c r="A19" s="26" t="s">
        <v>131</v>
      </c>
      <c r="B19" s="539" t="s">
        <v>259</v>
      </c>
      <c r="C19" s="449" t="s">
        <v>262</v>
      </c>
      <c r="D19" s="487" t="s">
        <v>279</v>
      </c>
      <c r="E19" s="135" t="s">
        <v>131</v>
      </c>
      <c r="F19" s="23">
        <v>17.399999999999999</v>
      </c>
      <c r="G19" s="464">
        <v>32680</v>
      </c>
      <c r="H19" s="512" t="s">
        <v>294</v>
      </c>
      <c r="I19" s="33" t="s">
        <v>128</v>
      </c>
      <c r="J19" s="62"/>
    </row>
    <row r="20" spans="1:22">
      <c r="A20" s="26" t="s">
        <v>131</v>
      </c>
      <c r="B20" s="539" t="s">
        <v>191</v>
      </c>
      <c r="C20" s="449" t="s">
        <v>226</v>
      </c>
      <c r="D20" s="465" t="s">
        <v>242</v>
      </c>
      <c r="E20" s="135" t="s">
        <v>195</v>
      </c>
      <c r="F20" s="23">
        <v>96</v>
      </c>
      <c r="G20" s="464">
        <v>225630</v>
      </c>
      <c r="H20" s="512" t="s">
        <v>294</v>
      </c>
      <c r="I20" s="33" t="s">
        <v>128</v>
      </c>
      <c r="J20" s="62"/>
      <c r="L20" s="22"/>
      <c r="M20" s="23"/>
    </row>
    <row r="21" spans="1:22">
      <c r="A21" s="26" t="s">
        <v>131</v>
      </c>
      <c r="B21" s="539" t="s">
        <v>192</v>
      </c>
      <c r="C21" s="449" t="s">
        <v>226</v>
      </c>
      <c r="D21" s="463" t="s">
        <v>196</v>
      </c>
      <c r="E21" s="135" t="s">
        <v>195</v>
      </c>
      <c r="F21" s="23">
        <v>121</v>
      </c>
      <c r="G21" s="464">
        <v>462090</v>
      </c>
      <c r="H21" s="512" t="s">
        <v>294</v>
      </c>
      <c r="I21" s="33" t="s">
        <v>128</v>
      </c>
      <c r="J21" s="62"/>
      <c r="L21" s="22"/>
      <c r="M21" s="23"/>
      <c r="N21" s="23"/>
    </row>
    <row r="22" spans="1:22">
      <c r="A22" s="26" t="s">
        <v>131</v>
      </c>
      <c r="B22" s="539" t="s">
        <v>190</v>
      </c>
      <c r="C22" s="449" t="s">
        <v>227</v>
      </c>
      <c r="D22" s="463" t="s">
        <v>196</v>
      </c>
      <c r="E22" s="135" t="s">
        <v>195</v>
      </c>
      <c r="F22" s="23">
        <v>72</v>
      </c>
      <c r="G22" s="464">
        <v>237740</v>
      </c>
      <c r="H22" s="512" t="s">
        <v>294</v>
      </c>
      <c r="I22" s="33" t="s">
        <v>128</v>
      </c>
      <c r="J22" s="62"/>
      <c r="L22" s="22"/>
      <c r="M22" s="23"/>
      <c r="N22" s="23"/>
    </row>
    <row r="23" spans="1:22" ht="14" thickBot="1">
      <c r="A23" s="34" t="s">
        <v>132</v>
      </c>
      <c r="B23" s="539" t="s">
        <v>193</v>
      </c>
      <c r="C23" s="449">
        <v>40556</v>
      </c>
      <c r="D23" s="465" t="s">
        <v>201</v>
      </c>
      <c r="E23" s="135"/>
      <c r="F23" s="23">
        <v>200</v>
      </c>
      <c r="G23" s="464">
        <v>776260</v>
      </c>
      <c r="H23" s="512" t="s">
        <v>294</v>
      </c>
      <c r="I23" s="33" t="s">
        <v>128</v>
      </c>
      <c r="J23" s="62"/>
      <c r="L23" s="22"/>
      <c r="M23" s="23"/>
      <c r="N23" s="23"/>
    </row>
    <row r="24" spans="1:22" ht="32" customHeight="1" thickTop="1">
      <c r="A24" s="34" t="s">
        <v>132</v>
      </c>
      <c r="B24" s="539" t="s">
        <v>153</v>
      </c>
      <c r="C24" s="449">
        <v>40710</v>
      </c>
      <c r="D24" s="484" t="s">
        <v>200</v>
      </c>
      <c r="E24" s="135" t="s">
        <v>158</v>
      </c>
      <c r="F24" s="23">
        <v>225</v>
      </c>
      <c r="G24" s="464">
        <v>612910</v>
      </c>
      <c r="H24" s="512" t="s">
        <v>294</v>
      </c>
      <c r="I24" s="33" t="s">
        <v>128</v>
      </c>
      <c r="J24" s="62"/>
      <c r="M24" s="515" t="s">
        <v>327</v>
      </c>
      <c r="N24" s="41"/>
      <c r="O24" s="483">
        <f>G81</f>
        <v>111588748.61</v>
      </c>
      <c r="P24" s="531" t="s">
        <v>13</v>
      </c>
      <c r="Q24" s="41"/>
      <c r="R24" s="41"/>
      <c r="S24" s="43"/>
    </row>
    <row r="25" spans="1:22">
      <c r="A25" s="34" t="s">
        <v>132</v>
      </c>
      <c r="B25" s="539" t="s">
        <v>152</v>
      </c>
      <c r="C25" s="449">
        <v>40679</v>
      </c>
      <c r="D25" s="465" t="s">
        <v>137</v>
      </c>
      <c r="E25" s="135" t="s">
        <v>158</v>
      </c>
      <c r="F25" s="23">
        <v>185</v>
      </c>
      <c r="G25" s="464">
        <v>1331790</v>
      </c>
      <c r="H25" s="512" t="s">
        <v>294</v>
      </c>
      <c r="I25" s="33" t="s">
        <v>128</v>
      </c>
      <c r="J25" s="62"/>
      <c r="L25" s="22"/>
      <c r="M25" s="46" t="s">
        <v>146</v>
      </c>
      <c r="O25" s="479">
        <f>W85*1000</f>
        <v>25259672.669102434</v>
      </c>
      <c r="P25" s="48" t="s">
        <v>13</v>
      </c>
      <c r="Q25" s="22"/>
      <c r="S25" s="480"/>
      <c r="T25" s="22"/>
      <c r="U25" s="22"/>
      <c r="V25" s="23"/>
    </row>
    <row r="26" spans="1:22">
      <c r="A26" s="34" t="s">
        <v>151</v>
      </c>
      <c r="B26" s="539" t="s">
        <v>204</v>
      </c>
      <c r="C26" s="133">
        <v>40655</v>
      </c>
      <c r="D26" s="465" t="s">
        <v>137</v>
      </c>
      <c r="E26" s="135" t="s">
        <v>38</v>
      </c>
      <c r="F26" s="23">
        <v>219</v>
      </c>
      <c r="G26" s="462">
        <v>636130</v>
      </c>
      <c r="H26" s="512" t="s">
        <v>294</v>
      </c>
      <c r="I26" s="33" t="s">
        <v>128</v>
      </c>
      <c r="J26" s="62"/>
      <c r="L26" s="22"/>
      <c r="M26" s="46"/>
      <c r="O26" s="479"/>
      <c r="P26" s="48"/>
      <c r="Q26" s="22"/>
      <c r="S26" s="480"/>
      <c r="T26" s="22"/>
      <c r="U26" s="22"/>
      <c r="V26" s="23"/>
    </row>
    <row r="27" spans="1:22">
      <c r="A27" s="53" t="s">
        <v>89</v>
      </c>
      <c r="B27" s="23" t="s">
        <v>155</v>
      </c>
      <c r="C27" s="133">
        <v>40570</v>
      </c>
      <c r="D27" s="465" t="s">
        <v>140</v>
      </c>
      <c r="E27" s="135" t="s">
        <v>126</v>
      </c>
      <c r="F27" s="23">
        <v>325</v>
      </c>
      <c r="G27" s="464">
        <v>2448000</v>
      </c>
      <c r="H27" s="512" t="s">
        <v>294</v>
      </c>
      <c r="I27" s="33" t="s">
        <v>128</v>
      </c>
      <c r="J27" s="62"/>
      <c r="L27" s="22"/>
      <c r="M27" s="46"/>
      <c r="O27" s="479"/>
      <c r="P27" s="48"/>
      <c r="Q27" s="22"/>
      <c r="S27" s="480"/>
      <c r="T27" s="22"/>
      <c r="U27" s="22"/>
      <c r="V27" s="23"/>
    </row>
    <row r="28" spans="1:22">
      <c r="A28" s="34" t="s">
        <v>132</v>
      </c>
      <c r="B28" s="23" t="s">
        <v>280</v>
      </c>
      <c r="C28" s="449">
        <v>40455</v>
      </c>
      <c r="D28" s="465" t="s">
        <v>137</v>
      </c>
      <c r="E28" s="135" t="s">
        <v>158</v>
      </c>
      <c r="F28" s="23">
        <v>212</v>
      </c>
      <c r="G28" s="464">
        <v>830500</v>
      </c>
      <c r="H28" s="512" t="s">
        <v>294</v>
      </c>
      <c r="I28" s="33" t="s">
        <v>128</v>
      </c>
      <c r="J28" s="62"/>
      <c r="L28" s="22"/>
      <c r="M28" s="529" t="s">
        <v>300</v>
      </c>
      <c r="O28" s="481">
        <f>Y89*O32</f>
        <v>5275462.1760000009</v>
      </c>
      <c r="P28" s="48" t="s">
        <v>9</v>
      </c>
      <c r="Q28" s="22"/>
      <c r="S28" s="480"/>
      <c r="T28" s="22"/>
      <c r="U28" s="22"/>
      <c r="V28" s="482"/>
    </row>
    <row r="29" spans="1:22">
      <c r="A29" s="34" t="s">
        <v>132</v>
      </c>
      <c r="B29" s="23" t="s">
        <v>198</v>
      </c>
      <c r="C29" s="449">
        <v>40380</v>
      </c>
      <c r="D29" s="465" t="s">
        <v>137</v>
      </c>
      <c r="E29" s="135" t="s">
        <v>157</v>
      </c>
      <c r="F29" s="23">
        <v>200</v>
      </c>
      <c r="G29" s="464">
        <v>599738.61</v>
      </c>
      <c r="H29" s="512" t="s">
        <v>294</v>
      </c>
      <c r="I29" s="33" t="s">
        <v>128</v>
      </c>
      <c r="J29" s="62"/>
      <c r="M29" s="46" t="s">
        <v>228</v>
      </c>
      <c r="O29" s="481">
        <f>Y86*O33</f>
        <v>9126.4399999999987</v>
      </c>
      <c r="P29" s="48" t="s">
        <v>9</v>
      </c>
      <c r="Q29" s="22"/>
      <c r="S29" s="480"/>
      <c r="T29" s="22"/>
      <c r="U29" s="22"/>
      <c r="V29" s="23"/>
    </row>
    <row r="30" spans="1:22">
      <c r="A30" s="34" t="s">
        <v>132</v>
      </c>
      <c r="B30" s="23" t="s">
        <v>206</v>
      </c>
      <c r="C30" s="449">
        <v>40338</v>
      </c>
      <c r="D30" s="516" t="s">
        <v>137</v>
      </c>
      <c r="E30" s="135" t="s">
        <v>158</v>
      </c>
      <c r="F30" s="23">
        <v>200</v>
      </c>
      <c r="G30" s="464">
        <v>693840</v>
      </c>
      <c r="H30" s="512" t="s">
        <v>294</v>
      </c>
      <c r="I30" s="33" t="s">
        <v>128</v>
      </c>
      <c r="J30" s="62"/>
      <c r="M30" s="46" t="s">
        <v>88</v>
      </c>
      <c r="O30" s="479">
        <f>Y87*O34</f>
        <v>4436692.2719999999</v>
      </c>
      <c r="P30" s="48" t="s">
        <v>9</v>
      </c>
      <c r="Q30" s="22"/>
      <c r="S30" s="480"/>
      <c r="T30" s="22"/>
      <c r="U30" s="22"/>
      <c r="V30" s="23"/>
    </row>
    <row r="31" spans="1:22">
      <c r="A31" s="34" t="s">
        <v>132</v>
      </c>
      <c r="B31" s="23" t="s">
        <v>75</v>
      </c>
      <c r="C31" s="449">
        <v>40322</v>
      </c>
      <c r="D31" s="465" t="s">
        <v>137</v>
      </c>
      <c r="E31" s="135" t="s">
        <v>159</v>
      </c>
      <c r="F31" s="23">
        <v>213</v>
      </c>
      <c r="G31" s="464">
        <v>877840</v>
      </c>
      <c r="H31" s="512" t="s">
        <v>294</v>
      </c>
      <c r="I31" s="33" t="s">
        <v>128</v>
      </c>
      <c r="J31" s="62"/>
      <c r="M31" s="46" t="s">
        <v>216</v>
      </c>
      <c r="O31" s="479">
        <f>Y88*O35</f>
        <v>7329.4434782608696</v>
      </c>
      <c r="P31" s="48" t="s">
        <v>9</v>
      </c>
      <c r="S31" s="57"/>
      <c r="T31" s="22"/>
      <c r="U31" s="22"/>
      <c r="V31" s="23"/>
    </row>
    <row r="32" spans="1:22">
      <c r="A32" s="34" t="s">
        <v>132</v>
      </c>
      <c r="B32" s="23" t="s">
        <v>76</v>
      </c>
      <c r="C32" s="449">
        <v>40295</v>
      </c>
      <c r="D32" s="465" t="s">
        <v>137</v>
      </c>
      <c r="E32" s="135" t="s">
        <v>158</v>
      </c>
      <c r="F32" s="23">
        <v>229</v>
      </c>
      <c r="G32" s="464">
        <v>828200</v>
      </c>
      <c r="H32" s="512" t="s">
        <v>294</v>
      </c>
      <c r="I32" s="33" t="s">
        <v>128</v>
      </c>
      <c r="J32" s="62"/>
      <c r="M32" s="529" t="s">
        <v>55</v>
      </c>
      <c r="O32" s="5">
        <v>87.3</v>
      </c>
      <c r="P32" s="48" t="s">
        <v>4</v>
      </c>
      <c r="Q32" s="530" t="s">
        <v>301</v>
      </c>
      <c r="S32" s="57"/>
      <c r="T32" s="22"/>
      <c r="U32" s="22"/>
      <c r="V32" s="23"/>
    </row>
    <row r="33" spans="1:26" ht="12.75" customHeight="1">
      <c r="A33" s="34" t="s">
        <v>132</v>
      </c>
      <c r="B33" s="23" t="s">
        <v>77</v>
      </c>
      <c r="C33" s="449">
        <v>40264</v>
      </c>
      <c r="D33" s="465" t="s">
        <v>137</v>
      </c>
      <c r="E33" s="135" t="s">
        <v>158</v>
      </c>
      <c r="F33" s="23">
        <v>217</v>
      </c>
      <c r="G33" s="464">
        <v>1385120</v>
      </c>
      <c r="H33" s="512" t="s">
        <v>294</v>
      </c>
      <c r="I33" s="33" t="s">
        <v>128</v>
      </c>
      <c r="J33" s="62"/>
      <c r="M33" s="46" t="s">
        <v>232</v>
      </c>
      <c r="O33" s="58">
        <v>75.5</v>
      </c>
      <c r="P33" s="48" t="s">
        <v>4</v>
      </c>
      <c r="Q33" s="530" t="s">
        <v>301</v>
      </c>
      <c r="S33" s="57"/>
      <c r="U33" s="22"/>
      <c r="V33" s="23"/>
    </row>
    <row r="34" spans="1:26">
      <c r="A34" s="34" t="s">
        <v>132</v>
      </c>
      <c r="B34" s="23" t="s">
        <v>78</v>
      </c>
      <c r="C34" s="449">
        <v>40165</v>
      </c>
      <c r="D34" s="59" t="s">
        <v>137</v>
      </c>
      <c r="E34" s="135" t="s">
        <v>158</v>
      </c>
      <c r="F34" s="23">
        <v>219</v>
      </c>
      <c r="G34" s="464">
        <v>668020</v>
      </c>
      <c r="H34" s="512" t="s">
        <v>294</v>
      </c>
      <c r="I34" s="33" t="s">
        <v>128</v>
      </c>
      <c r="J34" s="62"/>
      <c r="M34" s="46" t="s">
        <v>3</v>
      </c>
      <c r="O34" s="58">
        <v>54.3</v>
      </c>
      <c r="P34" s="48" t="s">
        <v>4</v>
      </c>
      <c r="Q34" s="530" t="s">
        <v>301</v>
      </c>
      <c r="S34" s="60"/>
      <c r="U34" s="22"/>
      <c r="V34" s="23"/>
    </row>
    <row r="35" spans="1:26">
      <c r="A35" s="34" t="s">
        <v>132</v>
      </c>
      <c r="B35" s="23" t="s">
        <v>79</v>
      </c>
      <c r="C35" s="449">
        <v>39889</v>
      </c>
      <c r="D35" s="465" t="s">
        <v>137</v>
      </c>
      <c r="E35" s="135" t="s">
        <v>135</v>
      </c>
      <c r="F35" s="23">
        <v>165</v>
      </c>
      <c r="G35" s="464">
        <v>519070</v>
      </c>
      <c r="H35" s="512" t="s">
        <v>294</v>
      </c>
      <c r="I35" s="33" t="s">
        <v>128</v>
      </c>
      <c r="J35" s="62"/>
      <c r="M35" s="46" t="s">
        <v>214</v>
      </c>
      <c r="O35" s="5">
        <v>72.599999999999994</v>
      </c>
      <c r="P35" s="48" t="s">
        <v>4</v>
      </c>
      <c r="Q35" s="530" t="s">
        <v>301</v>
      </c>
      <c r="S35" s="60"/>
      <c r="V35" s="23"/>
    </row>
    <row r="36" spans="1:26">
      <c r="A36" s="26" t="s">
        <v>131</v>
      </c>
      <c r="B36" s="23" t="s">
        <v>80</v>
      </c>
      <c r="C36" s="449">
        <v>37803</v>
      </c>
      <c r="D36" s="465" t="s">
        <v>136</v>
      </c>
      <c r="E36" s="135" t="s">
        <v>131</v>
      </c>
      <c r="F36" s="23">
        <v>1450</v>
      </c>
      <c r="G36" s="464">
        <v>6552140</v>
      </c>
      <c r="H36" s="512" t="s">
        <v>294</v>
      </c>
      <c r="I36" s="33" t="s">
        <v>128</v>
      </c>
      <c r="J36" s="62"/>
      <c r="K36" s="61"/>
      <c r="M36" s="54"/>
      <c r="S36" s="60"/>
      <c r="U36" s="22"/>
      <c r="V36" s="23"/>
    </row>
    <row r="37" spans="1:26" ht="21" thickBot="1">
      <c r="A37" s="34" t="s">
        <v>132</v>
      </c>
      <c r="B37" s="23" t="s">
        <v>81</v>
      </c>
      <c r="C37" s="449">
        <v>37144</v>
      </c>
      <c r="D37" s="465" t="s">
        <v>137</v>
      </c>
      <c r="E37" s="135" t="s">
        <v>158</v>
      </c>
      <c r="F37" s="23">
        <v>235</v>
      </c>
      <c r="G37" s="464">
        <v>1307610</v>
      </c>
      <c r="H37" s="512" t="s">
        <v>294</v>
      </c>
      <c r="I37" s="33" t="s">
        <v>128</v>
      </c>
      <c r="J37" s="62"/>
      <c r="M37" s="421" t="s">
        <v>326</v>
      </c>
      <c r="N37" s="64"/>
      <c r="O37" s="65">
        <f>(O29+O30+O31+O28)/O25</f>
        <v>0.38514395886761721</v>
      </c>
      <c r="P37" s="66" t="s">
        <v>10</v>
      </c>
      <c r="Q37" s="67"/>
      <c r="R37" s="68"/>
      <c r="S37" s="69"/>
      <c r="V37" s="23"/>
    </row>
    <row r="38" spans="1:26" ht="14" thickTop="1">
      <c r="A38" s="34" t="s">
        <v>132</v>
      </c>
      <c r="B38" s="23" t="s">
        <v>82</v>
      </c>
      <c r="C38" s="449">
        <v>37048</v>
      </c>
      <c r="D38" s="465" t="s">
        <v>137</v>
      </c>
      <c r="E38" s="135" t="s">
        <v>38</v>
      </c>
      <c r="F38" s="23">
        <v>31</v>
      </c>
      <c r="G38" s="464">
        <v>21030</v>
      </c>
      <c r="H38" s="512" t="s">
        <v>294</v>
      </c>
      <c r="I38" s="33" t="s">
        <v>128</v>
      </c>
      <c r="J38" s="62"/>
      <c r="U38" s="22"/>
      <c r="V38" s="23"/>
    </row>
    <row r="39" spans="1:26">
      <c r="A39" s="26" t="s">
        <v>131</v>
      </c>
      <c r="B39" s="23" t="s">
        <v>83</v>
      </c>
      <c r="C39" s="449">
        <v>37043</v>
      </c>
      <c r="D39" s="465" t="s">
        <v>136</v>
      </c>
      <c r="E39" s="135" t="s">
        <v>131</v>
      </c>
      <c r="F39" s="23">
        <v>184</v>
      </c>
      <c r="G39" s="464">
        <v>767160</v>
      </c>
      <c r="H39" s="512" t="s">
        <v>294</v>
      </c>
      <c r="I39" s="33" t="s">
        <v>128</v>
      </c>
      <c r="J39" s="62"/>
      <c r="Q39" s="48"/>
      <c r="S39" s="48"/>
      <c r="U39" s="22"/>
      <c r="V39" s="23"/>
    </row>
    <row r="40" spans="1:26">
      <c r="A40" s="34" t="s">
        <v>132</v>
      </c>
      <c r="B40" s="23" t="s">
        <v>90</v>
      </c>
      <c r="C40" s="449">
        <v>36817</v>
      </c>
      <c r="D40" s="465" t="s">
        <v>137</v>
      </c>
      <c r="E40" s="135" t="s">
        <v>158</v>
      </c>
      <c r="F40" s="23">
        <v>586</v>
      </c>
      <c r="G40" s="464">
        <v>3983340</v>
      </c>
      <c r="H40" s="512" t="s">
        <v>294</v>
      </c>
      <c r="I40" s="33" t="s">
        <v>128</v>
      </c>
      <c r="J40" s="62"/>
      <c r="M40" s="70"/>
      <c r="N40" s="478"/>
      <c r="O40" s="477"/>
      <c r="P40" s="70"/>
      <c r="Q40" s="48"/>
      <c r="S40" s="48"/>
      <c r="U40" s="22"/>
      <c r="V40" s="23"/>
    </row>
    <row r="41" spans="1:26">
      <c r="A41" s="53" t="s">
        <v>89</v>
      </c>
      <c r="B41" s="23" t="s">
        <v>154</v>
      </c>
      <c r="C41" s="449">
        <v>36683</v>
      </c>
      <c r="D41" s="465" t="s">
        <v>140</v>
      </c>
      <c r="E41" s="135" t="s">
        <v>126</v>
      </c>
      <c r="F41" s="23">
        <v>325</v>
      </c>
      <c r="G41" s="464">
        <v>2294000</v>
      </c>
      <c r="H41" s="512" t="s">
        <v>294</v>
      </c>
      <c r="I41" s="33" t="s">
        <v>128</v>
      </c>
      <c r="J41" s="62"/>
      <c r="M41" s="70"/>
      <c r="N41" s="478"/>
      <c r="O41" s="477"/>
      <c r="P41" s="70"/>
      <c r="Q41" s="48"/>
      <c r="S41" s="48"/>
      <c r="U41" s="22"/>
      <c r="V41" s="23"/>
    </row>
    <row r="42" spans="1:26">
      <c r="A42" s="34" t="s">
        <v>132</v>
      </c>
      <c r="B42" s="23" t="s">
        <v>91</v>
      </c>
      <c r="C42" s="449">
        <v>36599</v>
      </c>
      <c r="D42" s="465" t="s">
        <v>137</v>
      </c>
      <c r="E42" s="135" t="s">
        <v>38</v>
      </c>
      <c r="F42" s="23">
        <v>135</v>
      </c>
      <c r="G42" s="464"/>
      <c r="H42" s="512" t="s">
        <v>294</v>
      </c>
      <c r="I42" s="38" t="s">
        <v>86</v>
      </c>
      <c r="J42" s="62"/>
      <c r="M42" s="48"/>
      <c r="Q42" s="73"/>
      <c r="R42" s="48"/>
      <c r="U42" s="22"/>
      <c r="V42" s="23"/>
    </row>
    <row r="43" spans="1:26">
      <c r="A43" s="34" t="s">
        <v>132</v>
      </c>
      <c r="B43" s="23" t="s">
        <v>92</v>
      </c>
      <c r="C43" s="449">
        <v>36525</v>
      </c>
      <c r="D43" s="465" t="s">
        <v>137</v>
      </c>
      <c r="E43" s="135"/>
      <c r="F43" s="23">
        <v>134</v>
      </c>
      <c r="G43" s="464">
        <v>242560</v>
      </c>
      <c r="H43" s="512" t="s">
        <v>294</v>
      </c>
      <c r="I43" s="33" t="s">
        <v>128</v>
      </c>
      <c r="J43" s="62"/>
      <c r="M43" s="48"/>
      <c r="Q43" s="73"/>
      <c r="R43" s="48"/>
      <c r="S43" s="48"/>
      <c r="U43" s="22"/>
      <c r="V43" s="23"/>
    </row>
    <row r="44" spans="1:26" ht="14">
      <c r="A44" s="34" t="s">
        <v>132</v>
      </c>
      <c r="B44" s="23" t="s">
        <v>93</v>
      </c>
      <c r="C44" s="449">
        <v>36505</v>
      </c>
      <c r="D44" s="465" t="s">
        <v>137</v>
      </c>
      <c r="E44" s="135"/>
      <c r="F44" s="23">
        <v>450</v>
      </c>
      <c r="G44" s="464">
        <v>1035850</v>
      </c>
      <c r="H44" s="512" t="s">
        <v>294</v>
      </c>
      <c r="I44" s="33" t="s">
        <v>128</v>
      </c>
      <c r="J44" s="62"/>
      <c r="P44" s="22"/>
      <c r="Q44" s="22"/>
      <c r="R44" s="22"/>
      <c r="S44" s="22"/>
      <c r="T44" s="22"/>
      <c r="U44" s="75"/>
      <c r="V44" s="22"/>
    </row>
    <row r="45" spans="1:26">
      <c r="A45" s="34" t="s">
        <v>132</v>
      </c>
      <c r="B45" s="23" t="s">
        <v>94</v>
      </c>
      <c r="C45" s="449">
        <v>36454</v>
      </c>
      <c r="D45" s="465" t="s">
        <v>137</v>
      </c>
      <c r="E45" s="135"/>
      <c r="F45" s="23">
        <v>157</v>
      </c>
      <c r="G45" s="464">
        <v>581130</v>
      </c>
      <c r="H45" s="512" t="s">
        <v>294</v>
      </c>
      <c r="I45" s="33" t="s">
        <v>128</v>
      </c>
      <c r="J45" s="62"/>
      <c r="U45" s="22"/>
      <c r="V45" s="22"/>
    </row>
    <row r="46" spans="1:26">
      <c r="A46" s="34" t="s">
        <v>132</v>
      </c>
      <c r="B46" s="23" t="s">
        <v>95</v>
      </c>
      <c r="C46" s="449">
        <v>36414</v>
      </c>
      <c r="D46" s="465" t="s">
        <v>137</v>
      </c>
      <c r="E46" s="135"/>
      <c r="F46" s="23">
        <v>140</v>
      </c>
      <c r="G46" s="464">
        <v>719050</v>
      </c>
      <c r="H46" s="512" t="s">
        <v>294</v>
      </c>
      <c r="I46" s="33" t="s">
        <v>128</v>
      </c>
      <c r="J46" s="62"/>
      <c r="U46" s="22"/>
      <c r="V46" s="22"/>
    </row>
    <row r="47" spans="1:26">
      <c r="A47" s="34" t="s">
        <v>132</v>
      </c>
      <c r="B47" s="23" t="s">
        <v>96</v>
      </c>
      <c r="C47" s="449">
        <v>36353</v>
      </c>
      <c r="D47" s="465" t="s">
        <v>137</v>
      </c>
      <c r="E47" s="135"/>
      <c r="F47" s="23">
        <v>135</v>
      </c>
      <c r="G47" s="473"/>
      <c r="H47" s="512" t="s">
        <v>294</v>
      </c>
      <c r="I47" s="38" t="s">
        <v>86</v>
      </c>
      <c r="J47" s="62"/>
      <c r="O47" s="76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8"/>
    </row>
    <row r="48" spans="1:26" ht="13" customHeight="1">
      <c r="A48" s="34" t="s">
        <v>132</v>
      </c>
      <c r="B48" s="23" t="s">
        <v>97</v>
      </c>
      <c r="C48" s="449">
        <v>35827</v>
      </c>
      <c r="D48" s="465" t="s">
        <v>137</v>
      </c>
      <c r="E48" s="135"/>
      <c r="F48" s="23">
        <v>365</v>
      </c>
      <c r="G48" s="464">
        <v>495560</v>
      </c>
      <c r="H48" s="512" t="s">
        <v>294</v>
      </c>
      <c r="I48" s="33" t="s">
        <v>128</v>
      </c>
      <c r="J48" s="62"/>
      <c r="O48" s="24"/>
      <c r="P48" s="668" t="s">
        <v>332</v>
      </c>
      <c r="Q48" s="669"/>
      <c r="R48" s="669"/>
      <c r="S48" s="669"/>
      <c r="T48" s="669"/>
      <c r="U48" s="669"/>
      <c r="V48" s="669"/>
      <c r="W48" s="669"/>
      <c r="X48" s="669"/>
      <c r="Y48" s="670"/>
      <c r="Z48" s="25"/>
    </row>
    <row r="49" spans="1:26" ht="28">
      <c r="A49" s="34" t="s">
        <v>132</v>
      </c>
      <c r="B49" s="23" t="s">
        <v>98</v>
      </c>
      <c r="C49" s="449">
        <v>35740</v>
      </c>
      <c r="D49" s="465" t="s">
        <v>137</v>
      </c>
      <c r="E49" s="135" t="s">
        <v>85</v>
      </c>
      <c r="F49" s="23">
        <v>360</v>
      </c>
      <c r="G49" s="464">
        <v>613800</v>
      </c>
      <c r="H49" s="512" t="s">
        <v>294</v>
      </c>
      <c r="I49" s="33" t="s">
        <v>128</v>
      </c>
      <c r="J49" s="62"/>
      <c r="O49" s="24"/>
      <c r="P49" s="633" t="s">
        <v>20</v>
      </c>
      <c r="Q49" s="634"/>
      <c r="R49" s="639" t="s">
        <v>21</v>
      </c>
      <c r="S49" s="639" t="s">
        <v>22</v>
      </c>
      <c r="T49" s="642" t="s">
        <v>67</v>
      </c>
      <c r="U49" s="643"/>
      <c r="V49" s="633" t="s">
        <v>23</v>
      </c>
      <c r="W49" s="634"/>
      <c r="X49" s="646" t="s">
        <v>130</v>
      </c>
      <c r="Y49" s="422" t="s">
        <v>25</v>
      </c>
      <c r="Z49" s="25"/>
    </row>
    <row r="50" spans="1:26">
      <c r="A50" s="34" t="s">
        <v>132</v>
      </c>
      <c r="B50" s="23" t="s">
        <v>99</v>
      </c>
      <c r="C50" s="449">
        <v>35601</v>
      </c>
      <c r="D50" s="465" t="s">
        <v>137</v>
      </c>
      <c r="E50" s="135"/>
      <c r="F50" s="23">
        <v>131</v>
      </c>
      <c r="G50" s="464">
        <v>399890</v>
      </c>
      <c r="H50" s="512" t="s">
        <v>294</v>
      </c>
      <c r="I50" s="33" t="s">
        <v>128</v>
      </c>
      <c r="J50" s="62"/>
      <c r="O50" s="24"/>
      <c r="P50" s="635"/>
      <c r="Q50" s="636"/>
      <c r="R50" s="640"/>
      <c r="S50" s="640"/>
      <c r="T50" s="644"/>
      <c r="U50" s="645"/>
      <c r="V50" s="476" t="s">
        <v>66</v>
      </c>
      <c r="W50" s="476" t="s">
        <v>26</v>
      </c>
      <c r="X50" s="647"/>
      <c r="Y50" s="82" t="s">
        <v>16</v>
      </c>
      <c r="Z50" s="25"/>
    </row>
    <row r="51" spans="1:26" ht="26" customHeight="1">
      <c r="A51" s="34" t="s">
        <v>132</v>
      </c>
      <c r="B51" s="23" t="s">
        <v>100</v>
      </c>
      <c r="C51" s="449">
        <v>35520</v>
      </c>
      <c r="D51" s="59" t="s">
        <v>137</v>
      </c>
      <c r="E51" s="135"/>
      <c r="F51" s="23">
        <v>1292</v>
      </c>
      <c r="G51" s="464">
        <v>827000</v>
      </c>
      <c r="H51" s="545" t="s">
        <v>294</v>
      </c>
      <c r="I51" s="33" t="s">
        <v>128</v>
      </c>
      <c r="J51" s="62"/>
      <c r="O51" s="24"/>
      <c r="P51" s="635"/>
      <c r="Q51" s="636"/>
      <c r="R51" s="640"/>
      <c r="S51" s="640"/>
      <c r="T51" s="83" t="s">
        <v>27</v>
      </c>
      <c r="U51" s="84" t="s">
        <v>1</v>
      </c>
      <c r="V51" s="85" t="s">
        <v>1</v>
      </c>
      <c r="W51" s="84" t="s">
        <v>1</v>
      </c>
      <c r="X51" s="647"/>
      <c r="Y51" s="82"/>
      <c r="Z51" s="25"/>
    </row>
    <row r="52" spans="1:26">
      <c r="A52" s="34" t="s">
        <v>132</v>
      </c>
      <c r="B52" s="23" t="s">
        <v>101</v>
      </c>
      <c r="C52" s="449">
        <v>35400</v>
      </c>
      <c r="D52" s="465" t="s">
        <v>137</v>
      </c>
      <c r="E52" s="135"/>
      <c r="F52" s="23">
        <v>1466</v>
      </c>
      <c r="G52" s="464">
        <v>5074160</v>
      </c>
      <c r="H52" s="512" t="s">
        <v>294</v>
      </c>
      <c r="I52" s="33" t="s">
        <v>128</v>
      </c>
      <c r="J52" s="62"/>
      <c r="O52" s="24"/>
      <c r="P52" s="637"/>
      <c r="Q52" s="638"/>
      <c r="R52" s="641"/>
      <c r="S52" s="641"/>
      <c r="T52" s="86"/>
      <c r="U52" s="87"/>
      <c r="V52" s="88"/>
      <c r="W52" s="87"/>
      <c r="X52" s="648"/>
      <c r="Y52" s="89"/>
      <c r="Z52" s="25"/>
    </row>
    <row r="53" spans="1:26">
      <c r="A53" s="34" t="s">
        <v>132</v>
      </c>
      <c r="B53" s="23" t="s">
        <v>102</v>
      </c>
      <c r="C53" s="449">
        <v>34213</v>
      </c>
      <c r="D53" s="465" t="s">
        <v>139</v>
      </c>
      <c r="E53" s="135"/>
      <c r="F53" s="23">
        <v>1350</v>
      </c>
      <c r="G53" s="464">
        <v>942720</v>
      </c>
      <c r="H53" s="512" t="s">
        <v>294</v>
      </c>
      <c r="I53" s="33" t="s">
        <v>128</v>
      </c>
      <c r="J53" s="62"/>
      <c r="O53" s="24"/>
      <c r="P53" s="460" t="s">
        <v>124</v>
      </c>
      <c r="Q53" s="460"/>
      <c r="R53" s="459"/>
      <c r="S53" s="459"/>
      <c r="T53" s="459"/>
      <c r="U53" s="460"/>
      <c r="V53" s="459"/>
      <c r="W53" s="459"/>
      <c r="X53" s="459"/>
      <c r="Y53" s="458"/>
      <c r="Z53" s="25"/>
    </row>
    <row r="54" spans="1:26">
      <c r="A54" s="34" t="s">
        <v>132</v>
      </c>
      <c r="B54" s="23" t="s">
        <v>103</v>
      </c>
      <c r="C54" s="449">
        <v>32874</v>
      </c>
      <c r="D54" s="465" t="s">
        <v>138</v>
      </c>
      <c r="E54" s="135"/>
      <c r="F54" s="23">
        <v>850</v>
      </c>
      <c r="G54" s="464">
        <v>996350</v>
      </c>
      <c r="H54" s="512" t="s">
        <v>294</v>
      </c>
      <c r="I54" s="33" t="s">
        <v>128</v>
      </c>
      <c r="J54" s="62"/>
      <c r="O54" s="24"/>
      <c r="P54" s="460"/>
      <c r="Q54" s="460"/>
      <c r="R54" s="459"/>
      <c r="S54" s="459"/>
      <c r="T54" s="459"/>
      <c r="U54" s="460"/>
      <c r="V54" s="459"/>
      <c r="W54" s="459"/>
      <c r="X54" s="459"/>
      <c r="Y54" s="458"/>
      <c r="Z54" s="25"/>
    </row>
    <row r="55" spans="1:26" ht="12.75" customHeight="1">
      <c r="A55" s="34" t="s">
        <v>132</v>
      </c>
      <c r="B55" s="23" t="s">
        <v>117</v>
      </c>
      <c r="C55" s="449">
        <v>31048</v>
      </c>
      <c r="D55" s="465" t="s">
        <v>139</v>
      </c>
      <c r="E55" s="135"/>
      <c r="F55" s="23">
        <v>50</v>
      </c>
      <c r="G55" s="464"/>
      <c r="H55" s="512" t="s">
        <v>294</v>
      </c>
      <c r="I55" s="38" t="s">
        <v>86</v>
      </c>
      <c r="J55" s="62"/>
      <c r="O55" s="24"/>
      <c r="P55" s="662" t="s">
        <v>312</v>
      </c>
      <c r="Q55" s="650"/>
      <c r="R55" s="93" t="s">
        <v>126</v>
      </c>
      <c r="S55" s="94"/>
      <c r="T55" s="660">
        <f>682310* 2298 /9909/1000</f>
        <v>158.23477444747201</v>
      </c>
      <c r="U55" s="456">
        <f>V55/(V55+V56)*T55</f>
        <v>158.23477444747201</v>
      </c>
      <c r="V55" s="457">
        <v>2298</v>
      </c>
      <c r="W55" s="456">
        <f>V55-U55</f>
        <v>2139.7652255525281</v>
      </c>
      <c r="X55" s="475"/>
      <c r="Y55" s="450"/>
      <c r="Z55" s="25"/>
    </row>
    <row r="56" spans="1:26">
      <c r="A56" s="26" t="s">
        <v>131</v>
      </c>
      <c r="B56" s="23" t="s">
        <v>104</v>
      </c>
      <c r="C56" s="449">
        <v>28307</v>
      </c>
      <c r="D56" s="465" t="s">
        <v>202</v>
      </c>
      <c r="E56" s="135"/>
      <c r="F56" s="23">
        <v>3478</v>
      </c>
      <c r="G56" s="464">
        <v>10619280</v>
      </c>
      <c r="H56" s="512" t="s">
        <v>294</v>
      </c>
      <c r="I56" s="33" t="s">
        <v>128</v>
      </c>
      <c r="J56" s="62"/>
      <c r="O56" s="24"/>
      <c r="P56" s="663"/>
      <c r="Q56" s="664"/>
      <c r="R56" s="517"/>
      <c r="S56" s="514"/>
      <c r="T56" s="665"/>
      <c r="U56" s="518"/>
      <c r="V56" s="519"/>
      <c r="W56" s="518"/>
      <c r="X56" s="520"/>
      <c r="Y56" s="521"/>
      <c r="Z56" s="25"/>
    </row>
    <row r="57" spans="1:26" ht="12.75" customHeight="1">
      <c r="A57" s="34" t="s">
        <v>132</v>
      </c>
      <c r="B57" s="23" t="s">
        <v>105</v>
      </c>
      <c r="C57" s="449">
        <v>27576</v>
      </c>
      <c r="D57" s="465" t="s">
        <v>139</v>
      </c>
      <c r="E57" s="135"/>
      <c r="F57" s="23">
        <v>244</v>
      </c>
      <c r="G57" s="464">
        <v>157160</v>
      </c>
      <c r="H57" s="512" t="s">
        <v>294</v>
      </c>
      <c r="I57" s="33" t="s">
        <v>128</v>
      </c>
      <c r="J57" s="62"/>
      <c r="O57" s="24"/>
      <c r="P57" s="77"/>
      <c r="Q57" s="77"/>
      <c r="R57" s="77"/>
      <c r="S57" s="77"/>
      <c r="T57" s="77"/>
      <c r="U57" s="77"/>
      <c r="V57" s="77"/>
      <c r="W57" s="77"/>
      <c r="X57" s="77"/>
      <c r="Y57" s="77"/>
      <c r="Z57" s="25"/>
    </row>
    <row r="58" spans="1:26">
      <c r="A58" s="26" t="s">
        <v>131</v>
      </c>
      <c r="B58" s="23" t="s">
        <v>119</v>
      </c>
      <c r="C58" s="449">
        <v>27395</v>
      </c>
      <c r="D58" s="465" t="s">
        <v>139</v>
      </c>
      <c r="E58" s="135"/>
      <c r="F58" s="23">
        <v>1</v>
      </c>
      <c r="G58" s="464">
        <v>3510</v>
      </c>
      <c r="H58" s="512" t="s">
        <v>294</v>
      </c>
      <c r="I58" s="33" t="s">
        <v>128</v>
      </c>
      <c r="J58" s="62"/>
      <c r="O58" s="24"/>
      <c r="P58" s="140"/>
      <c r="Q58" s="140"/>
      <c r="R58" s="140"/>
      <c r="S58" s="140"/>
      <c r="T58" s="140"/>
      <c r="U58" s="140"/>
      <c r="V58" s="140"/>
      <c r="W58" s="140"/>
      <c r="X58" s="140"/>
      <c r="Y58" s="140"/>
      <c r="Z58" s="25"/>
    </row>
    <row r="59" spans="1:26">
      <c r="A59" s="34" t="s">
        <v>132</v>
      </c>
      <c r="B59" s="23" t="s">
        <v>263</v>
      </c>
      <c r="C59" s="449">
        <v>27089</v>
      </c>
      <c r="D59" s="465" t="s">
        <v>139</v>
      </c>
      <c r="E59" s="135"/>
      <c r="F59" s="23">
        <v>640</v>
      </c>
      <c r="G59" s="464">
        <v>11720</v>
      </c>
      <c r="H59" s="512" t="s">
        <v>294</v>
      </c>
      <c r="I59" s="33" t="s">
        <v>128</v>
      </c>
      <c r="J59" s="62"/>
      <c r="O59" s="24"/>
      <c r="P59" s="666" t="s">
        <v>286</v>
      </c>
      <c r="Q59" s="664"/>
      <c r="R59" s="522" t="s">
        <v>126</v>
      </c>
      <c r="S59" s="514"/>
      <c r="T59" s="667">
        <f>682310* 2694 /9909/1000</f>
        <v>185.50238570996066</v>
      </c>
      <c r="U59" s="523">
        <f>V59/(V59+V60)*T59</f>
        <v>185.50238570996066</v>
      </c>
      <c r="V59" s="524">
        <v>2432</v>
      </c>
      <c r="W59" s="523">
        <f>V59-U59</f>
        <v>2246.4976142900396</v>
      </c>
      <c r="X59" s="525"/>
      <c r="Y59" s="526"/>
      <c r="Z59" s="25"/>
    </row>
    <row r="60" spans="1:26">
      <c r="A60" s="34" t="s">
        <v>132</v>
      </c>
      <c r="B60" s="23" t="s">
        <v>260</v>
      </c>
      <c r="C60" s="449" t="s">
        <v>264</v>
      </c>
      <c r="D60" s="465"/>
      <c r="E60" s="135"/>
      <c r="F60" s="23">
        <v>1015</v>
      </c>
      <c r="G60" s="464">
        <v>9445290</v>
      </c>
      <c r="H60" s="512" t="s">
        <v>294</v>
      </c>
      <c r="I60" s="33" t="s">
        <v>128</v>
      </c>
      <c r="J60" s="62"/>
      <c r="O60" s="24"/>
      <c r="P60" s="651"/>
      <c r="Q60" s="652"/>
      <c r="R60" s="99"/>
      <c r="S60" s="100"/>
      <c r="T60" s="661"/>
      <c r="U60" s="456"/>
      <c r="V60" s="457"/>
      <c r="W60" s="456"/>
      <c r="X60" s="475"/>
      <c r="Y60" s="450"/>
      <c r="Z60" s="25"/>
    </row>
    <row r="61" spans="1:26">
      <c r="A61" s="34" t="s">
        <v>132</v>
      </c>
      <c r="B61" s="474" t="s">
        <v>120</v>
      </c>
      <c r="C61" s="449">
        <v>25569</v>
      </c>
      <c r="D61" s="465" t="s">
        <v>139</v>
      </c>
      <c r="E61" s="135"/>
      <c r="F61" s="23">
        <v>174</v>
      </c>
      <c r="G61" s="473">
        <v>40800</v>
      </c>
      <c r="H61" s="512" t="s">
        <v>294</v>
      </c>
      <c r="I61" s="33" t="s">
        <v>128</v>
      </c>
      <c r="J61" s="62"/>
      <c r="O61" s="24"/>
      <c r="P61" s="460"/>
      <c r="Q61" s="459"/>
      <c r="R61" s="459"/>
      <c r="S61" s="459"/>
      <c r="T61" s="459"/>
      <c r="U61" s="459"/>
      <c r="V61" s="459"/>
      <c r="W61" s="459"/>
      <c r="X61" s="452"/>
      <c r="Y61" s="458"/>
      <c r="Z61" s="25"/>
    </row>
    <row r="62" spans="1:26">
      <c r="A62" s="26" t="s">
        <v>131</v>
      </c>
      <c r="B62" s="23" t="s">
        <v>106</v>
      </c>
      <c r="C62" s="449" t="s">
        <v>107</v>
      </c>
      <c r="D62" s="465" t="s">
        <v>136</v>
      </c>
      <c r="E62" s="135"/>
      <c r="F62" s="23">
        <v>1000</v>
      </c>
      <c r="G62" s="464">
        <v>3860850</v>
      </c>
      <c r="H62" s="512" t="s">
        <v>294</v>
      </c>
      <c r="I62" s="33" t="s">
        <v>128</v>
      </c>
      <c r="J62" s="62"/>
      <c r="O62" s="24"/>
      <c r="P62" s="662" t="s">
        <v>314</v>
      </c>
      <c r="Q62" s="671"/>
      <c r="R62" s="527" t="s">
        <v>0</v>
      </c>
      <c r="S62" s="94"/>
      <c r="T62" s="660">
        <f>591*5284.19/62496</f>
        <v>49.970498751920118</v>
      </c>
      <c r="U62" s="456">
        <f>V62/(V62+V63)*T62</f>
        <v>49.848508775405271</v>
      </c>
      <c r="V62" s="457">
        <v>5271.3</v>
      </c>
      <c r="W62" s="456">
        <f>V62-U62</f>
        <v>5221.451491224595</v>
      </c>
      <c r="X62" s="455">
        <v>0.45</v>
      </c>
      <c r="Y62" s="450">
        <f>V62/X62*3600/1000</f>
        <v>42170.400000000001</v>
      </c>
      <c r="Z62" s="25"/>
    </row>
    <row r="63" spans="1:26">
      <c r="A63" s="34" t="s">
        <v>132</v>
      </c>
      <c r="B63" s="23" t="s">
        <v>108</v>
      </c>
      <c r="C63" s="449">
        <v>24624</v>
      </c>
      <c r="D63" s="465" t="s">
        <v>139</v>
      </c>
      <c r="E63" s="135"/>
      <c r="F63" s="23">
        <v>132</v>
      </c>
      <c r="G63" s="473"/>
      <c r="H63" s="512" t="s">
        <v>294</v>
      </c>
      <c r="I63" s="38" t="s">
        <v>86</v>
      </c>
      <c r="J63" s="62"/>
      <c r="O63" s="24"/>
      <c r="P63" s="672"/>
      <c r="Q63" s="673"/>
      <c r="R63" s="106" t="s">
        <v>156</v>
      </c>
      <c r="S63" s="100"/>
      <c r="T63" s="661"/>
      <c r="U63" s="456">
        <f>V63/(V63+V62)*T62</f>
        <v>0.12198997651484984</v>
      </c>
      <c r="V63" s="457">
        <v>12.9</v>
      </c>
      <c r="W63" s="456">
        <f>V63-U63</f>
        <v>12.77801002348515</v>
      </c>
      <c r="X63" s="455">
        <v>0.46</v>
      </c>
      <c r="Y63" s="450">
        <f>V63/X63*3600/1000</f>
        <v>100.95652173913044</v>
      </c>
      <c r="Z63" s="25"/>
    </row>
    <row r="64" spans="1:26" ht="12.75" customHeight="1">
      <c r="A64" s="34" t="s">
        <v>132</v>
      </c>
      <c r="B64" s="23" t="s">
        <v>109</v>
      </c>
      <c r="C64" s="449">
        <v>23193</v>
      </c>
      <c r="D64" s="465" t="s">
        <v>139</v>
      </c>
      <c r="E64" s="135"/>
      <c r="F64" s="23"/>
      <c r="G64" s="473"/>
      <c r="H64" s="512" t="s">
        <v>294</v>
      </c>
      <c r="I64" s="38" t="s">
        <v>86</v>
      </c>
      <c r="J64" s="62"/>
      <c r="O64" s="24"/>
      <c r="P64" s="460"/>
      <c r="Q64" s="459"/>
      <c r="R64" s="459"/>
      <c r="S64" s="459"/>
      <c r="T64" s="459"/>
      <c r="U64" s="459"/>
      <c r="V64" s="459"/>
      <c r="W64" s="459"/>
      <c r="X64" s="452"/>
      <c r="Y64" s="458"/>
      <c r="Z64" s="25"/>
    </row>
    <row r="65" spans="1:26">
      <c r="A65" s="26" t="s">
        <v>131</v>
      </c>
      <c r="B65" s="23" t="s">
        <v>118</v>
      </c>
      <c r="C65" s="449">
        <v>23071</v>
      </c>
      <c r="D65" s="465" t="s">
        <v>139</v>
      </c>
      <c r="E65" s="135"/>
      <c r="F65" s="23">
        <v>13.8</v>
      </c>
      <c r="G65" s="464">
        <v>36970</v>
      </c>
      <c r="H65" s="512" t="s">
        <v>294</v>
      </c>
      <c r="I65" s="33" t="s">
        <v>128</v>
      </c>
      <c r="J65" s="62"/>
      <c r="M65" s="23"/>
      <c r="O65" s="24"/>
      <c r="P65" s="662" t="s">
        <v>289</v>
      </c>
      <c r="Q65" s="671"/>
      <c r="R65" s="102" t="s">
        <v>156</v>
      </c>
      <c r="S65" s="94"/>
      <c r="T65" s="660">
        <f>591*6589.44/62496</f>
        <v>62.313732718894002</v>
      </c>
      <c r="U65" s="456">
        <f>V65/(V66+V65)*T65</f>
        <v>0</v>
      </c>
      <c r="V65" s="457"/>
      <c r="W65" s="456">
        <f>V65-U65</f>
        <v>0</v>
      </c>
      <c r="X65" s="455">
        <v>0.46</v>
      </c>
      <c r="Y65" s="450">
        <f>V65/X65*3600/1000</f>
        <v>0</v>
      </c>
      <c r="Z65" s="25"/>
    </row>
    <row r="66" spans="1:26">
      <c r="A66" s="26" t="s">
        <v>131</v>
      </c>
      <c r="B66" s="23" t="s">
        <v>110</v>
      </c>
      <c r="C66" s="449">
        <v>22282</v>
      </c>
      <c r="D66" s="465" t="s">
        <v>136</v>
      </c>
      <c r="E66" s="135"/>
      <c r="F66" s="23">
        <v>13.5</v>
      </c>
      <c r="G66" s="464">
        <v>28390</v>
      </c>
      <c r="H66" s="512" t="s">
        <v>294</v>
      </c>
      <c r="I66" s="33" t="s">
        <v>128</v>
      </c>
      <c r="J66" s="62"/>
      <c r="M66" s="23"/>
      <c r="O66" s="24"/>
      <c r="P66" s="672"/>
      <c r="Q66" s="673"/>
      <c r="R66" s="106" t="s">
        <v>0</v>
      </c>
      <c r="S66" s="100"/>
      <c r="T66" s="661"/>
      <c r="U66" s="456">
        <f>V66/(V66+V65)*T65</f>
        <v>62.313732718894002</v>
      </c>
      <c r="V66" s="457">
        <v>6589.44</v>
      </c>
      <c r="W66" s="456">
        <f>V66-U66</f>
        <v>6527.1262672811054</v>
      </c>
      <c r="X66" s="455">
        <v>0.6</v>
      </c>
      <c r="Y66" s="450">
        <f>V66/X66*3600/1000</f>
        <v>39536.639999999999</v>
      </c>
      <c r="Z66" s="25"/>
    </row>
    <row r="67" spans="1:26" ht="13" customHeight="1">
      <c r="A67" s="26" t="s">
        <v>131</v>
      </c>
      <c r="B67" s="23" t="s">
        <v>111</v>
      </c>
      <c r="C67" s="449">
        <v>22098</v>
      </c>
      <c r="D67" s="465" t="s">
        <v>136</v>
      </c>
      <c r="E67" s="135"/>
      <c r="F67" s="23">
        <v>243</v>
      </c>
      <c r="G67" s="464">
        <v>1002270</v>
      </c>
      <c r="H67" s="512" t="s">
        <v>294</v>
      </c>
      <c r="I67" s="33" t="s">
        <v>128</v>
      </c>
      <c r="J67" s="62"/>
      <c r="M67" s="23"/>
      <c r="N67" s="23"/>
      <c r="O67" s="24"/>
      <c r="P67" s="460"/>
      <c r="Q67" s="459"/>
      <c r="R67" s="459"/>
      <c r="S67" s="459"/>
      <c r="T67" s="459"/>
      <c r="U67" s="459"/>
      <c r="V67" s="459"/>
      <c r="W67" s="459"/>
      <c r="X67" s="452"/>
      <c r="Y67" s="458"/>
      <c r="Z67" s="25"/>
    </row>
    <row r="68" spans="1:26" ht="12.75" customHeight="1">
      <c r="A68" s="26" t="s">
        <v>131</v>
      </c>
      <c r="B68" s="23" t="s">
        <v>112</v>
      </c>
      <c r="C68" s="449">
        <v>21763</v>
      </c>
      <c r="D68" s="465" t="s">
        <v>136</v>
      </c>
      <c r="E68" s="135"/>
      <c r="F68" s="23">
        <v>13.2</v>
      </c>
      <c r="G68" s="464">
        <v>29050</v>
      </c>
      <c r="H68" s="512" t="s">
        <v>294</v>
      </c>
      <c r="I68" s="33" t="s">
        <v>128</v>
      </c>
      <c r="J68" s="62"/>
      <c r="M68" s="23"/>
      <c r="N68" s="23"/>
      <c r="O68" s="24"/>
      <c r="Z68" s="25"/>
    </row>
    <row r="69" spans="1:26" ht="12.75" customHeight="1">
      <c r="A69" s="26" t="s">
        <v>131</v>
      </c>
      <c r="B69" s="23" t="s">
        <v>113</v>
      </c>
      <c r="C69" s="449">
        <v>21217</v>
      </c>
      <c r="D69" s="465" t="s">
        <v>136</v>
      </c>
      <c r="E69" s="135"/>
      <c r="F69" s="23">
        <v>4</v>
      </c>
      <c r="G69" s="464">
        <v>14230</v>
      </c>
      <c r="H69" s="512" t="s">
        <v>294</v>
      </c>
      <c r="I69" s="33" t="s">
        <v>128</v>
      </c>
      <c r="J69" s="62"/>
      <c r="M69" s="23"/>
      <c r="N69" s="23"/>
      <c r="O69" s="24"/>
      <c r="P69" s="492" t="s">
        <v>317</v>
      </c>
      <c r="Q69" s="542"/>
      <c r="R69" s="102" t="s">
        <v>230</v>
      </c>
      <c r="S69" s="94"/>
      <c r="T69" s="660">
        <f>591*15.11/62496</f>
        <v>0.1428893049155146</v>
      </c>
      <c r="U69" s="456">
        <f>V69/(V69+V70)*T69</f>
        <v>0.1428893049155146</v>
      </c>
      <c r="V69" s="457">
        <v>15.11</v>
      </c>
      <c r="W69" s="456">
        <f>V69-U69</f>
        <v>14.967110695084484</v>
      </c>
      <c r="X69" s="455">
        <v>0.45</v>
      </c>
      <c r="Y69" s="450">
        <f>V69/X69*3600/1000</f>
        <v>120.87999999999998</v>
      </c>
      <c r="Z69" s="25"/>
    </row>
    <row r="70" spans="1:26">
      <c r="A70" s="26" t="s">
        <v>131</v>
      </c>
      <c r="B70" s="23" t="s">
        <v>114</v>
      </c>
      <c r="C70" s="449">
        <v>19329</v>
      </c>
      <c r="D70" s="465" t="s">
        <v>136</v>
      </c>
      <c r="E70" s="135"/>
      <c r="F70" s="23">
        <v>20</v>
      </c>
      <c r="G70" s="464">
        <v>109350</v>
      </c>
      <c r="H70" s="512" t="s">
        <v>294</v>
      </c>
      <c r="I70" s="33" t="s">
        <v>128</v>
      </c>
      <c r="J70" s="62"/>
      <c r="M70" s="23"/>
      <c r="N70" s="107"/>
      <c r="O70" s="24"/>
      <c r="P70" s="543"/>
      <c r="Q70" s="544"/>
      <c r="R70" s="466"/>
      <c r="S70" s="100"/>
      <c r="T70" s="661"/>
      <c r="U70" s="456"/>
      <c r="V70" s="457"/>
      <c r="W70" s="456"/>
      <c r="X70" s="455"/>
      <c r="Y70" s="450"/>
      <c r="Z70" s="25"/>
    </row>
    <row r="71" spans="1:26">
      <c r="A71" s="26" t="s">
        <v>131</v>
      </c>
      <c r="B71" s="23" t="s">
        <v>115</v>
      </c>
      <c r="C71" s="449">
        <v>19176</v>
      </c>
      <c r="D71" s="465" t="s">
        <v>136</v>
      </c>
      <c r="E71" s="135"/>
      <c r="F71" s="23">
        <v>22</v>
      </c>
      <c r="G71" s="464">
        <v>71860</v>
      </c>
      <c r="H71" s="512" t="s">
        <v>294</v>
      </c>
      <c r="I71" s="33" t="s">
        <v>128</v>
      </c>
      <c r="J71" s="62"/>
      <c r="M71" s="23"/>
      <c r="N71" s="107"/>
      <c r="O71" s="24"/>
      <c r="Z71" s="25"/>
    </row>
    <row r="72" spans="1:26" ht="13" customHeight="1">
      <c r="A72" s="26" t="s">
        <v>131</v>
      </c>
      <c r="B72" s="23" t="s">
        <v>116</v>
      </c>
      <c r="C72" s="449">
        <v>9192</v>
      </c>
      <c r="D72" s="465" t="s">
        <v>136</v>
      </c>
      <c r="E72" s="135"/>
      <c r="F72" s="23">
        <v>1.1000000000000001</v>
      </c>
      <c r="G72" s="464">
        <v>2190</v>
      </c>
      <c r="H72" s="512" t="s">
        <v>294</v>
      </c>
      <c r="I72" s="33" t="s">
        <v>128</v>
      </c>
      <c r="J72" s="62"/>
      <c r="M72" s="23"/>
      <c r="N72" s="107"/>
      <c r="O72" s="24"/>
      <c r="Z72" s="25"/>
    </row>
    <row r="73" spans="1:26">
      <c r="A73" s="34" t="s">
        <v>132</v>
      </c>
      <c r="B73" s="23" t="s">
        <v>121</v>
      </c>
      <c r="C73" s="449" t="s">
        <v>141</v>
      </c>
      <c r="D73" s="465"/>
      <c r="E73" s="135"/>
      <c r="F73" s="23"/>
      <c r="G73" s="473"/>
      <c r="H73" s="512" t="s">
        <v>294</v>
      </c>
      <c r="I73" s="38" t="s">
        <v>86</v>
      </c>
      <c r="J73" s="62"/>
      <c r="M73" s="23"/>
      <c r="N73" s="107"/>
      <c r="O73" s="24"/>
      <c r="Z73" s="25"/>
    </row>
    <row r="74" spans="1:26">
      <c r="A74" s="34" t="s">
        <v>132</v>
      </c>
      <c r="B74" s="23" t="s">
        <v>122</v>
      </c>
      <c r="C74" s="449" t="s">
        <v>141</v>
      </c>
      <c r="D74" s="465"/>
      <c r="E74" s="135"/>
      <c r="F74" s="23">
        <v>35</v>
      </c>
      <c r="G74" s="464"/>
      <c r="H74" s="512" t="s">
        <v>294</v>
      </c>
      <c r="I74" s="38" t="s">
        <v>86</v>
      </c>
      <c r="J74" s="62"/>
      <c r="M74" s="23"/>
      <c r="N74" s="107"/>
      <c r="O74" s="24"/>
      <c r="P74" s="662" t="s">
        <v>316</v>
      </c>
      <c r="Q74" s="671"/>
      <c r="R74" s="527" t="s">
        <v>296</v>
      </c>
      <c r="S74" s="94"/>
      <c r="T74" s="660">
        <f>591*7553.64/62496</f>
        <v>71.431791474654375</v>
      </c>
      <c r="U74" s="456">
        <f>V74/(V75+V74)*T74</f>
        <v>71.431791474654375</v>
      </c>
      <c r="V74" s="457">
        <v>7553.64</v>
      </c>
      <c r="W74" s="456">
        <f>V74-U74</f>
        <v>7482.208208525346</v>
      </c>
      <c r="X74" s="455">
        <v>0.45</v>
      </c>
      <c r="Y74" s="450">
        <f>V74/X74*3600/1000</f>
        <v>60429.12000000001</v>
      </c>
      <c r="Z74" s="25"/>
    </row>
    <row r="75" spans="1:26">
      <c r="A75" s="34" t="s">
        <v>132</v>
      </c>
      <c r="B75" s="23" t="s">
        <v>123</v>
      </c>
      <c r="C75" s="449" t="s">
        <v>141</v>
      </c>
      <c r="D75" s="465"/>
      <c r="E75" s="135"/>
      <c r="F75" s="23">
        <v>39</v>
      </c>
      <c r="G75" s="473"/>
      <c r="H75" s="512" t="s">
        <v>294</v>
      </c>
      <c r="I75" s="38" t="s">
        <v>86</v>
      </c>
      <c r="J75" s="62"/>
      <c r="M75" s="23"/>
      <c r="N75" s="107"/>
      <c r="O75" s="24"/>
      <c r="P75" s="672"/>
      <c r="Q75" s="673"/>
      <c r="R75" s="106"/>
      <c r="S75" s="100"/>
      <c r="T75" s="661"/>
      <c r="U75" s="456"/>
      <c r="V75" s="457"/>
      <c r="W75" s="456"/>
      <c r="X75" s="455"/>
      <c r="Y75" s="450"/>
      <c r="Z75" s="25"/>
    </row>
    <row r="76" spans="1:26" ht="12.75" customHeight="1">
      <c r="A76" s="34" t="s">
        <v>132</v>
      </c>
      <c r="B76" s="23" t="s">
        <v>127</v>
      </c>
      <c r="C76" s="449" t="s">
        <v>141</v>
      </c>
      <c r="D76" s="465"/>
      <c r="E76" s="135"/>
      <c r="F76" s="23">
        <v>17</v>
      </c>
      <c r="G76" s="473"/>
      <c r="H76" s="512" t="s">
        <v>294</v>
      </c>
      <c r="I76" s="38" t="s">
        <v>129</v>
      </c>
      <c r="J76" s="62"/>
      <c r="M76" s="23"/>
      <c r="N76" s="107"/>
      <c r="O76" s="24"/>
      <c r="Z76" s="25"/>
    </row>
    <row r="77" spans="1:26" ht="14" thickBot="1">
      <c r="A77" s="111" t="s">
        <v>89</v>
      </c>
      <c r="B77" s="469" t="s">
        <v>189</v>
      </c>
      <c r="C77" s="472" t="s">
        <v>265</v>
      </c>
      <c r="D77" s="471"/>
      <c r="E77" s="470" t="s">
        <v>194</v>
      </c>
      <c r="F77" s="469">
        <v>100</v>
      </c>
      <c r="G77" s="468">
        <v>175000</v>
      </c>
      <c r="H77" s="467" t="s">
        <v>294</v>
      </c>
      <c r="I77" s="118" t="s">
        <v>128</v>
      </c>
      <c r="J77" s="62"/>
      <c r="M77" s="23"/>
      <c r="N77" s="107"/>
      <c r="O77" s="24"/>
      <c r="P77" s="662" t="s">
        <v>329</v>
      </c>
      <c r="Q77" s="671"/>
      <c r="R77" s="132" t="s">
        <v>125</v>
      </c>
      <c r="S77" s="94"/>
      <c r="T77" s="660">
        <f>196.4*1556.24/26414.2</f>
        <v>11.571258489751726</v>
      </c>
      <c r="U77" s="456">
        <f>V77/(V77+V78)*T77</f>
        <v>11.571258489751726</v>
      </c>
      <c r="V77" s="457">
        <v>1556.24</v>
      </c>
      <c r="W77" s="456">
        <f>V77-U77</f>
        <v>1544.6687415102483</v>
      </c>
      <c r="X77" s="455"/>
      <c r="Y77" s="450"/>
      <c r="Z77" s="25"/>
    </row>
    <row r="78" spans="1:26">
      <c r="J78" s="62"/>
      <c r="M78" s="23"/>
      <c r="N78" s="107"/>
      <c r="O78" s="24"/>
      <c r="P78" s="672"/>
      <c r="Q78" s="673"/>
      <c r="R78" s="99"/>
      <c r="S78" s="100"/>
      <c r="T78" s="661"/>
      <c r="U78" s="456"/>
      <c r="V78" s="457"/>
      <c r="W78" s="456"/>
      <c r="X78" s="455"/>
      <c r="Y78" s="450"/>
      <c r="Z78" s="25"/>
    </row>
    <row r="79" spans="1:26">
      <c r="J79" s="62"/>
      <c r="M79" s="23"/>
      <c r="N79" s="107"/>
      <c r="O79" s="24"/>
      <c r="P79" s="452"/>
      <c r="Q79" s="452"/>
      <c r="R79" s="452"/>
      <c r="S79" s="452"/>
      <c r="T79" s="452"/>
      <c r="U79" s="452"/>
      <c r="V79" s="452"/>
      <c r="W79" s="452"/>
      <c r="X79" s="452"/>
      <c r="Y79" s="452"/>
      <c r="Z79" s="25"/>
    </row>
    <row r="80" spans="1:26" ht="14" thickBot="1">
      <c r="J80" s="62"/>
      <c r="M80" s="23"/>
      <c r="N80" s="107"/>
      <c r="O80" s="24"/>
      <c r="P80" s="662" t="s">
        <v>330</v>
      </c>
      <c r="Q80" s="671"/>
      <c r="R80" s="132" t="s">
        <v>125</v>
      </c>
      <c r="S80" s="94"/>
      <c r="T80" s="674">
        <v>1.94</v>
      </c>
      <c r="U80" s="456">
        <f>V80/(V80+V81)*T80</f>
        <v>1.94</v>
      </c>
      <c r="V80" s="457">
        <v>72.150000000000006</v>
      </c>
      <c r="W80" s="456">
        <f>V80-U80</f>
        <v>70.210000000000008</v>
      </c>
      <c r="X80" s="455"/>
      <c r="Y80" s="450"/>
      <c r="Z80" s="25"/>
    </row>
    <row r="81" spans="1:26" ht="14" thickBot="1">
      <c r="E81" s="491" t="s">
        <v>327</v>
      </c>
      <c r="F81" s="126"/>
      <c r="G81" s="127">
        <f>SUM(G3:G77)</f>
        <v>111588748.61</v>
      </c>
      <c r="N81" s="107"/>
      <c r="O81" s="119"/>
      <c r="P81" s="672"/>
      <c r="Q81" s="673"/>
      <c r="R81" s="99"/>
      <c r="S81" s="100"/>
      <c r="T81" s="675"/>
      <c r="U81" s="456"/>
      <c r="V81" s="457"/>
      <c r="W81" s="456"/>
      <c r="X81" s="455"/>
      <c r="Y81" s="450"/>
      <c r="Z81" s="120"/>
    </row>
    <row r="82" spans="1:26">
      <c r="N82" s="107"/>
      <c r="O82" s="119"/>
      <c r="P82" s="452"/>
      <c r="Q82" s="452"/>
      <c r="R82" s="452"/>
      <c r="S82" s="452"/>
      <c r="T82" s="452"/>
      <c r="U82" s="452"/>
      <c r="Z82" s="120"/>
    </row>
    <row r="83" spans="1:26">
      <c r="B83" s="23"/>
      <c r="C83" s="449"/>
      <c r="D83" s="465"/>
      <c r="E83" s="135"/>
      <c r="F83" s="23"/>
      <c r="G83" s="464"/>
      <c r="H83" s="463"/>
      <c r="L83" s="22"/>
      <c r="M83" s="23"/>
      <c r="N83" s="107"/>
      <c r="O83" s="119"/>
      <c r="P83" s="452"/>
      <c r="Q83" s="452"/>
      <c r="R83" s="452"/>
      <c r="S83" s="452"/>
      <c r="T83" s="452"/>
      <c r="U83" s="452"/>
      <c r="Z83" s="120"/>
    </row>
    <row r="84" spans="1:26">
      <c r="B84" s="23"/>
      <c r="C84" s="449"/>
      <c r="D84" s="465"/>
      <c r="E84" s="135"/>
      <c r="F84" s="23"/>
      <c r="G84" s="464"/>
      <c r="H84" s="463"/>
      <c r="L84" s="22"/>
      <c r="M84" s="23"/>
      <c r="N84" s="23"/>
      <c r="O84" s="119"/>
      <c r="P84" s="140"/>
      <c r="Q84" s="140"/>
      <c r="R84" s="140"/>
      <c r="S84" s="140"/>
      <c r="T84" s="140"/>
      <c r="U84" s="140"/>
      <c r="Z84" s="120"/>
    </row>
    <row r="85" spans="1:26">
      <c r="A85" s="23"/>
      <c r="B85" s="23"/>
      <c r="C85" s="133"/>
      <c r="D85" s="134"/>
      <c r="H85" s="462"/>
      <c r="L85" s="22"/>
      <c r="M85" s="23"/>
      <c r="N85" s="23"/>
      <c r="O85" s="119"/>
      <c r="V85" s="453" t="s">
        <v>40</v>
      </c>
      <c r="W85" s="450">
        <f>SUM(W55:W81)</f>
        <v>25259.672669102434</v>
      </c>
      <c r="X85" s="452"/>
      <c r="Y85" s="452"/>
      <c r="Z85" s="120"/>
    </row>
    <row r="86" spans="1:26">
      <c r="A86" s="23"/>
      <c r="B86" s="23"/>
      <c r="C86" s="133"/>
      <c r="D86" s="134"/>
      <c r="E86" s="135"/>
      <c r="F86" s="23"/>
      <c r="G86" s="462"/>
      <c r="H86" s="462"/>
      <c r="I86" s="461"/>
      <c r="L86" s="22"/>
      <c r="M86" s="23"/>
      <c r="N86" s="23"/>
      <c r="O86" s="119"/>
      <c r="V86" s="452"/>
      <c r="W86" s="452"/>
      <c r="X86" s="453" t="s">
        <v>41</v>
      </c>
      <c r="Y86" s="450">
        <f>Y69</f>
        <v>120.87999999999998</v>
      </c>
      <c r="Z86" s="120"/>
    </row>
    <row r="87" spans="1:26">
      <c r="L87" s="22"/>
      <c r="M87" s="23"/>
      <c r="N87" s="23"/>
      <c r="O87" s="119"/>
      <c r="V87" s="452"/>
      <c r="W87" s="452"/>
      <c r="X87" s="451" t="s">
        <v>42</v>
      </c>
      <c r="Y87" s="450">
        <f>Y62+Y66</f>
        <v>81707.040000000008</v>
      </c>
      <c r="Z87" s="120"/>
    </row>
    <row r="88" spans="1:26">
      <c r="A88" s="496" t="s">
        <v>336</v>
      </c>
      <c r="L88" s="22"/>
      <c r="M88" s="23"/>
      <c r="N88" s="23"/>
      <c r="O88" s="119"/>
      <c r="V88" s="452"/>
      <c r="W88" s="452"/>
      <c r="X88" s="451" t="s">
        <v>213</v>
      </c>
      <c r="Y88" s="450">
        <f>Y63+Y65</f>
        <v>100.95652173913044</v>
      </c>
      <c r="Z88" s="120"/>
    </row>
    <row r="89" spans="1:26">
      <c r="A89" s="23"/>
      <c r="B89" s="23"/>
      <c r="C89" s="133"/>
      <c r="D89" s="134"/>
      <c r="E89" s="135"/>
      <c r="F89" s="23"/>
      <c r="G89" s="23"/>
      <c r="H89" s="23"/>
      <c r="I89" s="23"/>
      <c r="L89" s="22"/>
      <c r="M89" s="23"/>
      <c r="N89" s="23"/>
      <c r="O89" s="119"/>
      <c r="V89" s="140"/>
      <c r="W89" s="140"/>
      <c r="X89" s="528" t="s">
        <v>299</v>
      </c>
      <c r="Y89" s="450">
        <f>Y74</f>
        <v>60429.12000000001</v>
      </c>
      <c r="Z89" s="120"/>
    </row>
    <row r="90" spans="1:26" ht="13" customHeight="1">
      <c r="A90" s="23"/>
      <c r="B90" s="23"/>
      <c r="C90" s="133"/>
      <c r="D90" s="134"/>
      <c r="E90" s="135"/>
      <c r="F90" s="23"/>
      <c r="G90" s="23"/>
      <c r="H90" s="23"/>
      <c r="I90" s="23"/>
      <c r="L90" s="22"/>
      <c r="O90" s="119"/>
      <c r="Z90" s="120"/>
    </row>
    <row r="91" spans="1:26">
      <c r="A91" s="23"/>
      <c r="B91" s="23"/>
      <c r="C91" s="133"/>
      <c r="D91" s="134"/>
      <c r="E91" s="135"/>
      <c r="F91" s="23"/>
      <c r="G91" s="23"/>
      <c r="H91" s="23"/>
      <c r="I91" s="23"/>
      <c r="L91" s="22"/>
      <c r="O91" s="119"/>
      <c r="Z91" s="120"/>
    </row>
    <row r="92" spans="1:26">
      <c r="A92" s="23"/>
      <c r="B92" s="23"/>
      <c r="C92" s="133"/>
      <c r="D92" s="134"/>
      <c r="E92" s="135"/>
      <c r="F92" s="23"/>
      <c r="G92" s="23"/>
      <c r="H92" s="23"/>
      <c r="I92" s="23"/>
      <c r="L92" s="22"/>
      <c r="O92" s="119"/>
      <c r="Z92" s="120"/>
    </row>
    <row r="93" spans="1:26">
      <c r="A93" s="23"/>
      <c r="B93" s="23"/>
      <c r="C93" s="133"/>
      <c r="D93" s="134"/>
      <c r="E93" s="135"/>
      <c r="F93" s="23"/>
      <c r="G93" s="23"/>
      <c r="H93" s="23"/>
      <c r="I93" s="23"/>
      <c r="O93" s="119"/>
      <c r="Z93" s="120"/>
    </row>
    <row r="94" spans="1:26">
      <c r="A94" s="23"/>
      <c r="B94" s="23"/>
      <c r="C94" s="133"/>
      <c r="D94" s="134"/>
      <c r="E94" s="135"/>
      <c r="F94" s="23"/>
      <c r="G94" s="23"/>
      <c r="H94" s="23"/>
      <c r="I94" s="23"/>
      <c r="O94" s="119"/>
      <c r="Z94" s="120"/>
    </row>
    <row r="95" spans="1:26">
      <c r="A95" s="23"/>
      <c r="B95" s="23"/>
      <c r="C95" s="133"/>
      <c r="D95" s="134"/>
      <c r="E95" s="135"/>
      <c r="F95" s="23"/>
      <c r="G95" s="23"/>
      <c r="H95" s="23"/>
      <c r="I95" s="23"/>
      <c r="O95" s="119"/>
      <c r="Z95" s="120"/>
    </row>
    <row r="96" spans="1:26">
      <c r="A96" s="23"/>
      <c r="B96" s="23"/>
      <c r="C96" s="133"/>
      <c r="D96" s="134"/>
      <c r="E96" s="135"/>
      <c r="F96" s="23"/>
      <c r="G96" s="23"/>
      <c r="H96" s="23"/>
      <c r="I96" s="23"/>
      <c r="O96" s="24"/>
      <c r="Z96" s="25"/>
    </row>
    <row r="97" spans="1:26" ht="13" customHeight="1">
      <c r="A97" s="23"/>
      <c r="B97" s="23"/>
      <c r="C97" s="133"/>
      <c r="D97" s="134"/>
      <c r="E97" s="135"/>
      <c r="F97" s="23"/>
      <c r="G97" s="23"/>
      <c r="H97" s="23"/>
      <c r="I97" s="23"/>
      <c r="O97" s="24"/>
      <c r="Z97" s="25"/>
    </row>
    <row r="98" spans="1:26">
      <c r="A98" s="23"/>
      <c r="B98" s="23"/>
      <c r="C98" s="133"/>
      <c r="D98" s="134"/>
      <c r="E98" s="135"/>
      <c r="F98" s="23"/>
      <c r="G98" s="23"/>
      <c r="H98" s="23"/>
      <c r="I98" s="23"/>
      <c r="O98" s="24"/>
      <c r="Z98" s="25"/>
    </row>
    <row r="99" spans="1:26">
      <c r="A99" s="23"/>
      <c r="B99" s="23"/>
      <c r="C99" s="133"/>
      <c r="D99" s="134"/>
      <c r="E99" s="135"/>
      <c r="F99" s="23"/>
      <c r="G99" s="23"/>
      <c r="H99" s="23"/>
      <c r="I99" s="23"/>
      <c r="O99" s="139"/>
      <c r="Z99" s="141"/>
    </row>
    <row r="100" spans="1:26">
      <c r="A100" s="23"/>
      <c r="B100" s="23"/>
      <c r="C100" s="133"/>
      <c r="D100" s="134"/>
      <c r="E100" s="135"/>
      <c r="F100" s="23"/>
      <c r="G100" s="23"/>
      <c r="H100" s="23"/>
      <c r="I100" s="23"/>
    </row>
    <row r="101" spans="1:26">
      <c r="A101" s="23"/>
      <c r="B101" s="23"/>
      <c r="C101" s="133"/>
      <c r="D101" s="134"/>
      <c r="E101" s="135"/>
      <c r="F101" s="23"/>
      <c r="G101" s="23"/>
      <c r="H101" s="23"/>
      <c r="I101" s="23"/>
    </row>
    <row r="102" spans="1:26">
      <c r="A102" s="23"/>
      <c r="B102" s="23"/>
      <c r="C102" s="133"/>
      <c r="D102" s="134"/>
      <c r="E102" s="135"/>
      <c r="F102" s="23"/>
      <c r="G102" s="23"/>
      <c r="H102" s="23"/>
      <c r="I102" s="23"/>
    </row>
    <row r="103" spans="1:26">
      <c r="A103" s="23"/>
      <c r="B103" s="23"/>
      <c r="C103" s="133"/>
      <c r="D103" s="134"/>
      <c r="E103" s="135"/>
      <c r="F103" s="23"/>
      <c r="G103" s="23"/>
      <c r="H103" s="23"/>
      <c r="I103" s="23"/>
    </row>
    <row r="104" spans="1:26">
      <c r="A104" s="23"/>
      <c r="B104" s="23"/>
      <c r="C104" s="133"/>
      <c r="D104" s="134"/>
      <c r="E104" s="135"/>
      <c r="F104" s="23"/>
      <c r="G104" s="23"/>
      <c r="H104" s="23"/>
      <c r="I104" s="23"/>
    </row>
    <row r="105" spans="1:26">
      <c r="A105" s="23"/>
      <c r="B105" s="23"/>
      <c r="C105" s="133"/>
      <c r="D105" s="134"/>
      <c r="E105" s="135"/>
      <c r="F105" s="23"/>
      <c r="G105" s="23"/>
      <c r="H105" s="23"/>
      <c r="I105" s="23"/>
    </row>
    <row r="106" spans="1:26">
      <c r="A106" s="23"/>
      <c r="B106" s="23"/>
      <c r="C106" s="133"/>
      <c r="D106" s="134"/>
      <c r="E106" s="135"/>
      <c r="F106" s="23"/>
      <c r="G106" s="23"/>
      <c r="H106" s="23"/>
      <c r="I106" s="23"/>
    </row>
    <row r="107" spans="1:26" ht="13" customHeight="1">
      <c r="A107" s="23"/>
      <c r="B107" s="23"/>
      <c r="C107" s="133"/>
      <c r="D107" s="134"/>
      <c r="E107" s="135"/>
      <c r="F107" s="23"/>
      <c r="G107" s="23"/>
      <c r="H107" s="23"/>
      <c r="I107" s="23"/>
    </row>
    <row r="108" spans="1:26">
      <c r="A108" s="23"/>
      <c r="B108" s="23"/>
      <c r="C108" s="133"/>
      <c r="D108" s="134"/>
      <c r="E108" s="135"/>
      <c r="F108" s="23"/>
      <c r="G108" s="23"/>
      <c r="H108" s="23"/>
      <c r="I108" s="23"/>
    </row>
    <row r="109" spans="1:26" ht="15.75" customHeight="1">
      <c r="A109" s="23"/>
      <c r="B109" s="23"/>
      <c r="C109" s="133"/>
      <c r="D109" s="134"/>
      <c r="E109" s="135"/>
      <c r="F109" s="23"/>
      <c r="G109" s="23"/>
      <c r="H109" s="23"/>
      <c r="I109" s="23"/>
    </row>
    <row r="110" spans="1:26">
      <c r="A110" s="23"/>
      <c r="B110" s="23"/>
      <c r="C110" s="133"/>
      <c r="D110" s="134"/>
      <c r="E110" s="135"/>
      <c r="F110" s="23"/>
      <c r="G110" s="23"/>
      <c r="H110" s="23"/>
      <c r="I110" s="23"/>
    </row>
    <row r="111" spans="1:26">
      <c r="A111" s="23"/>
      <c r="B111" s="23"/>
      <c r="C111" s="133"/>
      <c r="D111" s="134"/>
      <c r="E111" s="135"/>
      <c r="F111" s="23"/>
      <c r="G111" s="23"/>
      <c r="H111" s="23"/>
      <c r="I111" s="23"/>
    </row>
    <row r="112" spans="1:26" ht="15.75" customHeight="1">
      <c r="A112" s="23"/>
      <c r="B112" s="23"/>
      <c r="C112" s="133"/>
      <c r="D112" s="134"/>
      <c r="E112" s="135"/>
      <c r="F112" s="23"/>
      <c r="G112" s="23"/>
      <c r="H112" s="23"/>
      <c r="I112" s="23"/>
    </row>
    <row r="113" spans="1:9">
      <c r="A113" s="23"/>
      <c r="B113" s="23"/>
      <c r="C113" s="133"/>
      <c r="D113" s="134"/>
      <c r="E113" s="135"/>
      <c r="F113" s="23"/>
      <c r="G113" s="23"/>
      <c r="H113" s="23"/>
      <c r="I113" s="23"/>
    </row>
    <row r="114" spans="1:9">
      <c r="A114" s="23"/>
      <c r="B114" s="23"/>
      <c r="C114" s="133"/>
      <c r="D114" s="134"/>
      <c r="E114" s="135"/>
      <c r="F114" s="23"/>
      <c r="G114" s="23"/>
      <c r="H114" s="23"/>
      <c r="I114" s="23"/>
    </row>
    <row r="115" spans="1:9">
      <c r="A115" s="23"/>
      <c r="B115" s="23"/>
      <c r="C115" s="133"/>
      <c r="D115" s="134"/>
      <c r="E115" s="135"/>
      <c r="F115" s="23"/>
      <c r="G115" s="23"/>
      <c r="H115" s="23"/>
      <c r="I115" s="23"/>
    </row>
    <row r="116" spans="1:9">
      <c r="A116" s="23"/>
      <c r="B116" s="23"/>
      <c r="C116" s="133"/>
      <c r="D116" s="134"/>
      <c r="E116" s="135"/>
      <c r="F116" s="23"/>
      <c r="G116" s="23"/>
      <c r="H116" s="23"/>
      <c r="I116" s="23"/>
    </row>
    <row r="117" spans="1:9">
      <c r="A117" s="23"/>
      <c r="B117" s="23"/>
      <c r="C117" s="133"/>
      <c r="D117" s="134"/>
      <c r="E117" s="135"/>
      <c r="F117" s="23"/>
      <c r="G117" s="23"/>
      <c r="H117" s="23"/>
      <c r="I117" s="23"/>
    </row>
    <row r="118" spans="1:9">
      <c r="A118" s="23"/>
      <c r="B118" s="23"/>
      <c r="C118" s="133"/>
      <c r="D118" s="134"/>
      <c r="E118" s="135"/>
      <c r="F118" s="23"/>
      <c r="G118" s="23"/>
      <c r="H118" s="23"/>
      <c r="I118" s="23"/>
    </row>
    <row r="119" spans="1:9">
      <c r="A119" s="23"/>
      <c r="B119" s="23"/>
      <c r="C119" s="133"/>
      <c r="D119" s="134"/>
      <c r="E119" s="135"/>
      <c r="F119" s="23"/>
      <c r="G119" s="23"/>
      <c r="H119" s="23"/>
      <c r="I119" s="23"/>
    </row>
    <row r="120" spans="1:9">
      <c r="A120" s="23"/>
      <c r="B120" s="23"/>
      <c r="C120" s="133"/>
      <c r="D120" s="134"/>
      <c r="E120" s="135"/>
      <c r="F120" s="23"/>
      <c r="G120" s="23"/>
      <c r="H120" s="23"/>
      <c r="I120" s="23"/>
    </row>
    <row r="121" spans="1:9">
      <c r="A121" s="23"/>
      <c r="B121" s="23"/>
      <c r="C121" s="133"/>
      <c r="D121" s="134"/>
      <c r="E121" s="135"/>
      <c r="F121" s="23"/>
      <c r="G121" s="23"/>
      <c r="H121" s="23"/>
      <c r="I121" s="23"/>
    </row>
    <row r="122" spans="1:9">
      <c r="A122" s="23"/>
      <c r="B122" s="23"/>
      <c r="C122" s="133"/>
      <c r="D122" s="134"/>
      <c r="E122" s="135"/>
      <c r="F122" s="23"/>
      <c r="G122" s="23"/>
      <c r="H122" s="23"/>
      <c r="I122" s="23"/>
    </row>
    <row r="123" spans="1:9">
      <c r="A123" s="23"/>
      <c r="B123" s="23"/>
      <c r="C123" s="133"/>
      <c r="D123" s="134"/>
      <c r="E123" s="135"/>
      <c r="F123" s="23"/>
      <c r="G123" s="23"/>
      <c r="H123" s="23"/>
      <c r="I123" s="23"/>
    </row>
    <row r="124" spans="1:9">
      <c r="A124" s="23"/>
      <c r="B124" s="23"/>
      <c r="C124" s="133"/>
      <c r="D124" s="134"/>
      <c r="E124" s="135"/>
      <c r="F124" s="23"/>
      <c r="G124" s="23"/>
      <c r="H124" s="23"/>
      <c r="I124" s="23"/>
    </row>
    <row r="125" spans="1:9">
      <c r="A125" s="23"/>
      <c r="B125" s="23"/>
      <c r="C125" s="133"/>
      <c r="D125" s="134"/>
      <c r="E125" s="135"/>
      <c r="F125" s="23"/>
      <c r="G125" s="23"/>
      <c r="H125" s="23"/>
      <c r="I125" s="23"/>
    </row>
    <row r="126" spans="1:9">
      <c r="A126" s="23"/>
      <c r="B126" s="23"/>
      <c r="C126" s="133"/>
      <c r="D126" s="134"/>
      <c r="E126" s="135"/>
      <c r="F126" s="23"/>
      <c r="G126" s="23"/>
      <c r="H126" s="23"/>
      <c r="I126" s="23"/>
    </row>
    <row r="127" spans="1:9">
      <c r="A127" s="23"/>
      <c r="B127" s="23"/>
      <c r="C127" s="133"/>
      <c r="D127" s="134"/>
      <c r="E127" s="135"/>
      <c r="F127" s="23"/>
      <c r="G127" s="23"/>
      <c r="H127" s="23"/>
      <c r="I127" s="23"/>
    </row>
    <row r="128" spans="1:9">
      <c r="A128" s="23"/>
      <c r="B128" s="23"/>
      <c r="C128" s="133"/>
      <c r="D128" s="134"/>
      <c r="E128" s="135"/>
      <c r="F128" s="23"/>
      <c r="G128" s="23"/>
      <c r="H128" s="23"/>
      <c r="I128" s="23"/>
    </row>
    <row r="129" spans="1:14">
      <c r="A129" s="23"/>
      <c r="B129" s="23"/>
      <c r="C129" s="133"/>
      <c r="D129" s="134"/>
      <c r="E129" s="135"/>
      <c r="F129" s="23"/>
      <c r="G129" s="23"/>
      <c r="H129" s="23"/>
      <c r="I129" s="23"/>
    </row>
    <row r="130" spans="1:14">
      <c r="A130" s="23"/>
      <c r="B130" s="23"/>
      <c r="C130" s="133"/>
      <c r="D130" s="134"/>
      <c r="E130" s="135"/>
      <c r="F130" s="23"/>
      <c r="G130" s="23"/>
      <c r="H130" s="23"/>
      <c r="I130" s="23"/>
    </row>
    <row r="131" spans="1:14">
      <c r="A131" s="23"/>
      <c r="B131" s="23"/>
      <c r="C131" s="133"/>
      <c r="D131" s="134"/>
      <c r="E131" s="135"/>
      <c r="F131" s="23"/>
      <c r="G131" s="23"/>
      <c r="H131" s="23"/>
      <c r="I131" s="23"/>
    </row>
    <row r="132" spans="1:14">
      <c r="A132" s="23"/>
      <c r="B132" s="23"/>
      <c r="C132" s="133"/>
      <c r="D132" s="134"/>
      <c r="E132" s="135"/>
      <c r="F132" s="23"/>
      <c r="G132" s="23"/>
      <c r="H132" s="23"/>
      <c r="I132" s="23"/>
    </row>
    <row r="133" spans="1:14">
      <c r="A133" s="23"/>
      <c r="B133" s="23"/>
      <c r="C133" s="133"/>
      <c r="D133" s="134"/>
      <c r="E133" s="135"/>
      <c r="F133" s="23"/>
      <c r="G133" s="23"/>
      <c r="H133" s="23"/>
      <c r="I133" s="23"/>
    </row>
    <row r="134" spans="1:14">
      <c r="A134" s="23"/>
      <c r="B134" s="23"/>
      <c r="C134" s="133"/>
      <c r="D134" s="134"/>
      <c r="E134" s="135"/>
      <c r="F134" s="23"/>
      <c r="G134" s="23"/>
      <c r="H134" s="23"/>
      <c r="I134" s="23"/>
    </row>
    <row r="135" spans="1:14">
      <c r="A135" s="23"/>
      <c r="B135" s="23"/>
      <c r="C135" s="133"/>
      <c r="D135" s="134"/>
      <c r="E135" s="135"/>
      <c r="F135" s="23"/>
      <c r="G135" s="23"/>
      <c r="H135" s="23"/>
      <c r="I135" s="23"/>
    </row>
    <row r="136" spans="1:14">
      <c r="A136" s="23"/>
      <c r="B136" s="23"/>
      <c r="C136" s="133"/>
      <c r="D136" s="134"/>
      <c r="E136" s="135"/>
      <c r="F136" s="23"/>
      <c r="G136" s="23"/>
      <c r="H136" s="23"/>
      <c r="I136" s="23"/>
      <c r="M136" s="23"/>
      <c r="N136" s="23"/>
    </row>
    <row r="137" spans="1:14">
      <c r="A137" s="23"/>
      <c r="B137" s="23"/>
      <c r="C137" s="133"/>
      <c r="D137" s="134"/>
      <c r="E137" s="135"/>
      <c r="F137" s="23"/>
      <c r="G137" s="23"/>
      <c r="H137" s="23"/>
      <c r="I137" s="23"/>
      <c r="M137" s="23"/>
      <c r="N137" s="23"/>
    </row>
    <row r="138" spans="1:14">
      <c r="A138" s="23"/>
      <c r="B138" s="23"/>
      <c r="C138" s="133"/>
      <c r="D138" s="134"/>
      <c r="E138" s="135"/>
      <c r="F138" s="23"/>
      <c r="G138" s="23"/>
      <c r="H138" s="23"/>
      <c r="I138" s="23"/>
      <c r="M138" s="23"/>
      <c r="N138" s="23"/>
    </row>
    <row r="139" spans="1:14">
      <c r="A139" s="23"/>
      <c r="B139" s="23"/>
      <c r="C139" s="133"/>
      <c r="D139" s="134"/>
      <c r="E139" s="135"/>
      <c r="F139" s="23"/>
      <c r="G139" s="23"/>
      <c r="H139" s="23"/>
      <c r="I139" s="23"/>
      <c r="M139" s="22"/>
      <c r="N139" s="22"/>
    </row>
    <row r="140" spans="1:14">
      <c r="A140" s="23"/>
      <c r="B140" s="23"/>
      <c r="C140" s="133"/>
      <c r="D140" s="134"/>
      <c r="E140" s="135"/>
      <c r="F140" s="23"/>
      <c r="G140" s="23"/>
      <c r="H140" s="23"/>
      <c r="I140" s="23"/>
      <c r="M140" s="22"/>
      <c r="N140" s="22"/>
    </row>
    <row r="141" spans="1:14">
      <c r="A141" s="22"/>
      <c r="B141" s="22"/>
      <c r="C141" s="144"/>
      <c r="D141" s="145"/>
      <c r="E141" s="146"/>
      <c r="F141" s="22"/>
      <c r="G141" s="22"/>
      <c r="H141" s="22"/>
      <c r="I141" s="22"/>
      <c r="M141" s="22"/>
      <c r="N141" s="22"/>
    </row>
    <row r="142" spans="1:14">
      <c r="A142" s="22"/>
      <c r="B142" s="22"/>
      <c r="C142" s="144"/>
      <c r="D142" s="145"/>
      <c r="E142" s="146"/>
      <c r="F142" s="22"/>
      <c r="G142" s="22"/>
      <c r="H142" s="22"/>
      <c r="I142" s="22"/>
      <c r="M142" s="22"/>
      <c r="N142" s="22"/>
    </row>
    <row r="143" spans="1:14">
      <c r="A143" s="22"/>
      <c r="B143" s="22"/>
      <c r="C143" s="144"/>
      <c r="D143" s="145"/>
      <c r="E143" s="146"/>
      <c r="F143" s="22"/>
      <c r="G143" s="22"/>
      <c r="H143" s="22"/>
      <c r="I143" s="22"/>
      <c r="M143" s="22"/>
      <c r="N143" s="22"/>
    </row>
    <row r="144" spans="1:14">
      <c r="A144" s="22"/>
      <c r="B144" s="22"/>
      <c r="C144" s="144"/>
      <c r="D144" s="145"/>
      <c r="E144" s="146"/>
      <c r="F144" s="22"/>
      <c r="G144" s="22"/>
      <c r="H144" s="22"/>
      <c r="I144" s="22"/>
      <c r="M144" s="22"/>
      <c r="N144" s="22"/>
    </row>
    <row r="145" spans="1:14">
      <c r="A145" s="22"/>
      <c r="B145" s="22"/>
      <c r="C145" s="144"/>
      <c r="D145" s="145"/>
      <c r="E145" s="146"/>
      <c r="F145" s="22"/>
      <c r="G145" s="22"/>
      <c r="H145" s="22"/>
      <c r="I145" s="22"/>
      <c r="M145" s="22"/>
      <c r="N145" s="22"/>
    </row>
    <row r="146" spans="1:14">
      <c r="A146" s="22"/>
      <c r="B146" s="22"/>
      <c r="C146" s="144"/>
      <c r="D146" s="145"/>
      <c r="E146" s="146"/>
      <c r="F146" s="22"/>
      <c r="G146" s="22"/>
      <c r="H146" s="22"/>
      <c r="I146" s="22"/>
      <c r="M146" s="22"/>
      <c r="N146" s="22"/>
    </row>
    <row r="147" spans="1:14">
      <c r="A147" s="22"/>
      <c r="B147" s="22"/>
      <c r="C147" s="144"/>
      <c r="D147" s="145"/>
      <c r="E147" s="146"/>
      <c r="F147" s="22"/>
      <c r="G147" s="22"/>
      <c r="H147" s="22"/>
      <c r="I147" s="22"/>
      <c r="M147" s="22"/>
      <c r="N147" s="22"/>
    </row>
    <row r="148" spans="1:14">
      <c r="A148" s="22"/>
      <c r="B148" s="22"/>
      <c r="C148" s="144"/>
      <c r="D148" s="145"/>
      <c r="E148" s="146"/>
      <c r="F148" s="22"/>
      <c r="G148" s="22"/>
      <c r="H148" s="22"/>
      <c r="I148" s="22"/>
    </row>
    <row r="149" spans="1:14">
      <c r="A149" s="22"/>
      <c r="B149" s="22"/>
      <c r="C149" s="144"/>
      <c r="D149" s="145"/>
      <c r="E149" s="146"/>
      <c r="F149" s="22"/>
      <c r="G149" s="22"/>
      <c r="H149" s="22"/>
      <c r="I149" s="22"/>
    </row>
    <row r="150" spans="1:14">
      <c r="C150" s="147"/>
      <c r="D150" s="145"/>
      <c r="E150" s="5"/>
    </row>
    <row r="151" spans="1:14">
      <c r="C151" s="147"/>
      <c r="D151" s="145"/>
      <c r="E151" s="5"/>
    </row>
    <row r="152" spans="1:14">
      <c r="C152" s="147"/>
      <c r="D152" s="145"/>
      <c r="E152" s="5"/>
    </row>
    <row r="153" spans="1:14">
      <c r="C153" s="147"/>
      <c r="D153" s="145"/>
      <c r="E153" s="5"/>
    </row>
    <row r="154" spans="1:14">
      <c r="C154" s="147"/>
      <c r="D154" s="145"/>
      <c r="E154" s="5"/>
    </row>
    <row r="155" spans="1:14">
      <c r="C155" s="147"/>
      <c r="D155" s="145"/>
      <c r="E155" s="5"/>
    </row>
    <row r="156" spans="1:14">
      <c r="C156" s="147"/>
      <c r="D156" s="145"/>
      <c r="E156" s="5"/>
    </row>
    <row r="157" spans="1:14">
      <c r="C157" s="147"/>
      <c r="D157" s="145"/>
      <c r="E157" s="5"/>
    </row>
    <row r="213" spans="4:5" ht="12.75" customHeight="1">
      <c r="D213" s="5"/>
      <c r="E213" s="5"/>
    </row>
  </sheetData>
  <mergeCells count="22">
    <mergeCell ref="T69:T70"/>
    <mergeCell ref="P48:Y48"/>
    <mergeCell ref="P49:Q52"/>
    <mergeCell ref="R49:R52"/>
    <mergeCell ref="S49:S52"/>
    <mergeCell ref="T49:U50"/>
    <mergeCell ref="V49:W49"/>
    <mergeCell ref="X49:X52"/>
    <mergeCell ref="P55:Q56"/>
    <mergeCell ref="T55:T56"/>
    <mergeCell ref="P59:Q60"/>
    <mergeCell ref="T59:T60"/>
    <mergeCell ref="P62:Q63"/>
    <mergeCell ref="T62:T63"/>
    <mergeCell ref="P65:Q66"/>
    <mergeCell ref="T65:T66"/>
    <mergeCell ref="P80:Q81"/>
    <mergeCell ref="T80:T81"/>
    <mergeCell ref="P74:Q75"/>
    <mergeCell ref="T74:T75"/>
    <mergeCell ref="P77:Q78"/>
    <mergeCell ref="T77:T78"/>
  </mergeCells>
  <hyperlinks>
    <hyperlink ref="D56" r:id="rId1" xr:uid="{080CD5B7-BB07-A24A-9FC1-A7E67CB84E7F}"/>
    <hyperlink ref="D62" r:id="rId2" xr:uid="{1CEA8A1A-949D-264F-90A7-317E1E1CB95D}"/>
    <hyperlink ref="D66" r:id="rId3" xr:uid="{09EA1346-EB35-A341-B8DD-9A6FA354F056}"/>
    <hyperlink ref="D67" r:id="rId4" xr:uid="{A6B7E4D9-2067-9644-80AE-7992945BE097}"/>
    <hyperlink ref="D68" r:id="rId5" xr:uid="{75D21F8B-9448-F747-8F69-2CB87D786B76}"/>
    <hyperlink ref="D69" r:id="rId6" xr:uid="{4DF2F9FB-553A-C743-B4DB-3ECBAE0E2A01}"/>
    <hyperlink ref="D70" r:id="rId7" xr:uid="{D9674988-32DF-B641-8248-4D7CF7775E3B}"/>
    <hyperlink ref="D71" r:id="rId8" xr:uid="{BB394D5E-C0BC-504D-89EB-ECBAD349230A}"/>
    <hyperlink ref="D72" r:id="rId9" xr:uid="{22755B9D-3501-6B4D-9B0C-88DD27F94255}"/>
    <hyperlink ref="D36" r:id="rId10" xr:uid="{1BDA0557-2BC6-F349-BC90-FE1257902CA5}"/>
    <hyperlink ref="D39" r:id="rId11" xr:uid="{3706A9AE-A016-4F4C-91DD-522C4E41562C}"/>
    <hyperlink ref="D57" r:id="rId12" xr:uid="{DA5283CE-28AD-1543-B02C-3D7814941BDA}"/>
    <hyperlink ref="D45" r:id="rId13" xr:uid="{4373D048-60DD-8D42-B70C-E8CB14FA6CAE}"/>
    <hyperlink ref="D41" r:id="rId14" xr:uid="{1FC671D1-C142-0949-A877-1AE5E592C2FB}"/>
    <hyperlink ref="D28" r:id="rId15" xr:uid="{8D9A950C-F80A-0648-B8EA-BB4B4C46C015}"/>
    <hyperlink ref="D34" r:id="rId16" xr:uid="{11505E99-F2D4-9141-A314-4E01F8782174}"/>
    <hyperlink ref="D51" r:id="rId17" xr:uid="{B28CF77F-DBC5-2D4F-ADFD-B426AAFA0C84}"/>
    <hyperlink ref="D30" r:id="rId18" xr:uid="{2C1A7B14-9B7A-9D40-8BDE-51A3E9887D6B}"/>
    <hyperlink ref="D13" r:id="rId19" xr:uid="{1E10B161-408E-AC42-9723-CFAE6F722682}"/>
    <hyperlink ref="D8" r:id="rId20" xr:uid="{962EE1F1-C204-024A-91B9-A8F1D0F1C11A}"/>
  </hyperlinks>
  <pageMargins left="0.7" right="0.7" top="0.75" bottom="0.75" header="0.3" footer="0.3"/>
  <legacyDrawing r:id="rId2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C2:I71"/>
  <sheetViews>
    <sheetView topLeftCell="A43" zoomScale="86" zoomScaleNormal="55" zoomScalePageLayoutView="70" workbookViewId="0">
      <selection activeCell="C27" sqref="C27"/>
    </sheetView>
  </sheetViews>
  <sheetFormatPr baseColWidth="10" defaultColWidth="10.83203125" defaultRowHeight="14"/>
  <cols>
    <col min="1" max="2" width="10.83203125" style="550"/>
    <col min="3" max="3" width="43.33203125" style="550" customWidth="1"/>
    <col min="4" max="4" width="26.1640625" style="550" customWidth="1"/>
    <col min="5" max="5" width="23.33203125" style="550" customWidth="1"/>
    <col min="6" max="6" width="24.83203125" style="550" customWidth="1"/>
    <col min="7" max="7" width="21.1640625" style="550" customWidth="1"/>
    <col min="8" max="16384" width="10.83203125" style="550"/>
  </cols>
  <sheetData>
    <row r="2" spans="3:9" ht="45">
      <c r="C2" s="549"/>
      <c r="D2" s="549" t="s">
        <v>266</v>
      </c>
      <c r="E2" s="549" t="s">
        <v>267</v>
      </c>
      <c r="F2" s="549" t="s">
        <v>277</v>
      </c>
      <c r="G2" s="549" t="s">
        <v>369</v>
      </c>
    </row>
    <row r="3" spans="3:9" ht="15">
      <c r="C3" s="551" t="s">
        <v>375</v>
      </c>
      <c r="D3" s="547">
        <f>5890.259-397.72</f>
        <v>5492.5389999999998</v>
      </c>
      <c r="E3" s="547">
        <f>6024.588-430.72</f>
        <v>5593.8679999999995</v>
      </c>
      <c r="F3" s="547">
        <f>D3+E3</f>
        <v>11086.406999999999</v>
      </c>
      <c r="G3" s="568">
        <v>11086.41</v>
      </c>
      <c r="I3" s="572"/>
    </row>
    <row r="4" spans="3:9" ht="15">
      <c r="C4" s="551" t="s">
        <v>342</v>
      </c>
      <c r="D4" s="547">
        <v>2139.422</v>
      </c>
      <c r="E4" s="547">
        <v>2124.7220000000002</v>
      </c>
      <c r="F4" s="547">
        <f t="shared" ref="F4:F19" si="0">D4+E4</f>
        <v>4264.1440000000002</v>
      </c>
      <c r="G4" s="568">
        <v>4264.1440000000002</v>
      </c>
    </row>
    <row r="5" spans="3:9" ht="15">
      <c r="C5" s="551" t="s">
        <v>343</v>
      </c>
      <c r="D5" s="547">
        <v>2436.85</v>
      </c>
      <c r="E5" s="547">
        <v>2358.4189999999999</v>
      </c>
      <c r="F5" s="547">
        <f t="shared" si="0"/>
        <v>4795.2690000000002</v>
      </c>
      <c r="G5" s="568">
        <v>4795.2690000000002</v>
      </c>
    </row>
    <row r="6" spans="3:9" ht="15">
      <c r="C6" s="551" t="s">
        <v>344</v>
      </c>
      <c r="D6" s="547">
        <v>1570.1079999999999</v>
      </c>
      <c r="E6" s="547">
        <v>1206.9010000000001</v>
      </c>
      <c r="F6" s="547">
        <f t="shared" si="0"/>
        <v>2777.009</v>
      </c>
      <c r="G6" s="568">
        <v>2777.009</v>
      </c>
    </row>
    <row r="7" spans="3:9" ht="15">
      <c r="C7" s="551" t="s">
        <v>345</v>
      </c>
      <c r="D7" s="547">
        <v>509.233</v>
      </c>
      <c r="E7" s="547">
        <v>489.49900000000002</v>
      </c>
      <c r="F7" s="547">
        <f t="shared" si="0"/>
        <v>998.73199999999997</v>
      </c>
      <c r="G7" s="568">
        <v>998.73199999999997</v>
      </c>
    </row>
    <row r="8" spans="3:9" ht="15">
      <c r="C8" s="551" t="s">
        <v>346</v>
      </c>
      <c r="D8" s="547">
        <v>983.84900000000005</v>
      </c>
      <c r="E8" s="547">
        <v>924.36</v>
      </c>
      <c r="F8" s="547">
        <f t="shared" si="0"/>
        <v>1908.2090000000001</v>
      </c>
      <c r="G8" s="568">
        <v>1908.2090000000001</v>
      </c>
    </row>
    <row r="9" spans="3:9" ht="15">
      <c r="C9" s="551" t="s">
        <v>379</v>
      </c>
      <c r="D9" s="547">
        <v>628.54100000000005</v>
      </c>
      <c r="E9" s="547">
        <v>601.54399999999998</v>
      </c>
      <c r="F9" s="547">
        <f t="shared" si="0"/>
        <v>1230.085</v>
      </c>
      <c r="G9" s="568">
        <v>1230.085</v>
      </c>
    </row>
    <row r="10" spans="3:9" ht="15">
      <c r="C10" s="551" t="s">
        <v>347</v>
      </c>
      <c r="D10" s="547">
        <v>829.57100000000003</v>
      </c>
      <c r="E10" s="547">
        <v>766.47900000000004</v>
      </c>
      <c r="F10" s="547">
        <f t="shared" si="0"/>
        <v>1596.0500000000002</v>
      </c>
      <c r="G10" s="568">
        <v>1596.0500000000002</v>
      </c>
    </row>
    <row r="11" spans="3:9" ht="15">
      <c r="C11" s="551" t="s">
        <v>348</v>
      </c>
      <c r="D11" s="547">
        <v>3886.8119999999999</v>
      </c>
      <c r="E11" s="547">
        <v>3728.7510000000002</v>
      </c>
      <c r="F11" s="547">
        <f t="shared" si="0"/>
        <v>7615.5630000000001</v>
      </c>
      <c r="G11" s="568">
        <v>7615.5630000000001</v>
      </c>
    </row>
    <row r="12" spans="3:9" ht="15">
      <c r="C12" s="551" t="s">
        <v>349</v>
      </c>
      <c r="D12" s="547">
        <v>6431.6170000000002</v>
      </c>
      <c r="E12" s="547">
        <v>6316.9930000000004</v>
      </c>
      <c r="F12" s="547">
        <f t="shared" si="0"/>
        <v>12748.61</v>
      </c>
      <c r="G12" s="568">
        <v>12748.61</v>
      </c>
    </row>
    <row r="13" spans="3:9" ht="15">
      <c r="C13" s="551" t="s">
        <v>350</v>
      </c>
      <c r="D13" s="547">
        <v>7576.5169999999998</v>
      </c>
      <c r="E13" s="547">
        <v>7399.6980000000003</v>
      </c>
      <c r="F13" s="547">
        <f t="shared" si="0"/>
        <v>14976.215</v>
      </c>
      <c r="G13" s="568">
        <v>14976.215</v>
      </c>
    </row>
    <row r="14" spans="3:9" ht="15">
      <c r="C14" s="551" t="s">
        <v>351</v>
      </c>
      <c r="D14" s="547">
        <v>6341.8209999999999</v>
      </c>
      <c r="E14" s="547">
        <v>6171.1</v>
      </c>
      <c r="F14" s="547">
        <f t="shared" si="0"/>
        <v>12512.921</v>
      </c>
      <c r="G14" s="568">
        <v>12512.921</v>
      </c>
    </row>
    <row r="15" spans="3:9" ht="15">
      <c r="C15" s="551" t="s">
        <v>352</v>
      </c>
      <c r="D15" s="547">
        <v>5658.98</v>
      </c>
      <c r="E15" s="547">
        <v>5524.6469999999999</v>
      </c>
      <c r="F15" s="547">
        <f t="shared" si="0"/>
        <v>11183.627</v>
      </c>
      <c r="G15" s="568">
        <v>11183.627</v>
      </c>
    </row>
    <row r="16" spans="3:9" ht="15">
      <c r="C16" s="551" t="s">
        <v>353</v>
      </c>
      <c r="D16" s="547">
        <v>2546.87</v>
      </c>
      <c r="E16" s="547">
        <v>2594.415</v>
      </c>
      <c r="F16" s="547">
        <f t="shared" si="0"/>
        <v>5141.2849999999999</v>
      </c>
      <c r="G16" s="568">
        <v>5141.2849999999999</v>
      </c>
    </row>
    <row r="17" spans="3:7" ht="15">
      <c r="C17" s="551" t="s">
        <v>354</v>
      </c>
      <c r="D17" s="547">
        <v>2327.9079999999999</v>
      </c>
      <c r="E17" s="547">
        <v>2231.23</v>
      </c>
      <c r="F17" s="547">
        <f t="shared" si="0"/>
        <v>4559.1379999999999</v>
      </c>
      <c r="G17" s="568">
        <v>4559.1379999999999</v>
      </c>
    </row>
    <row r="18" spans="3:7" ht="15">
      <c r="C18" s="551" t="s">
        <v>355</v>
      </c>
      <c r="D18" s="547">
        <v>3222.748</v>
      </c>
      <c r="E18" s="547">
        <v>3082.578</v>
      </c>
      <c r="F18" s="547">
        <f t="shared" si="0"/>
        <v>6305.326</v>
      </c>
      <c r="G18" s="568">
        <v>6305.326</v>
      </c>
    </row>
    <row r="19" spans="3:7" ht="15">
      <c r="C19" s="551" t="s">
        <v>356</v>
      </c>
      <c r="D19" s="547">
        <v>4067.95</v>
      </c>
      <c r="E19" s="547">
        <v>3862.3009999999999</v>
      </c>
      <c r="F19" s="547">
        <f t="shared" si="0"/>
        <v>7930.2510000000002</v>
      </c>
      <c r="G19" s="568">
        <v>7930.2510000000002</v>
      </c>
    </row>
    <row r="20" spans="3:7" ht="15">
      <c r="C20" s="552" t="s">
        <v>374</v>
      </c>
      <c r="D20" s="553">
        <f>SUM(D3:D7)</f>
        <v>12148.152</v>
      </c>
      <c r="E20" s="553">
        <f>SUM(E3:E7)</f>
        <v>11773.409</v>
      </c>
      <c r="F20" s="553">
        <f>SUM(F3:F7)</f>
        <v>23921.560999999998</v>
      </c>
      <c r="G20" s="568"/>
    </row>
    <row r="21" spans="3:7" ht="15">
      <c r="C21" s="552" t="s">
        <v>358</v>
      </c>
      <c r="D21" s="553">
        <f>SUM(D8:D19)</f>
        <v>44503.184000000001</v>
      </c>
      <c r="E21" s="553">
        <f>SUM(E8:E19)</f>
        <v>43204.096000000005</v>
      </c>
      <c r="F21" s="553">
        <f>SUM(F8:F19)</f>
        <v>87707.280000000013</v>
      </c>
      <c r="G21" s="568"/>
    </row>
    <row r="22" spans="3:7" ht="15">
      <c r="C22" s="552" t="s">
        <v>74</v>
      </c>
      <c r="D22" s="553">
        <f>D20+D21</f>
        <v>56651.336000000003</v>
      </c>
      <c r="E22" s="553">
        <f t="shared" ref="E22" si="1">E20+E21</f>
        <v>54977.505000000005</v>
      </c>
      <c r="F22" s="553">
        <f>F20+F21</f>
        <v>111628.84100000001</v>
      </c>
      <c r="G22" s="568"/>
    </row>
    <row r="25" spans="3:7">
      <c r="C25" s="554"/>
    </row>
    <row r="26" spans="3:7" ht="45">
      <c r="C26" s="549"/>
      <c r="D26" s="549" t="s">
        <v>266</v>
      </c>
      <c r="E26" s="549" t="s">
        <v>267</v>
      </c>
      <c r="F26" s="549" t="s">
        <v>278</v>
      </c>
      <c r="G26" s="549" t="s">
        <v>370</v>
      </c>
    </row>
    <row r="27" spans="3:7" ht="15">
      <c r="C27" s="551" t="s">
        <v>375</v>
      </c>
      <c r="D27" s="548">
        <v>11.22</v>
      </c>
      <c r="E27" s="548">
        <v>5.13</v>
      </c>
      <c r="F27" s="548">
        <f t="shared" ref="F27:F43" si="2">D27+E27</f>
        <v>16.350000000000001</v>
      </c>
      <c r="G27" s="568">
        <v>16.350000000000001</v>
      </c>
    </row>
    <row r="28" spans="3:7" ht="15">
      <c r="C28" s="551" t="s">
        <v>342</v>
      </c>
      <c r="D28" s="548">
        <v>38.604999999999997</v>
      </c>
      <c r="E28" s="548">
        <v>17.178000000000001</v>
      </c>
      <c r="F28" s="548">
        <f t="shared" si="2"/>
        <v>55.783000000000001</v>
      </c>
      <c r="G28" s="568">
        <v>55.783000000000001</v>
      </c>
    </row>
    <row r="29" spans="3:7" ht="15">
      <c r="C29" s="551" t="s">
        <v>343</v>
      </c>
      <c r="D29" s="548">
        <v>27.257000000000001</v>
      </c>
      <c r="E29" s="548">
        <v>13.503</v>
      </c>
      <c r="F29" s="548">
        <f t="shared" si="2"/>
        <v>40.760000000000005</v>
      </c>
      <c r="G29" s="568">
        <v>40.760000000000005</v>
      </c>
    </row>
    <row r="30" spans="3:7" ht="15">
      <c r="C30" s="551" t="s">
        <v>344</v>
      </c>
      <c r="D30" s="548">
        <v>45.55</v>
      </c>
      <c r="E30" s="548">
        <v>33.265999999999998</v>
      </c>
      <c r="F30" s="548">
        <f t="shared" si="2"/>
        <v>78.816000000000003</v>
      </c>
      <c r="G30" s="568">
        <v>78.816000000000003</v>
      </c>
    </row>
    <row r="31" spans="3:7" ht="15">
      <c r="C31" s="551" t="s">
        <v>345</v>
      </c>
      <c r="D31" s="548">
        <v>82.143000000000001</v>
      </c>
      <c r="E31" s="548">
        <v>55.646000000000001</v>
      </c>
      <c r="F31" s="548">
        <f t="shared" si="2"/>
        <v>137.78899999999999</v>
      </c>
      <c r="G31" s="568">
        <v>137.78899999999999</v>
      </c>
    </row>
    <row r="32" spans="3:7" ht="15">
      <c r="C32" s="551" t="s">
        <v>346</v>
      </c>
      <c r="D32" s="548">
        <v>64.153000000000006</v>
      </c>
      <c r="E32" s="548">
        <v>43.655999999999999</v>
      </c>
      <c r="F32" s="548">
        <f t="shared" si="2"/>
        <v>107.809</v>
      </c>
      <c r="G32" s="568">
        <v>107.809</v>
      </c>
    </row>
    <row r="33" spans="3:7" ht="15">
      <c r="C33" s="551" t="s">
        <v>379</v>
      </c>
      <c r="D33" s="548">
        <v>17.495000000000001</v>
      </c>
      <c r="E33" s="548">
        <v>9.7170000000000005</v>
      </c>
      <c r="F33" s="548">
        <f t="shared" si="2"/>
        <v>27.212000000000003</v>
      </c>
      <c r="G33" s="568">
        <v>27.212000000000003</v>
      </c>
    </row>
    <row r="34" spans="3:7" ht="15">
      <c r="C34" s="551" t="s">
        <v>347</v>
      </c>
      <c r="D34" s="548">
        <v>25.452999999999999</v>
      </c>
      <c r="E34" s="548">
        <v>14.739000000000001</v>
      </c>
      <c r="F34" s="548">
        <f t="shared" si="2"/>
        <v>40.192</v>
      </c>
      <c r="G34" s="568">
        <v>40.192</v>
      </c>
    </row>
    <row r="35" spans="3:7" ht="15">
      <c r="C35" s="551" t="s">
        <v>348</v>
      </c>
      <c r="D35" s="548">
        <v>16.481999999999999</v>
      </c>
      <c r="E35" s="548">
        <v>7.8620000000000001</v>
      </c>
      <c r="F35" s="548">
        <f t="shared" si="2"/>
        <v>24.344000000000001</v>
      </c>
      <c r="G35" s="568">
        <v>24.344000000000001</v>
      </c>
    </row>
    <row r="36" spans="3:7" ht="15">
      <c r="C36" s="551" t="s">
        <v>349</v>
      </c>
      <c r="D36" s="548">
        <v>20.937000000000001</v>
      </c>
      <c r="E36" s="548">
        <v>8.81</v>
      </c>
      <c r="F36" s="548">
        <f t="shared" si="2"/>
        <v>29.747</v>
      </c>
      <c r="G36" s="568">
        <v>29.747</v>
      </c>
    </row>
    <row r="37" spans="3:7" ht="15">
      <c r="C37" s="551" t="s">
        <v>350</v>
      </c>
      <c r="D37" s="548">
        <v>10.492000000000001</v>
      </c>
      <c r="E37" s="548">
        <v>4.1760000000000002</v>
      </c>
      <c r="F37" s="548">
        <f t="shared" si="2"/>
        <v>14.668000000000001</v>
      </c>
      <c r="G37" s="568">
        <v>14.668000000000001</v>
      </c>
    </row>
    <row r="38" spans="3:7" ht="15">
      <c r="C38" s="551" t="s">
        <v>351</v>
      </c>
      <c r="D38" s="548">
        <v>19.881</v>
      </c>
      <c r="E38" s="548">
        <v>9.0939999999999994</v>
      </c>
      <c r="F38" s="548">
        <f t="shared" si="2"/>
        <v>28.975000000000001</v>
      </c>
      <c r="G38" s="568">
        <v>28.975000000000001</v>
      </c>
    </row>
    <row r="39" spans="3:7" ht="15">
      <c r="C39" s="551" t="s">
        <v>352</v>
      </c>
      <c r="D39" s="548">
        <v>21.684000000000001</v>
      </c>
      <c r="E39" s="548">
        <v>10.617000000000001</v>
      </c>
      <c r="F39" s="548">
        <f t="shared" si="2"/>
        <v>32.301000000000002</v>
      </c>
      <c r="G39" s="568">
        <v>32.301000000000002</v>
      </c>
    </row>
    <row r="40" spans="3:7" ht="15">
      <c r="C40" s="551" t="s">
        <v>353</v>
      </c>
      <c r="D40" s="548">
        <v>21.417000000000002</v>
      </c>
      <c r="E40" s="548">
        <v>10.252000000000001</v>
      </c>
      <c r="F40" s="548">
        <f t="shared" si="2"/>
        <v>31.669000000000004</v>
      </c>
      <c r="G40" s="568">
        <v>31.669000000000004</v>
      </c>
    </row>
    <row r="41" spans="3:7" ht="15">
      <c r="C41" s="551" t="s">
        <v>354</v>
      </c>
      <c r="D41" s="548">
        <v>31.472999999999999</v>
      </c>
      <c r="E41" s="548">
        <v>17.350999999999999</v>
      </c>
      <c r="F41" s="548">
        <f t="shared" si="2"/>
        <v>48.823999999999998</v>
      </c>
      <c r="G41" s="568">
        <v>48.823999999999998</v>
      </c>
    </row>
    <row r="42" spans="3:7" ht="15">
      <c r="C42" s="551" t="s">
        <v>355</v>
      </c>
      <c r="D42" s="548">
        <v>27.669</v>
      </c>
      <c r="E42" s="548">
        <v>17.099</v>
      </c>
      <c r="F42" s="548">
        <f t="shared" si="2"/>
        <v>44.768000000000001</v>
      </c>
      <c r="G42" s="568">
        <v>44.768000000000001</v>
      </c>
    </row>
    <row r="43" spans="3:7" ht="15">
      <c r="C43" s="551" t="s">
        <v>356</v>
      </c>
      <c r="D43" s="548">
        <v>11.944000000000001</v>
      </c>
      <c r="E43" s="548">
        <v>7.694</v>
      </c>
      <c r="F43" s="548">
        <f t="shared" si="2"/>
        <v>19.638000000000002</v>
      </c>
      <c r="G43" s="568">
        <v>19.638000000000002</v>
      </c>
    </row>
    <row r="44" spans="3:7" ht="15">
      <c r="C44" s="551" t="s">
        <v>357</v>
      </c>
      <c r="D44" s="555">
        <f>SUM(D27:D31)</f>
        <v>204.77499999999998</v>
      </c>
      <c r="E44" s="555">
        <f t="shared" ref="E44:F44" si="3">SUM(E27:E31)</f>
        <v>124.723</v>
      </c>
      <c r="F44" s="555">
        <f t="shared" si="3"/>
        <v>329.49799999999999</v>
      </c>
      <c r="G44" s="568"/>
    </row>
    <row r="45" spans="3:7" ht="15">
      <c r="C45" s="551" t="s">
        <v>358</v>
      </c>
      <c r="D45" s="555">
        <f>SUM(D32:D43)</f>
        <v>289.08</v>
      </c>
      <c r="E45" s="555">
        <f t="shared" ref="E45:F45" si="4">SUM(E32:E43)</f>
        <v>161.06699999999998</v>
      </c>
      <c r="F45" s="555">
        <f t="shared" si="4"/>
        <v>450.14699999999999</v>
      </c>
      <c r="G45" s="568"/>
    </row>
    <row r="46" spans="3:7" ht="15">
      <c r="C46" s="551" t="s">
        <v>74</v>
      </c>
      <c r="D46" s="555">
        <f>SUM(D27:D43)</f>
        <v>493.85500000000002</v>
      </c>
      <c r="E46" s="555">
        <f>SUM(E27:E43)</f>
        <v>285.78999999999996</v>
      </c>
      <c r="F46" s="555">
        <f>SUM(F27:F43)</f>
        <v>779.6450000000001</v>
      </c>
      <c r="G46" s="568"/>
    </row>
    <row r="51" spans="3:4" ht="25" customHeight="1">
      <c r="C51" s="557"/>
      <c r="D51" s="557" t="s">
        <v>268</v>
      </c>
    </row>
    <row r="52" spans="3:4" ht="15">
      <c r="C52" s="551" t="s">
        <v>375</v>
      </c>
      <c r="D52" s="556">
        <f>F3-F27</f>
        <v>11070.056999999999</v>
      </c>
    </row>
    <row r="53" spans="3:4" ht="15">
      <c r="C53" s="551" t="s">
        <v>342</v>
      </c>
      <c r="D53" s="556">
        <f t="shared" ref="D53:D68" si="5">F4-F28</f>
        <v>4208.3609999999999</v>
      </c>
    </row>
    <row r="54" spans="3:4" ht="15">
      <c r="C54" s="551" t="s">
        <v>343</v>
      </c>
      <c r="D54" s="556">
        <f t="shared" si="5"/>
        <v>4754.509</v>
      </c>
    </row>
    <row r="55" spans="3:4" ht="15">
      <c r="C55" s="551" t="s">
        <v>344</v>
      </c>
      <c r="D55" s="556">
        <f t="shared" si="5"/>
        <v>2698.1930000000002</v>
      </c>
    </row>
    <row r="56" spans="3:4" ht="15">
      <c r="C56" s="551" t="s">
        <v>345</v>
      </c>
      <c r="D56" s="556">
        <f t="shared" si="5"/>
        <v>860.94299999999998</v>
      </c>
    </row>
    <row r="57" spans="3:4" ht="15">
      <c r="C57" s="551" t="s">
        <v>346</v>
      </c>
      <c r="D57" s="556">
        <f t="shared" si="5"/>
        <v>1800.4</v>
      </c>
    </row>
    <row r="58" spans="3:4" ht="15">
      <c r="C58" s="551" t="s">
        <v>379</v>
      </c>
      <c r="D58" s="556">
        <f t="shared" si="5"/>
        <v>1202.873</v>
      </c>
    </row>
    <row r="59" spans="3:4" ht="15">
      <c r="C59" s="551" t="s">
        <v>347</v>
      </c>
      <c r="D59" s="556">
        <f t="shared" si="5"/>
        <v>1555.8580000000002</v>
      </c>
    </row>
    <row r="60" spans="3:4" ht="15">
      <c r="C60" s="551" t="s">
        <v>348</v>
      </c>
      <c r="D60" s="556">
        <f t="shared" si="5"/>
        <v>7591.2190000000001</v>
      </c>
    </row>
    <row r="61" spans="3:4" ht="15">
      <c r="C61" s="551" t="s">
        <v>349</v>
      </c>
      <c r="D61" s="556">
        <f t="shared" si="5"/>
        <v>12718.863000000001</v>
      </c>
    </row>
    <row r="62" spans="3:4" ht="15">
      <c r="C62" s="551" t="s">
        <v>350</v>
      </c>
      <c r="D62" s="556">
        <f t="shared" si="5"/>
        <v>14961.547</v>
      </c>
    </row>
    <row r="63" spans="3:4" ht="15">
      <c r="C63" s="551" t="s">
        <v>351</v>
      </c>
      <c r="D63" s="556">
        <f t="shared" si="5"/>
        <v>12483.946</v>
      </c>
    </row>
    <row r="64" spans="3:4" ht="15">
      <c r="C64" s="551" t="s">
        <v>352</v>
      </c>
      <c r="D64" s="556">
        <f t="shared" si="5"/>
        <v>11151.326000000001</v>
      </c>
    </row>
    <row r="65" spans="3:5" ht="15">
      <c r="C65" s="551" t="s">
        <v>353</v>
      </c>
      <c r="D65" s="556">
        <f t="shared" si="5"/>
        <v>5109.616</v>
      </c>
    </row>
    <row r="66" spans="3:5" ht="15">
      <c r="C66" s="551" t="s">
        <v>354</v>
      </c>
      <c r="D66" s="556">
        <f t="shared" si="5"/>
        <v>4510.3140000000003</v>
      </c>
    </row>
    <row r="67" spans="3:5" ht="15">
      <c r="C67" s="551" t="s">
        <v>355</v>
      </c>
      <c r="D67" s="556">
        <f t="shared" si="5"/>
        <v>6260.558</v>
      </c>
    </row>
    <row r="68" spans="3:5" ht="15">
      <c r="C68" s="551" t="s">
        <v>356</v>
      </c>
      <c r="D68" s="556">
        <f t="shared" si="5"/>
        <v>7910.6130000000003</v>
      </c>
    </row>
    <row r="69" spans="3:5" ht="15">
      <c r="C69" s="556" t="s">
        <v>357</v>
      </c>
      <c r="D69" s="556">
        <f>SUM(D52:D56)</f>
        <v>23592.062999999995</v>
      </c>
      <c r="E69" s="572"/>
    </row>
    <row r="70" spans="3:5" ht="15">
      <c r="C70" s="556" t="s">
        <v>358</v>
      </c>
      <c r="D70" s="556">
        <f>SUM(D57:D68)</f>
        <v>87257.133000000002</v>
      </c>
    </row>
    <row r="71" spans="3:5" ht="15">
      <c r="C71" s="556" t="s">
        <v>74</v>
      </c>
      <c r="D71" s="556">
        <f>SUM(D52:D68)</f>
        <v>110849.196</v>
      </c>
    </row>
  </sheetData>
  <phoneticPr fontId="69" type="noConversion"/>
  <pageMargins left="0.75" right="0.75" top="1" bottom="1" header="0.5" footer="0.5"/>
  <pageSetup paperSize="9" orientation="portrait" horizontalDpi="4294967292" verticalDpi="4294967292" r:id="rId1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3:E16"/>
  <sheetViews>
    <sheetView workbookViewId="0">
      <selection activeCell="D25" sqref="D25"/>
    </sheetView>
  </sheetViews>
  <sheetFormatPr baseColWidth="10" defaultColWidth="10.83203125" defaultRowHeight="13"/>
  <cols>
    <col min="1" max="1" width="46.5" customWidth="1"/>
    <col min="2" max="2" width="11.5" customWidth="1"/>
    <col min="4" max="4" width="52.6640625" customWidth="1"/>
  </cols>
  <sheetData>
    <row r="3" spans="1:5" ht="21">
      <c r="A3" s="573" t="s">
        <v>269</v>
      </c>
      <c r="B3" s="573"/>
      <c r="C3" s="573"/>
      <c r="D3" s="573"/>
      <c r="E3" s="573"/>
    </row>
    <row r="4" spans="1:5">
      <c r="A4" s="405" t="s">
        <v>270</v>
      </c>
      <c r="B4" s="406">
        <f>ROUNDDOWN(B5*B6+B7*B8,0)</f>
        <v>52737</v>
      </c>
      <c r="C4" s="407" t="s">
        <v>9</v>
      </c>
      <c r="D4" s="408"/>
    </row>
    <row r="5" spans="1:5" ht="29">
      <c r="A5" s="569" t="s">
        <v>373</v>
      </c>
      <c r="B5" s="558">
        <f>'Net elec supplied to grid'!D69</f>
        <v>23592.062999999995</v>
      </c>
      <c r="C5" s="410" t="s">
        <v>13</v>
      </c>
      <c r="D5" s="411" t="s">
        <v>276</v>
      </c>
    </row>
    <row r="6" spans="1:5" ht="15">
      <c r="A6" s="418" t="s">
        <v>359</v>
      </c>
      <c r="B6" s="410">
        <f>'Overview CM 2019'!C25</f>
        <v>0.56769999999999998</v>
      </c>
      <c r="C6" s="410" t="s">
        <v>271</v>
      </c>
      <c r="D6" s="411" t="s">
        <v>272</v>
      </c>
    </row>
    <row r="7" spans="1:5" ht="15">
      <c r="A7" s="418" t="s">
        <v>360</v>
      </c>
      <c r="B7" s="558">
        <f>'Net elec supplied to grid'!D70</f>
        <v>87257.133000000002</v>
      </c>
      <c r="C7" s="410" t="s">
        <v>13</v>
      </c>
      <c r="D7" s="411" t="s">
        <v>276</v>
      </c>
    </row>
    <row r="8" spans="1:5" ht="15">
      <c r="A8" s="418" t="s">
        <v>361</v>
      </c>
      <c r="B8" s="410">
        <f>'Overview CM 2020'!C25</f>
        <v>0.45090000000000002</v>
      </c>
      <c r="C8" s="410" t="s">
        <v>271</v>
      </c>
      <c r="D8" s="411" t="s">
        <v>272</v>
      </c>
    </row>
    <row r="9" spans="1:5">
      <c r="A9" s="409"/>
      <c r="B9" s="410"/>
      <c r="C9" s="410"/>
      <c r="D9" s="412"/>
    </row>
    <row r="10" spans="1:5">
      <c r="A10" s="405" t="s">
        <v>273</v>
      </c>
      <c r="B10" s="413">
        <v>0</v>
      </c>
      <c r="C10" s="407" t="s">
        <v>9</v>
      </c>
      <c r="D10" s="408"/>
    </row>
    <row r="11" spans="1:5">
      <c r="A11" s="409"/>
      <c r="B11" s="410"/>
      <c r="C11" s="410"/>
      <c r="D11" s="412"/>
    </row>
    <row r="12" spans="1:5">
      <c r="A12" s="405" t="s">
        <v>274</v>
      </c>
      <c r="B12" s="413">
        <v>0</v>
      </c>
      <c r="C12" s="407" t="s">
        <v>9</v>
      </c>
      <c r="D12" s="408"/>
    </row>
    <row r="13" spans="1:5">
      <c r="A13" s="409"/>
      <c r="B13" s="410"/>
      <c r="C13" s="410"/>
      <c r="D13" s="412"/>
    </row>
    <row r="14" spans="1:5">
      <c r="A14" s="414" t="s">
        <v>275</v>
      </c>
      <c r="B14" s="415">
        <f>B4-B10-B12</f>
        <v>52737</v>
      </c>
      <c r="C14" s="416" t="s">
        <v>9</v>
      </c>
      <c r="D14" s="417"/>
    </row>
    <row r="15" spans="1:5">
      <c r="A15" s="570" t="s">
        <v>372</v>
      </c>
      <c r="B15" s="571">
        <f>ROUNDDOWN(B5*B6,0)</f>
        <v>13393</v>
      </c>
    </row>
    <row r="16" spans="1:5">
      <c r="A16" s="570" t="s">
        <v>371</v>
      </c>
      <c r="B16" s="571">
        <f>ROUNDDOWN(B7*B8,0)</f>
        <v>39344</v>
      </c>
    </row>
  </sheetData>
  <mergeCells count="1">
    <mergeCell ref="A3:E3"/>
  </mergeCells>
  <phoneticPr fontId="69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4E67D-F5C9-CD4D-9BE5-30F4CF43765F}">
  <dimension ref="A1:BK28"/>
  <sheetViews>
    <sheetView workbookViewId="0">
      <selection activeCell="M25" sqref="M25"/>
    </sheetView>
  </sheetViews>
  <sheetFormatPr baseColWidth="10" defaultColWidth="11.5" defaultRowHeight="13"/>
  <cols>
    <col min="1" max="1" width="29.1640625" style="5" customWidth="1"/>
    <col min="2" max="2" width="15.83203125" style="5" bestFit="1" customWidth="1"/>
    <col min="3" max="3" width="13.83203125" style="5" customWidth="1"/>
    <col min="4" max="4" width="18.5" style="5" customWidth="1"/>
    <col min="5" max="5" width="11.5" style="5"/>
    <col min="6" max="6" width="15.83203125" style="5" bestFit="1" customWidth="1"/>
    <col min="7" max="7" width="12.6640625" style="5" bestFit="1" customWidth="1"/>
    <col min="8" max="10" width="11.5" style="5"/>
    <col min="11" max="12" width="0" style="5" hidden="1" customWidth="1"/>
    <col min="13" max="16384" width="11.5" style="5"/>
  </cols>
  <sheetData>
    <row r="1" spans="1:63" s="148" customFormat="1" ht="20" thickBot="1">
      <c r="A1" s="419" t="s">
        <v>340</v>
      </c>
      <c r="I1" s="149"/>
    </row>
    <row r="2" spans="1:63" ht="14" thickTop="1">
      <c r="I2" s="60"/>
    </row>
    <row r="3" spans="1:63" ht="15" customHeight="1">
      <c r="I3" s="60"/>
    </row>
    <row r="4" spans="1:63" s="150" customFormat="1" ht="18" thickBot="1">
      <c r="A4" s="150" t="s">
        <v>62</v>
      </c>
      <c r="I4" s="151"/>
    </row>
    <row r="5" spans="1:63" ht="14" thickTop="1">
      <c r="I5" s="60"/>
    </row>
    <row r="6" spans="1:63">
      <c r="I6" s="60"/>
      <c r="K6" s="574" t="s">
        <v>170</v>
      </c>
      <c r="L6" s="574"/>
    </row>
    <row r="7" spans="1:63" ht="15.75" customHeight="1" thickBot="1">
      <c r="A7" s="152"/>
      <c r="B7" s="152" t="s">
        <v>11</v>
      </c>
      <c r="C7" s="152"/>
      <c r="D7" s="152" t="s">
        <v>12</v>
      </c>
      <c r="E7" s="152"/>
      <c r="F7" s="152" t="s">
        <v>14</v>
      </c>
      <c r="G7" s="152"/>
      <c r="I7" s="60"/>
      <c r="K7" s="574"/>
      <c r="L7" s="574"/>
    </row>
    <row r="8" spans="1:63" ht="17" thickBot="1">
      <c r="A8" s="153">
        <v>2020</v>
      </c>
      <c r="B8" s="154">
        <f>SUM('WAPDA OM 2020 (2018-19)'!K3:K6)</f>
        <v>37252338.898981117</v>
      </c>
      <c r="C8" s="155" t="s">
        <v>9</v>
      </c>
      <c r="D8" s="154">
        <f>'WAPDA OM 2020 (2018-19)'!F11*1000</f>
        <v>78770859.999999985</v>
      </c>
      <c r="E8" s="155" t="s">
        <v>13</v>
      </c>
      <c r="F8" s="156">
        <f>B8/D8</f>
        <v>0.47292030198706886</v>
      </c>
      <c r="G8" s="155" t="s">
        <v>10</v>
      </c>
      <c r="I8" s="60"/>
      <c r="K8" s="157" t="s">
        <v>220</v>
      </c>
      <c r="L8" s="370" t="e">
        <f>#REF!</f>
        <v>#REF!</v>
      </c>
    </row>
    <row r="9" spans="1:63" ht="14" thickTop="1">
      <c r="I9" s="60"/>
      <c r="K9" s="157" t="s">
        <v>257</v>
      </c>
      <c r="L9" s="370" t="e">
        <f>#REF!</f>
        <v>#REF!</v>
      </c>
    </row>
    <row r="10" spans="1:63" ht="17" thickBot="1">
      <c r="A10" s="152" t="s">
        <v>62</v>
      </c>
      <c r="B10" s="152"/>
      <c r="C10" s="158">
        <f>F8</f>
        <v>0.47292030198706886</v>
      </c>
      <c r="D10" s="159" t="s">
        <v>10</v>
      </c>
      <c r="I10" s="60"/>
      <c r="K10" s="160" t="s">
        <v>247</v>
      </c>
      <c r="L10" s="370" t="e">
        <f>AVERAGE(L8:L9)</f>
        <v>#REF!</v>
      </c>
    </row>
    <row r="11" spans="1:63" ht="15" customHeight="1" thickBot="1">
      <c r="A11" s="68"/>
      <c r="B11" s="68"/>
      <c r="C11" s="68"/>
      <c r="D11" s="68"/>
      <c r="E11" s="68"/>
      <c r="F11" s="68"/>
      <c r="G11" s="68"/>
      <c r="H11" s="68"/>
      <c r="I11" s="69"/>
    </row>
    <row r="12" spans="1:63" s="150" customFormat="1" ht="19" thickTop="1" thickBot="1">
      <c r="A12" s="5"/>
      <c r="B12" s="5"/>
      <c r="C12" s="5"/>
      <c r="D12" s="5"/>
      <c r="E12" s="5"/>
      <c r="F12" s="5"/>
      <c r="G12" s="5"/>
      <c r="H12" s="5"/>
      <c r="I12" s="60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</row>
    <row r="13" spans="1:63" s="150" customFormat="1" ht="19" thickTop="1" thickBot="1">
      <c r="A13" s="150" t="s">
        <v>142</v>
      </c>
      <c r="I13" s="151"/>
    </row>
    <row r="14" spans="1:63" ht="14" thickTop="1">
      <c r="I14" s="60"/>
    </row>
    <row r="15" spans="1:63" ht="15" thickBot="1">
      <c r="A15" s="152"/>
      <c r="B15" s="152" t="s">
        <v>11</v>
      </c>
      <c r="C15" s="152"/>
      <c r="D15" s="152" t="s">
        <v>12</v>
      </c>
      <c r="E15" s="152"/>
      <c r="F15" s="152" t="s">
        <v>143</v>
      </c>
      <c r="G15" s="152"/>
      <c r="I15" s="60"/>
    </row>
    <row r="16" spans="1:63" ht="17" thickBot="1">
      <c r="A16" s="153">
        <v>2020</v>
      </c>
      <c r="B16" s="154">
        <f>SUM('WAPDA BM 2020 (2018-19)'!O28:O31)</f>
        <v>9728610.3314782605</v>
      </c>
      <c r="C16" s="155" t="s">
        <v>9</v>
      </c>
      <c r="D16" s="154">
        <f>'WAPDA BM 2020 (2018-19)'!O25</f>
        <v>25259672.669102434</v>
      </c>
      <c r="E16" s="155" t="s">
        <v>13</v>
      </c>
      <c r="F16" s="156">
        <f>B16/D16</f>
        <v>0.38514395886761715</v>
      </c>
      <c r="G16" s="155" t="s">
        <v>10</v>
      </c>
      <c r="I16" s="60"/>
    </row>
    <row r="17" spans="1:63" ht="14" thickTop="1">
      <c r="I17" s="60"/>
    </row>
    <row r="18" spans="1:63" ht="17" thickBot="1">
      <c r="A18" s="152" t="s">
        <v>142</v>
      </c>
      <c r="B18" s="152"/>
      <c r="C18" s="158">
        <f>F16</f>
        <v>0.38514395886761715</v>
      </c>
      <c r="D18" s="159" t="s">
        <v>10</v>
      </c>
      <c r="I18" s="60"/>
    </row>
    <row r="19" spans="1:63">
      <c r="I19" s="60"/>
    </row>
    <row r="20" spans="1:63">
      <c r="I20" s="60"/>
    </row>
    <row r="21" spans="1:63" s="150" customFormat="1" ht="18" thickBot="1">
      <c r="A21" s="153" t="s">
        <v>144</v>
      </c>
      <c r="B21" s="5"/>
      <c r="C21" s="161">
        <v>0.75</v>
      </c>
      <c r="D21" s="5"/>
      <c r="E21" s="5"/>
      <c r="F21" s="5"/>
      <c r="G21" s="5"/>
      <c r="H21" s="5"/>
      <c r="I21" s="60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</row>
    <row r="22" spans="1:63" ht="18" thickTop="1" thickBot="1">
      <c r="A22" s="162" t="s">
        <v>145</v>
      </c>
      <c r="B22" s="68"/>
      <c r="C22" s="163">
        <v>0.25</v>
      </c>
      <c r="D22" s="68"/>
      <c r="E22" s="68"/>
      <c r="F22" s="68"/>
      <c r="G22" s="68"/>
      <c r="H22" s="68"/>
      <c r="I22" s="69"/>
    </row>
    <row r="23" spans="1:63" ht="15" thickTop="1" thickBot="1">
      <c r="I23" s="60"/>
    </row>
    <row r="24" spans="1:63" ht="15" thickTop="1" thickBot="1">
      <c r="A24" s="164"/>
      <c r="B24" s="165"/>
      <c r="C24" s="165"/>
      <c r="D24" s="166"/>
      <c r="I24" s="60"/>
    </row>
    <row r="25" spans="1:63" ht="36" thickTop="1" thickBot="1">
      <c r="A25" s="420" t="s">
        <v>341</v>
      </c>
      <c r="B25" s="167"/>
      <c r="C25" s="168">
        <f>ROUNDDOWN(C10*C21+C18*C22,4)</f>
        <v>0.45090000000000002</v>
      </c>
      <c r="D25" s="169" t="s">
        <v>10</v>
      </c>
      <c r="I25" s="60"/>
    </row>
    <row r="26" spans="1:63" ht="14" thickBot="1">
      <c r="A26" s="170"/>
      <c r="B26" s="171"/>
      <c r="C26" s="171"/>
      <c r="D26" s="172"/>
      <c r="I26" s="60"/>
    </row>
    <row r="27" spans="1:63" ht="15" thickTop="1" thickBot="1">
      <c r="A27" s="68"/>
      <c r="B27" s="68"/>
      <c r="C27" s="68"/>
      <c r="D27" s="68"/>
      <c r="E27" s="68"/>
      <c r="F27" s="68"/>
      <c r="G27" s="68"/>
      <c r="H27" s="68"/>
      <c r="I27" s="69"/>
    </row>
    <row r="28" spans="1:63" ht="14" thickTop="1"/>
  </sheetData>
  <mergeCells count="1">
    <mergeCell ref="K6:L7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0ACA8-C1DA-3141-B9D3-C91350188DC7}">
  <dimension ref="A1:BK28"/>
  <sheetViews>
    <sheetView workbookViewId="0">
      <selection activeCell="B8" sqref="B8"/>
    </sheetView>
  </sheetViews>
  <sheetFormatPr baseColWidth="10" defaultColWidth="11.5" defaultRowHeight="13"/>
  <cols>
    <col min="1" max="1" width="29.1640625" style="5" customWidth="1"/>
    <col min="2" max="2" width="15.83203125" style="5" bestFit="1" customWidth="1"/>
    <col min="3" max="3" width="13.83203125" style="5" customWidth="1"/>
    <col min="4" max="4" width="18.5" style="5" customWidth="1"/>
    <col min="5" max="5" width="11.5" style="5"/>
    <col min="6" max="6" width="15.83203125" style="5" bestFit="1" customWidth="1"/>
    <col min="7" max="7" width="12.6640625" style="5" bestFit="1" customWidth="1"/>
    <col min="8" max="10" width="11.5" style="5"/>
    <col min="11" max="12" width="0" style="5" hidden="1" customWidth="1"/>
    <col min="13" max="16384" width="11.5" style="5"/>
  </cols>
  <sheetData>
    <row r="1" spans="1:63" s="148" customFormat="1" ht="20" thickBot="1">
      <c r="A1" s="419" t="s">
        <v>338</v>
      </c>
      <c r="I1" s="149"/>
    </row>
    <row r="2" spans="1:63" ht="14" thickTop="1">
      <c r="I2" s="60"/>
    </row>
    <row r="3" spans="1:63" ht="15" customHeight="1">
      <c r="I3" s="60"/>
    </row>
    <row r="4" spans="1:63" s="150" customFormat="1" ht="18" thickBot="1">
      <c r="A4" s="150" t="s">
        <v>62</v>
      </c>
      <c r="I4" s="151"/>
    </row>
    <row r="5" spans="1:63" ht="14" thickTop="1">
      <c r="I5" s="60"/>
    </row>
    <row r="6" spans="1:63">
      <c r="I6" s="60"/>
      <c r="K6" s="574" t="s">
        <v>170</v>
      </c>
      <c r="L6" s="574"/>
    </row>
    <row r="7" spans="1:63" ht="15.75" customHeight="1" thickBot="1">
      <c r="A7" s="152"/>
      <c r="B7" s="152" t="s">
        <v>11</v>
      </c>
      <c r="C7" s="152"/>
      <c r="D7" s="152" t="s">
        <v>12</v>
      </c>
      <c r="E7" s="152"/>
      <c r="F7" s="152" t="s">
        <v>14</v>
      </c>
      <c r="G7" s="152"/>
      <c r="I7" s="60"/>
      <c r="K7" s="574"/>
      <c r="L7" s="574"/>
    </row>
    <row r="8" spans="1:63" ht="17" thickBot="1">
      <c r="A8" s="153">
        <v>2019</v>
      </c>
      <c r="B8" s="154">
        <f>SUM('WAPDA OM 2019 (2017-18)'!K3:K6)</f>
        <v>47987429.55638855</v>
      </c>
      <c r="C8" s="155" t="s">
        <v>9</v>
      </c>
      <c r="D8" s="154">
        <f>'WAPDA OM 2019 (2017-18)'!F11*1000</f>
        <v>79579150.000000015</v>
      </c>
      <c r="E8" s="155" t="s">
        <v>13</v>
      </c>
      <c r="F8" s="156">
        <f>B8/D8</f>
        <v>0.60301510579578366</v>
      </c>
      <c r="G8" s="155" t="s">
        <v>10</v>
      </c>
      <c r="I8" s="60"/>
      <c r="K8" s="157" t="s">
        <v>220</v>
      </c>
      <c r="L8" s="370" t="e">
        <f>#REF!</f>
        <v>#REF!</v>
      </c>
    </row>
    <row r="9" spans="1:63" ht="14" thickTop="1">
      <c r="I9" s="60"/>
      <c r="K9" s="157" t="s">
        <v>257</v>
      </c>
      <c r="L9" s="370" t="e">
        <f>#REF!</f>
        <v>#REF!</v>
      </c>
    </row>
    <row r="10" spans="1:63" ht="17" thickBot="1">
      <c r="A10" s="152" t="s">
        <v>62</v>
      </c>
      <c r="B10" s="152"/>
      <c r="C10" s="158">
        <f>F8</f>
        <v>0.60301510579578366</v>
      </c>
      <c r="D10" s="159" t="s">
        <v>10</v>
      </c>
      <c r="I10" s="60"/>
      <c r="K10" s="160" t="s">
        <v>247</v>
      </c>
      <c r="L10" s="370" t="e">
        <f>AVERAGE(L8:L9)</f>
        <v>#REF!</v>
      </c>
    </row>
    <row r="11" spans="1:63" ht="15" customHeight="1" thickBot="1">
      <c r="A11" s="68"/>
      <c r="B11" s="68"/>
      <c r="C11" s="68"/>
      <c r="D11" s="68"/>
      <c r="E11" s="68"/>
      <c r="F11" s="68"/>
      <c r="G11" s="68"/>
      <c r="H11" s="68"/>
      <c r="I11" s="69"/>
    </row>
    <row r="12" spans="1:63" s="150" customFormat="1" ht="19" thickTop="1" thickBot="1">
      <c r="A12" s="5"/>
      <c r="B12" s="5"/>
      <c r="C12" s="5"/>
      <c r="D12" s="5"/>
      <c r="E12" s="5"/>
      <c r="F12" s="5"/>
      <c r="G12" s="5"/>
      <c r="H12" s="5"/>
      <c r="I12" s="60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</row>
    <row r="13" spans="1:63" s="150" customFormat="1" ht="19" thickTop="1" thickBot="1">
      <c r="A13" s="150" t="s">
        <v>142</v>
      </c>
      <c r="I13" s="151"/>
    </row>
    <row r="14" spans="1:63" ht="14" thickTop="1">
      <c r="I14" s="60"/>
    </row>
    <row r="15" spans="1:63" ht="15" thickBot="1">
      <c r="A15" s="152"/>
      <c r="B15" s="152" t="s">
        <v>11</v>
      </c>
      <c r="C15" s="152"/>
      <c r="D15" s="152" t="s">
        <v>12</v>
      </c>
      <c r="E15" s="152"/>
      <c r="F15" s="152" t="s">
        <v>143</v>
      </c>
      <c r="G15" s="152"/>
      <c r="I15" s="60"/>
    </row>
    <row r="16" spans="1:63" ht="17" thickBot="1">
      <c r="A16" s="153">
        <v>2019</v>
      </c>
      <c r="B16" s="154">
        <f>SUM('WAPDA BM 2019 (2017-18)'!O26:O29)</f>
        <v>10614733.171652174</v>
      </c>
      <c r="C16" s="155" t="s">
        <v>9</v>
      </c>
      <c r="D16" s="154">
        <f>'WAPDA BM 2019 (2017-18)'!O23</f>
        <v>22986352.955031414</v>
      </c>
      <c r="E16" s="155" t="s">
        <v>13</v>
      </c>
      <c r="F16" s="156">
        <f>B16/D16</f>
        <v>0.46178413741483715</v>
      </c>
      <c r="G16" s="155" t="s">
        <v>10</v>
      </c>
      <c r="I16" s="60"/>
    </row>
    <row r="17" spans="1:63" ht="14" thickTop="1">
      <c r="I17" s="60"/>
    </row>
    <row r="18" spans="1:63" ht="17" thickBot="1">
      <c r="A18" s="152" t="s">
        <v>142</v>
      </c>
      <c r="B18" s="152"/>
      <c r="C18" s="158">
        <f>F16</f>
        <v>0.46178413741483715</v>
      </c>
      <c r="D18" s="159" t="s">
        <v>10</v>
      </c>
      <c r="I18" s="60"/>
    </row>
    <row r="19" spans="1:63">
      <c r="I19" s="60"/>
    </row>
    <row r="20" spans="1:63">
      <c r="I20" s="60"/>
    </row>
    <row r="21" spans="1:63" s="150" customFormat="1" ht="18" thickBot="1">
      <c r="A21" s="153" t="s">
        <v>144</v>
      </c>
      <c r="B21" s="5"/>
      <c r="C21" s="161">
        <v>0.75</v>
      </c>
      <c r="D21" s="5"/>
      <c r="E21" s="5"/>
      <c r="F21" s="5"/>
      <c r="G21" s="5"/>
      <c r="H21" s="5"/>
      <c r="I21" s="60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</row>
    <row r="22" spans="1:63" ht="18" thickTop="1" thickBot="1">
      <c r="A22" s="162" t="s">
        <v>145</v>
      </c>
      <c r="B22" s="68"/>
      <c r="C22" s="163">
        <v>0.25</v>
      </c>
      <c r="D22" s="68"/>
      <c r="E22" s="68"/>
      <c r="F22" s="68"/>
      <c r="G22" s="68"/>
      <c r="H22" s="68"/>
      <c r="I22" s="69"/>
    </row>
    <row r="23" spans="1:63" ht="15" thickTop="1" thickBot="1">
      <c r="I23" s="60"/>
    </row>
    <row r="24" spans="1:63" ht="15" thickTop="1" thickBot="1">
      <c r="A24" s="164"/>
      <c r="B24" s="165"/>
      <c r="C24" s="165"/>
      <c r="D24" s="166"/>
      <c r="I24" s="60"/>
    </row>
    <row r="25" spans="1:63" ht="36" thickTop="1" thickBot="1">
      <c r="A25" s="420" t="s">
        <v>339</v>
      </c>
      <c r="B25" s="167"/>
      <c r="C25" s="168">
        <f>ROUNDDOWN(C10*C21+C18*C22,4)</f>
        <v>0.56769999999999998</v>
      </c>
      <c r="D25" s="169" t="s">
        <v>10</v>
      </c>
      <c r="I25" s="60"/>
    </row>
    <row r="26" spans="1:63" ht="14" thickBot="1">
      <c r="A26" s="170"/>
      <c r="B26" s="171"/>
      <c r="C26" s="171"/>
      <c r="D26" s="172"/>
      <c r="I26" s="60"/>
    </row>
    <row r="27" spans="1:63" ht="15" thickTop="1" thickBot="1">
      <c r="A27" s="68"/>
      <c r="B27" s="68"/>
      <c r="C27" s="68"/>
      <c r="D27" s="68"/>
      <c r="E27" s="68"/>
      <c r="F27" s="68"/>
      <c r="G27" s="68"/>
      <c r="H27" s="68"/>
      <c r="I27" s="69"/>
    </row>
    <row r="28" spans="1:63" ht="14" thickTop="1"/>
  </sheetData>
  <mergeCells count="1">
    <mergeCell ref="K6:L7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N68"/>
  <sheetViews>
    <sheetView topLeftCell="B1" zoomScale="85" zoomScaleNormal="85" zoomScalePageLayoutView="85" workbookViewId="0">
      <selection activeCell="J21" sqref="J21"/>
    </sheetView>
  </sheetViews>
  <sheetFormatPr baseColWidth="10" defaultColWidth="11.5" defaultRowHeight="13"/>
  <cols>
    <col min="1" max="1" width="6" style="5" customWidth="1"/>
    <col min="2" max="2" width="9.83203125" style="5" customWidth="1"/>
    <col min="3" max="3" width="12.33203125" style="5" customWidth="1"/>
    <col min="4" max="4" width="11.5" style="5"/>
    <col min="5" max="5" width="20.1640625" style="5" customWidth="1"/>
    <col min="6" max="6" width="17.5" style="5" bestFit="1" customWidth="1"/>
    <col min="7" max="7" width="12.1640625" style="5" customWidth="1"/>
    <col min="8" max="8" width="15.1640625" style="5" bestFit="1" customWidth="1"/>
    <col min="9" max="9" width="11.5" style="5" customWidth="1"/>
    <col min="10" max="10" width="13.1640625" style="5" bestFit="1" customWidth="1"/>
    <col min="11" max="11" width="16.1640625" style="5" bestFit="1" customWidth="1"/>
    <col min="12" max="12" width="12.5" style="5" customWidth="1"/>
    <col min="13" max="16384" width="11.5" style="5"/>
  </cols>
  <sheetData>
    <row r="1" spans="1:12" ht="20">
      <c r="A1" s="173" t="s">
        <v>56</v>
      </c>
      <c r="B1" s="173"/>
      <c r="C1" s="173"/>
      <c r="D1" s="173"/>
      <c r="E1" s="173"/>
      <c r="F1" s="173"/>
      <c r="G1" s="173"/>
      <c r="H1" s="174"/>
      <c r="I1" s="174"/>
      <c r="J1" s="175"/>
    </row>
    <row r="2" spans="1:12" ht="14" thickBot="1"/>
    <row r="3" spans="1:12" ht="16">
      <c r="A3" s="176" t="s">
        <v>17</v>
      </c>
      <c r="B3" s="176"/>
      <c r="F3" s="177">
        <v>91616</v>
      </c>
      <c r="G3" s="176" t="s">
        <v>1</v>
      </c>
      <c r="I3" s="178" t="s">
        <v>233</v>
      </c>
      <c r="J3" s="179"/>
      <c r="K3" s="180">
        <f>F32*F17</f>
        <v>22580685.456150547</v>
      </c>
      <c r="L3" s="181" t="s">
        <v>9</v>
      </c>
    </row>
    <row r="4" spans="1:12" ht="17" thickBot="1">
      <c r="A4" s="176" t="s">
        <v>53</v>
      </c>
      <c r="B4" s="176"/>
      <c r="F4" s="182">
        <f>SUM(I44:I61)</f>
        <v>9399.4000000000015</v>
      </c>
      <c r="G4" s="176" t="s">
        <v>1</v>
      </c>
      <c r="I4" s="183" t="s">
        <v>15</v>
      </c>
      <c r="J4" s="12"/>
      <c r="K4" s="184">
        <f>F33*F18</f>
        <v>558182.00723999995</v>
      </c>
      <c r="L4" s="185" t="s">
        <v>9</v>
      </c>
    </row>
    <row r="5" spans="1:12" ht="17" thickTop="1">
      <c r="A5" s="176" t="s">
        <v>169</v>
      </c>
      <c r="B5" s="176"/>
      <c r="F5" s="184">
        <f>F3-F4</f>
        <v>82216.600000000006</v>
      </c>
      <c r="G5" s="176" t="s">
        <v>1</v>
      </c>
      <c r="I5" s="183" t="s">
        <v>8</v>
      </c>
      <c r="J5" s="12"/>
      <c r="K5" s="186">
        <f>F34*F19</f>
        <v>15394376.7029259</v>
      </c>
      <c r="L5" s="185" t="s">
        <v>9</v>
      </c>
    </row>
    <row r="6" spans="1:12" ht="16">
      <c r="A6" s="176" t="s">
        <v>63</v>
      </c>
      <c r="B6" s="176"/>
      <c r="F6" s="177">
        <v>27784</v>
      </c>
      <c r="G6" s="176" t="s">
        <v>1</v>
      </c>
      <c r="I6" s="183" t="s">
        <v>54</v>
      </c>
      <c r="J6" s="12"/>
      <c r="K6" s="187">
        <f>F35*F20</f>
        <v>194248.80306000001</v>
      </c>
      <c r="L6" s="185" t="s">
        <v>9</v>
      </c>
    </row>
    <row r="7" spans="1:12" ht="16">
      <c r="A7" s="176" t="s">
        <v>64</v>
      </c>
      <c r="B7" s="176"/>
      <c r="F7" s="177">
        <v>1618</v>
      </c>
      <c r="G7" s="176" t="s">
        <v>1</v>
      </c>
      <c r="I7" s="188"/>
      <c r="J7" s="12"/>
      <c r="K7" s="12"/>
      <c r="L7" s="189"/>
    </row>
    <row r="8" spans="1:12" ht="17" thickBot="1">
      <c r="A8" s="176" t="s">
        <v>65</v>
      </c>
      <c r="B8" s="176"/>
      <c r="F8" s="190">
        <f>SUM(F6:F7)/F5</f>
        <v>0.35761634511765261</v>
      </c>
      <c r="G8" s="176"/>
      <c r="I8" s="191" t="s">
        <v>18</v>
      </c>
      <c r="J8" s="192"/>
      <c r="K8" s="193">
        <f>SUM(K3:K6)/F11/1000</f>
        <v>0.75058837629794395</v>
      </c>
      <c r="L8" s="194" t="s">
        <v>10</v>
      </c>
    </row>
    <row r="9" spans="1:12" ht="16">
      <c r="A9" s="176" t="s">
        <v>171</v>
      </c>
      <c r="B9" s="176"/>
      <c r="F9" s="195">
        <v>1.4</v>
      </c>
      <c r="G9" s="176" t="s">
        <v>1</v>
      </c>
      <c r="H9" s="176" t="s">
        <v>175</v>
      </c>
      <c r="I9" s="196"/>
      <c r="J9" s="12"/>
      <c r="K9" s="197"/>
      <c r="L9" s="196"/>
    </row>
    <row r="10" spans="1:12" ht="16">
      <c r="A10" s="176" t="s">
        <v>172</v>
      </c>
      <c r="B10" s="176"/>
      <c r="F10" s="195">
        <v>1217.02</v>
      </c>
      <c r="G10" s="176" t="s">
        <v>1</v>
      </c>
      <c r="H10" s="176" t="s">
        <v>175</v>
      </c>
      <c r="I10" s="196"/>
      <c r="J10" s="12"/>
      <c r="K10" s="197"/>
      <c r="L10" s="196"/>
    </row>
    <row r="11" spans="1:12" ht="16">
      <c r="A11" s="176" t="s">
        <v>176</v>
      </c>
      <c r="B11" s="176"/>
      <c r="F11" s="198">
        <f>F5-SUM(F9:F10)-F6-F7</f>
        <v>51596.180000000008</v>
      </c>
      <c r="G11" s="176" t="s">
        <v>1</v>
      </c>
    </row>
    <row r="12" spans="1:12" ht="16">
      <c r="A12" s="176"/>
      <c r="B12" s="176"/>
      <c r="G12" s="176"/>
    </row>
    <row r="13" spans="1:12" ht="16">
      <c r="A13" s="176" t="s">
        <v>6</v>
      </c>
      <c r="B13" s="176"/>
      <c r="F13" s="199">
        <v>6.7000000000000002E-4</v>
      </c>
      <c r="G13" s="176" t="s">
        <v>7</v>
      </c>
      <c r="H13" s="200"/>
    </row>
    <row r="14" spans="1:12" ht="16">
      <c r="A14" s="176" t="s">
        <v>2</v>
      </c>
      <c r="B14" s="176"/>
      <c r="F14" s="201">
        <f>3.281^3</f>
        <v>35.319837041000007</v>
      </c>
      <c r="G14" s="202" t="s">
        <v>19</v>
      </c>
    </row>
    <row r="15" spans="1:12" ht="16">
      <c r="A15" s="176" t="s">
        <v>43</v>
      </c>
      <c r="F15" s="201">
        <v>4.4200000000000003E-2</v>
      </c>
      <c r="G15" s="176" t="s">
        <v>44</v>
      </c>
      <c r="H15" s="176" t="s">
        <v>246</v>
      </c>
      <c r="I15" s="176"/>
      <c r="J15" s="176"/>
    </row>
    <row r="16" spans="1:12" ht="16">
      <c r="A16" s="176"/>
      <c r="B16" s="176"/>
      <c r="G16" s="202"/>
    </row>
    <row r="17" spans="1:8" ht="16">
      <c r="A17" s="176" t="s">
        <v>231</v>
      </c>
      <c r="B17" s="176"/>
      <c r="F17" s="201">
        <v>75.5</v>
      </c>
      <c r="G17" s="176" t="s">
        <v>4</v>
      </c>
      <c r="H17" s="176" t="s">
        <v>5</v>
      </c>
    </row>
    <row r="18" spans="1:8" ht="16">
      <c r="A18" s="176" t="s">
        <v>60</v>
      </c>
      <c r="B18" s="176"/>
      <c r="F18" s="201">
        <v>72.599999999999994</v>
      </c>
      <c r="G18" s="176" t="s">
        <v>4</v>
      </c>
      <c r="H18" s="176" t="s">
        <v>5</v>
      </c>
    </row>
    <row r="19" spans="1:8" ht="16">
      <c r="A19" s="176" t="s">
        <v>3</v>
      </c>
      <c r="B19" s="176"/>
      <c r="F19" s="201">
        <v>54.3</v>
      </c>
      <c r="G19" s="176" t="s">
        <v>4</v>
      </c>
      <c r="H19" s="176" t="s">
        <v>5</v>
      </c>
    </row>
    <row r="20" spans="1:8" ht="16">
      <c r="A20" s="176" t="s">
        <v>55</v>
      </c>
      <c r="B20" s="176"/>
      <c r="F20" s="201">
        <v>87.3</v>
      </c>
      <c r="G20" s="176" t="s">
        <v>4</v>
      </c>
      <c r="H20" s="176" t="s">
        <v>5</v>
      </c>
    </row>
    <row r="21" spans="1:8" ht="16">
      <c r="A21" s="176"/>
      <c r="B21" s="176"/>
      <c r="G21" s="176"/>
      <c r="H21" s="176"/>
    </row>
    <row r="22" spans="1:8" ht="16">
      <c r="A22" s="176" t="s">
        <v>235</v>
      </c>
      <c r="F22" s="203">
        <v>7210211</v>
      </c>
      <c r="G22" s="202" t="s">
        <v>47</v>
      </c>
      <c r="H22" s="176" t="s">
        <v>48</v>
      </c>
    </row>
    <row r="23" spans="1:8" ht="16">
      <c r="A23" s="176" t="s">
        <v>57</v>
      </c>
      <c r="F23" s="203">
        <v>173947</v>
      </c>
      <c r="G23" s="202" t="s">
        <v>47</v>
      </c>
      <c r="H23" s="176" t="s">
        <v>48</v>
      </c>
    </row>
    <row r="24" spans="1:8" ht="16">
      <c r="A24" s="204" t="s">
        <v>46</v>
      </c>
      <c r="F24" s="203">
        <v>7830065</v>
      </c>
      <c r="G24" s="202" t="s">
        <v>47</v>
      </c>
      <c r="H24" s="176" t="s">
        <v>48</v>
      </c>
    </row>
    <row r="25" spans="1:8" ht="16">
      <c r="A25" s="176" t="s">
        <v>45</v>
      </c>
      <c r="F25" s="203">
        <v>50341</v>
      </c>
      <c r="G25" s="202" t="s">
        <v>47</v>
      </c>
      <c r="H25" s="176" t="s">
        <v>48</v>
      </c>
    </row>
    <row r="26" spans="1:8" ht="15" customHeight="1"/>
    <row r="27" spans="1:8" ht="16">
      <c r="A27" s="176" t="s">
        <v>235</v>
      </c>
      <c r="F27" s="205">
        <f>F22*$F$15</f>
        <v>318691.32620000001</v>
      </c>
      <c r="G27" s="202" t="s">
        <v>16</v>
      </c>
      <c r="H27" s="176" t="s">
        <v>52</v>
      </c>
    </row>
    <row r="28" spans="1:8" ht="16">
      <c r="A28" s="176" t="s">
        <v>58</v>
      </c>
      <c r="F28" s="205">
        <f>F23*$F$15</f>
        <v>7688.4574000000002</v>
      </c>
      <c r="G28" s="202" t="s">
        <v>16</v>
      </c>
      <c r="H28" s="176" t="s">
        <v>52</v>
      </c>
    </row>
    <row r="29" spans="1:8" ht="16">
      <c r="A29" s="204" t="s">
        <v>46</v>
      </c>
      <c r="F29" s="205">
        <f>F24*$F$15</f>
        <v>346088.87300000002</v>
      </c>
      <c r="G29" s="202" t="s">
        <v>16</v>
      </c>
      <c r="H29" s="176" t="s">
        <v>52</v>
      </c>
    </row>
    <row r="30" spans="1:8" ht="16">
      <c r="A30" s="176" t="s">
        <v>45</v>
      </c>
      <c r="F30" s="205">
        <f>F25*$F$15</f>
        <v>2225.0722000000001</v>
      </c>
      <c r="G30" s="202" t="s">
        <v>16</v>
      </c>
      <c r="H30" s="176" t="s">
        <v>52</v>
      </c>
    </row>
    <row r="32" spans="1:8" ht="16">
      <c r="A32" s="204" t="s">
        <v>237</v>
      </c>
      <c r="F32" s="205">
        <f>F27-L64</f>
        <v>299081.92657153041</v>
      </c>
      <c r="G32" s="202" t="s">
        <v>16</v>
      </c>
      <c r="H32" s="176" t="s">
        <v>51</v>
      </c>
    </row>
    <row r="33" spans="1:14" ht="16">
      <c r="A33" s="204" t="s">
        <v>59</v>
      </c>
      <c r="F33" s="205">
        <f>F28</f>
        <v>7688.4574000000002</v>
      </c>
      <c r="G33" s="202" t="s">
        <v>16</v>
      </c>
      <c r="H33" s="176" t="s">
        <v>51</v>
      </c>
    </row>
    <row r="34" spans="1:14" ht="16">
      <c r="A34" s="204" t="s">
        <v>50</v>
      </c>
      <c r="F34" s="205">
        <f>F29-L65</f>
        <v>283506.01662846963</v>
      </c>
      <c r="G34" s="202" t="s">
        <v>16</v>
      </c>
      <c r="H34" s="176" t="s">
        <v>51</v>
      </c>
    </row>
    <row r="35" spans="1:14" ht="16">
      <c r="A35" s="204" t="s">
        <v>49</v>
      </c>
      <c r="F35" s="205">
        <f>F30</f>
        <v>2225.0722000000001</v>
      </c>
      <c r="G35" s="202" t="s">
        <v>16</v>
      </c>
      <c r="H35" s="176" t="s">
        <v>51</v>
      </c>
    </row>
    <row r="36" spans="1:14" ht="14" thickBot="1"/>
    <row r="37" spans="1:14" ht="14">
      <c r="B37" s="206"/>
      <c r="C37" s="207"/>
      <c r="D37" s="207"/>
      <c r="E37" s="207"/>
      <c r="F37" s="207"/>
      <c r="G37" s="207"/>
      <c r="H37" s="207"/>
      <c r="I37" s="207"/>
      <c r="J37" s="207"/>
      <c r="K37" s="207"/>
      <c r="L37" s="207"/>
      <c r="M37" s="208"/>
    </row>
    <row r="38" spans="1:14" ht="18">
      <c r="B38" s="209"/>
      <c r="C38" s="584" t="s">
        <v>61</v>
      </c>
      <c r="D38" s="585"/>
      <c r="E38" s="585"/>
      <c r="F38" s="585"/>
      <c r="G38" s="585"/>
      <c r="H38" s="585"/>
      <c r="I38" s="585"/>
      <c r="J38" s="585"/>
      <c r="K38" s="585"/>
      <c r="L38" s="586"/>
      <c r="M38" s="210"/>
    </row>
    <row r="39" spans="1:14" ht="28" customHeight="1">
      <c r="B39" s="209"/>
      <c r="C39" s="587" t="s">
        <v>20</v>
      </c>
      <c r="D39" s="588"/>
      <c r="E39" s="593" t="s">
        <v>21</v>
      </c>
      <c r="F39" s="593" t="s">
        <v>22</v>
      </c>
      <c r="G39" s="596" t="s">
        <v>221</v>
      </c>
      <c r="H39" s="597"/>
      <c r="I39" s="587" t="s">
        <v>23</v>
      </c>
      <c r="J39" s="588"/>
      <c r="K39" s="598" t="s">
        <v>24</v>
      </c>
      <c r="L39" s="211" t="s">
        <v>25</v>
      </c>
      <c r="M39" s="210"/>
    </row>
    <row r="40" spans="1:14" ht="18">
      <c r="B40" s="209"/>
      <c r="C40" s="589"/>
      <c r="D40" s="590"/>
      <c r="E40" s="594"/>
      <c r="F40" s="594"/>
      <c r="G40" s="212"/>
      <c r="H40" s="213"/>
      <c r="I40" s="214" t="s">
        <v>222</v>
      </c>
      <c r="J40" s="214" t="s">
        <v>26</v>
      </c>
      <c r="K40" s="599"/>
      <c r="L40" s="215"/>
      <c r="M40" s="210"/>
    </row>
    <row r="41" spans="1:14" ht="14" customHeight="1">
      <c r="B41" s="209"/>
      <c r="C41" s="589"/>
      <c r="D41" s="590"/>
      <c r="E41" s="594"/>
      <c r="F41" s="594"/>
      <c r="G41" s="601" t="s">
        <v>27</v>
      </c>
      <c r="H41" s="603" t="s">
        <v>1</v>
      </c>
      <c r="I41" s="605" t="s">
        <v>1</v>
      </c>
      <c r="J41" s="603" t="s">
        <v>1</v>
      </c>
      <c r="K41" s="599"/>
      <c r="L41" s="607" t="s">
        <v>16</v>
      </c>
      <c r="M41" s="210"/>
    </row>
    <row r="42" spans="1:14" ht="14" customHeight="1">
      <c r="B42" s="209"/>
      <c r="C42" s="591"/>
      <c r="D42" s="592"/>
      <c r="E42" s="595"/>
      <c r="F42" s="595"/>
      <c r="G42" s="602"/>
      <c r="H42" s="604"/>
      <c r="I42" s="606"/>
      <c r="J42" s="604"/>
      <c r="K42" s="600"/>
      <c r="L42" s="608"/>
      <c r="M42" s="210"/>
    </row>
    <row r="43" spans="1:14" ht="15">
      <c r="B43" s="209"/>
      <c r="C43" s="216" t="s">
        <v>28</v>
      </c>
      <c r="D43" s="217"/>
      <c r="E43" s="218"/>
      <c r="F43" s="219"/>
      <c r="G43" s="220"/>
      <c r="H43" s="221"/>
      <c r="I43" s="222"/>
      <c r="J43" s="222"/>
      <c r="K43" s="223"/>
      <c r="L43" s="224"/>
      <c r="M43" s="210"/>
    </row>
    <row r="44" spans="1:14" ht="16">
      <c r="B44" s="209"/>
      <c r="C44" s="580" t="s">
        <v>29</v>
      </c>
      <c r="D44" s="581"/>
      <c r="E44" s="225" t="s">
        <v>229</v>
      </c>
      <c r="F44" s="226" t="s">
        <v>34</v>
      </c>
      <c r="G44" s="579">
        <v>84.2</v>
      </c>
      <c r="H44" s="227">
        <f>I44/(I44+I45)*G44</f>
        <v>0.6302668691690172</v>
      </c>
      <c r="I44" s="228">
        <v>6.9</v>
      </c>
      <c r="J44" s="227">
        <f>I44-H44</f>
        <v>6.2697331308309829</v>
      </c>
      <c r="K44" s="229">
        <v>0.375</v>
      </c>
      <c r="L44" s="230">
        <f>J44/K44*3600/1000</f>
        <v>60.189438055977433</v>
      </c>
      <c r="M44" s="210"/>
      <c r="N44" s="231"/>
    </row>
    <row r="45" spans="1:14" ht="16">
      <c r="B45" s="209"/>
      <c r="C45" s="582"/>
      <c r="D45" s="583"/>
      <c r="E45" s="232" t="s">
        <v>0</v>
      </c>
      <c r="F45" s="233" t="s">
        <v>34</v>
      </c>
      <c r="G45" s="579"/>
      <c r="H45" s="227">
        <f>I45/(I45+I44)*G44</f>
        <v>83.569733130830983</v>
      </c>
      <c r="I45" s="228">
        <v>914.9</v>
      </c>
      <c r="J45" s="227">
        <f>I45-H45</f>
        <v>831.33026686916901</v>
      </c>
      <c r="K45" s="229">
        <v>0.375</v>
      </c>
      <c r="L45" s="230">
        <f>J45/K45*3600/1000</f>
        <v>7980.770561944023</v>
      </c>
      <c r="M45" s="210"/>
      <c r="N45" s="231"/>
    </row>
    <row r="46" spans="1:14" ht="16">
      <c r="B46" s="209"/>
      <c r="C46" s="234"/>
      <c r="D46" s="234"/>
      <c r="E46" s="235"/>
      <c r="F46" s="236"/>
      <c r="G46" s="237"/>
      <c r="H46" s="238"/>
      <c r="I46" s="239"/>
      <c r="J46" s="239"/>
      <c r="K46" s="240"/>
      <c r="L46" s="239"/>
      <c r="M46" s="210"/>
      <c r="N46" s="231"/>
    </row>
    <row r="47" spans="1:14" ht="15" customHeight="1">
      <c r="B47" s="209"/>
      <c r="C47" s="575" t="s">
        <v>31</v>
      </c>
      <c r="D47" s="576"/>
      <c r="E47" s="225" t="s">
        <v>229</v>
      </c>
      <c r="F47" s="226" t="s">
        <v>30</v>
      </c>
      <c r="G47" s="579">
        <v>14.85</v>
      </c>
      <c r="H47" s="227">
        <f>I47/(I47+I48)*G47</f>
        <v>0</v>
      </c>
      <c r="I47" s="228">
        <v>0</v>
      </c>
      <c r="J47" s="227">
        <f>I47-H47</f>
        <v>0</v>
      </c>
      <c r="K47" s="229">
        <v>0.3</v>
      </c>
      <c r="L47" s="230">
        <f>J47/K47*3600/1000</f>
        <v>0</v>
      </c>
      <c r="M47" s="210"/>
      <c r="N47" s="231"/>
    </row>
    <row r="48" spans="1:14" ht="16">
      <c r="B48" s="209"/>
      <c r="C48" s="577"/>
      <c r="D48" s="578"/>
      <c r="E48" s="232" t="s">
        <v>0</v>
      </c>
      <c r="F48" s="233" t="s">
        <v>30</v>
      </c>
      <c r="G48" s="579"/>
      <c r="H48" s="227">
        <f>I48/(I48+I47)*G47</f>
        <v>14.85</v>
      </c>
      <c r="I48" s="228">
        <v>310.10000000000002</v>
      </c>
      <c r="J48" s="227">
        <f>I48-H48</f>
        <v>295.25</v>
      </c>
      <c r="K48" s="229">
        <v>0.3</v>
      </c>
      <c r="L48" s="230">
        <f>J48/K48*3600/1000</f>
        <v>3543.0000000000005</v>
      </c>
      <c r="M48" s="210"/>
      <c r="N48" s="231"/>
    </row>
    <row r="49" spans="2:14" ht="16">
      <c r="B49" s="209"/>
      <c r="C49" s="241"/>
      <c r="D49" s="234"/>
      <c r="E49" s="235"/>
      <c r="F49" s="236"/>
      <c r="G49" s="237"/>
      <c r="H49" s="242"/>
      <c r="I49" s="243"/>
      <c r="J49" s="243"/>
      <c r="K49" s="240"/>
      <c r="L49" s="244"/>
      <c r="M49" s="210"/>
      <c r="N49" s="231"/>
    </row>
    <row r="50" spans="2:14" ht="18">
      <c r="B50" s="209"/>
      <c r="C50" s="580" t="s">
        <v>32</v>
      </c>
      <c r="D50" s="245"/>
      <c r="E50" s="225" t="s">
        <v>229</v>
      </c>
      <c r="F50" s="226" t="s">
        <v>30</v>
      </c>
      <c r="G50" s="579">
        <v>12.5</v>
      </c>
      <c r="H50" s="227">
        <f>I50/(I50+I51)*G50</f>
        <v>0</v>
      </c>
      <c r="I50" s="228">
        <v>0</v>
      </c>
      <c r="J50" s="227">
        <f>I50-H50</f>
        <v>0</v>
      </c>
      <c r="K50" s="229">
        <v>0.3</v>
      </c>
      <c r="L50" s="230">
        <f>J50/K50*3600/1000</f>
        <v>0</v>
      </c>
      <c r="M50" s="210"/>
      <c r="N50" s="231"/>
    </row>
    <row r="51" spans="2:14" ht="18">
      <c r="B51" s="209"/>
      <c r="C51" s="582"/>
      <c r="D51" s="246"/>
      <c r="E51" s="232" t="s">
        <v>0</v>
      </c>
      <c r="F51" s="233" t="s">
        <v>30</v>
      </c>
      <c r="G51" s="579"/>
      <c r="H51" s="227">
        <f>I51/(I51+I50)*G50</f>
        <v>12.5</v>
      </c>
      <c r="I51" s="228">
        <v>303.39999999999998</v>
      </c>
      <c r="J51" s="227">
        <f>I51-H51</f>
        <v>290.89999999999998</v>
      </c>
      <c r="K51" s="229">
        <v>0.3</v>
      </c>
      <c r="L51" s="230">
        <f>J51/K51*3600/1000</f>
        <v>3490.8</v>
      </c>
      <c r="M51" s="210"/>
      <c r="N51" s="231"/>
    </row>
    <row r="52" spans="2:14" ht="16">
      <c r="B52" s="209"/>
      <c r="C52" s="234"/>
      <c r="D52" s="234"/>
      <c r="E52" s="235"/>
      <c r="F52" s="236"/>
      <c r="G52" s="237"/>
      <c r="H52" s="238"/>
      <c r="I52" s="239"/>
      <c r="J52" s="239"/>
      <c r="K52" s="240"/>
      <c r="L52" s="239"/>
      <c r="M52" s="210"/>
      <c r="N52" s="231"/>
    </row>
    <row r="53" spans="2:14" ht="15" customHeight="1">
      <c r="B53" s="209"/>
      <c r="C53" s="575" t="s">
        <v>33</v>
      </c>
      <c r="D53" s="576"/>
      <c r="E53" s="225" t="s">
        <v>229</v>
      </c>
      <c r="F53" s="226" t="s">
        <v>34</v>
      </c>
      <c r="G53" s="579">
        <v>488.39</v>
      </c>
      <c r="H53" s="227">
        <f>I53/(I53+I54)*G53</f>
        <v>91.5072718319107</v>
      </c>
      <c r="I53" s="228">
        <v>1198.5</v>
      </c>
      <c r="J53" s="227">
        <f>I53-H53</f>
        <v>1106.9927281680893</v>
      </c>
      <c r="K53" s="229">
        <v>0.375</v>
      </c>
      <c r="L53" s="230">
        <f>J53/K53*3600/1000</f>
        <v>10627.130190413658</v>
      </c>
      <c r="M53" s="210"/>
      <c r="N53" s="231"/>
    </row>
    <row r="54" spans="2:14" ht="16">
      <c r="B54" s="209"/>
      <c r="C54" s="577"/>
      <c r="D54" s="578"/>
      <c r="E54" s="232" t="s">
        <v>0</v>
      </c>
      <c r="F54" s="233" t="s">
        <v>34</v>
      </c>
      <c r="G54" s="579"/>
      <c r="H54" s="227">
        <f>I54/(I54+I53)*G53</f>
        <v>396.88272816808927</v>
      </c>
      <c r="I54" s="228">
        <v>5198.1000000000004</v>
      </c>
      <c r="J54" s="227">
        <f>I54-H54</f>
        <v>4801.2172718319107</v>
      </c>
      <c r="K54" s="229">
        <v>0.375</v>
      </c>
      <c r="L54" s="230">
        <f>J54/K54*3600/1000</f>
        <v>46091.685809586343</v>
      </c>
      <c r="M54" s="210"/>
      <c r="N54" s="231"/>
    </row>
    <row r="55" spans="2:14" ht="16">
      <c r="B55" s="209"/>
      <c r="C55" s="247"/>
      <c r="D55" s="248"/>
      <c r="E55" s="249"/>
      <c r="F55" s="249"/>
      <c r="G55" s="250"/>
      <c r="H55" s="251"/>
      <c r="I55" s="252"/>
      <c r="J55" s="251"/>
      <c r="K55" s="253"/>
      <c r="L55" s="254"/>
      <c r="M55" s="210"/>
      <c r="N55" s="231"/>
    </row>
    <row r="56" spans="2:14" ht="16">
      <c r="B56" s="209"/>
      <c r="C56" s="575" t="s">
        <v>35</v>
      </c>
      <c r="D56" s="576"/>
      <c r="E56" s="225" t="s">
        <v>229</v>
      </c>
      <c r="F56" s="226" t="s">
        <v>30</v>
      </c>
      <c r="G56" s="579">
        <v>84.2</v>
      </c>
      <c r="H56" s="227">
        <f>I56/(I56+I57)*G56</f>
        <v>0</v>
      </c>
      <c r="I56" s="228">
        <v>0</v>
      </c>
      <c r="J56" s="227">
        <f>I56-H56</f>
        <v>0</v>
      </c>
      <c r="K56" s="229">
        <v>0.6</v>
      </c>
      <c r="L56" s="230">
        <f>J56/K56*3600/1000</f>
        <v>0</v>
      </c>
      <c r="M56" s="210"/>
      <c r="N56" s="231"/>
    </row>
    <row r="57" spans="2:14" ht="16">
      <c r="B57" s="209"/>
      <c r="C57" s="577"/>
      <c r="D57" s="578"/>
      <c r="E57" s="232" t="s">
        <v>0</v>
      </c>
      <c r="F57" s="233" t="s">
        <v>30</v>
      </c>
      <c r="G57" s="579"/>
      <c r="H57" s="227">
        <f>I57/(I57+I56)*G56</f>
        <v>84.2</v>
      </c>
      <c r="I57" s="228">
        <v>330.3</v>
      </c>
      <c r="J57" s="227">
        <f>I57-H57</f>
        <v>246.10000000000002</v>
      </c>
      <c r="K57" s="229">
        <v>0.6</v>
      </c>
      <c r="L57" s="230">
        <f>J57/K57*3600/1000</f>
        <v>1476.6000000000001</v>
      </c>
      <c r="M57" s="210"/>
      <c r="N57" s="231"/>
    </row>
    <row r="58" spans="2:14" ht="16">
      <c r="B58" s="209"/>
      <c r="C58" s="255" t="s">
        <v>36</v>
      </c>
      <c r="D58" s="234"/>
      <c r="E58" s="235"/>
      <c r="F58" s="236"/>
      <c r="G58" s="237"/>
      <c r="H58" s="242"/>
      <c r="I58" s="243"/>
      <c r="J58" s="243"/>
      <c r="K58" s="240"/>
      <c r="L58" s="244"/>
      <c r="M58" s="210"/>
      <c r="N58" s="231"/>
    </row>
    <row r="59" spans="2:14" ht="16">
      <c r="B59" s="209"/>
      <c r="C59" s="256" t="s">
        <v>37</v>
      </c>
      <c r="D59" s="257"/>
      <c r="E59" s="258" t="s">
        <v>229</v>
      </c>
      <c r="F59" s="259" t="s">
        <v>38</v>
      </c>
      <c r="G59" s="260"/>
      <c r="H59" s="228">
        <v>14.23</v>
      </c>
      <c r="I59" s="228">
        <v>474</v>
      </c>
      <c r="J59" s="227">
        <f>I59-H59</f>
        <v>459.77</v>
      </c>
      <c r="K59" s="229">
        <v>0.45</v>
      </c>
      <c r="L59" s="230">
        <f>J59/K59*3600/1000</f>
        <v>3678.1599999999994</v>
      </c>
      <c r="M59" s="210"/>
      <c r="N59" s="231"/>
    </row>
    <row r="60" spans="2:14" ht="16">
      <c r="B60" s="209"/>
      <c r="C60" s="261"/>
      <c r="D60" s="262"/>
      <c r="E60" s="235"/>
      <c r="F60" s="236"/>
      <c r="G60" s="237"/>
      <c r="H60" s="242"/>
      <c r="I60" s="243"/>
      <c r="J60" s="243"/>
      <c r="K60" s="263"/>
      <c r="L60" s="244"/>
      <c r="M60" s="210"/>
      <c r="N60" s="231"/>
    </row>
    <row r="61" spans="2:14" ht="16">
      <c r="B61" s="209"/>
      <c r="C61" s="264" t="s">
        <v>39</v>
      </c>
      <c r="D61" s="257"/>
      <c r="E61" s="258" t="s">
        <v>229</v>
      </c>
      <c r="F61" s="259" t="s">
        <v>38</v>
      </c>
      <c r="G61" s="260"/>
      <c r="H61" s="228">
        <v>7.71</v>
      </c>
      <c r="I61" s="228">
        <v>663.2</v>
      </c>
      <c r="J61" s="227">
        <f>I61-H61</f>
        <v>655.49</v>
      </c>
      <c r="K61" s="229">
        <v>0.45</v>
      </c>
      <c r="L61" s="230">
        <f>J61/K61*3600/1000</f>
        <v>5243.92</v>
      </c>
      <c r="M61" s="210"/>
      <c r="N61" s="231"/>
    </row>
    <row r="62" spans="2:14" ht="14">
      <c r="B62" s="209"/>
      <c r="C62" s="265"/>
      <c r="D62" s="265"/>
      <c r="E62" s="266"/>
      <c r="F62" s="265"/>
      <c r="G62" s="267"/>
      <c r="H62" s="268"/>
      <c r="I62" s="265"/>
      <c r="J62" s="265"/>
      <c r="K62" s="266"/>
      <c r="L62" s="269"/>
      <c r="M62" s="210"/>
    </row>
    <row r="63" spans="2:14" ht="16">
      <c r="B63" s="209"/>
      <c r="C63" s="265"/>
      <c r="D63" s="265"/>
      <c r="E63" s="265"/>
      <c r="F63" s="265"/>
      <c r="G63" s="265"/>
      <c r="H63" s="265"/>
      <c r="I63" s="270" t="s">
        <v>40</v>
      </c>
      <c r="J63" s="230">
        <f>SUM(J44:J61)</f>
        <v>8693.32</v>
      </c>
      <c r="K63" s="234"/>
      <c r="L63" s="265"/>
      <c r="M63" s="210"/>
    </row>
    <row r="64" spans="2:14" ht="16">
      <c r="B64" s="209"/>
      <c r="C64" s="265"/>
      <c r="D64" s="265"/>
      <c r="E64" s="265"/>
      <c r="F64" s="265"/>
      <c r="G64" s="265"/>
      <c r="H64" s="265"/>
      <c r="I64" s="234"/>
      <c r="J64" s="234"/>
      <c r="K64" s="270" t="s">
        <v>240</v>
      </c>
      <c r="L64" s="230">
        <f>L44+L47+L50+L53+L59+L61+L56</f>
        <v>19609.399628469633</v>
      </c>
      <c r="M64" s="210"/>
    </row>
    <row r="65" spans="2:13" ht="16">
      <c r="B65" s="209"/>
      <c r="C65" s="265"/>
      <c r="D65" s="265"/>
      <c r="E65" s="265"/>
      <c r="F65" s="265"/>
      <c r="G65" s="265"/>
      <c r="H65" s="265"/>
      <c r="I65" s="234"/>
      <c r="J65" s="234"/>
      <c r="K65" s="271" t="s">
        <v>42</v>
      </c>
      <c r="L65" s="230">
        <f>L45+L48+L51+L54+L57</f>
        <v>62582.856371530368</v>
      </c>
      <c r="M65" s="210"/>
    </row>
    <row r="66" spans="2:13" ht="15" thickBot="1">
      <c r="B66" s="272"/>
      <c r="C66" s="273"/>
      <c r="D66" s="273"/>
      <c r="E66" s="273"/>
      <c r="F66" s="273"/>
      <c r="G66" s="273"/>
      <c r="H66" s="273"/>
      <c r="I66" s="273"/>
      <c r="J66" s="273"/>
      <c r="K66" s="273"/>
      <c r="L66" s="273"/>
      <c r="M66" s="274"/>
    </row>
    <row r="68" spans="2:13">
      <c r="B68" s="5" t="s">
        <v>68</v>
      </c>
    </row>
  </sheetData>
  <mergeCells count="22">
    <mergeCell ref="C38:L38"/>
    <mergeCell ref="C39:D42"/>
    <mergeCell ref="E39:E42"/>
    <mergeCell ref="F39:F42"/>
    <mergeCell ref="G39:H39"/>
    <mergeCell ref="I39:J39"/>
    <mergeCell ref="K39:K42"/>
    <mergeCell ref="G41:G42"/>
    <mergeCell ref="H41:H42"/>
    <mergeCell ref="I41:I42"/>
    <mergeCell ref="J41:J42"/>
    <mergeCell ref="L41:L42"/>
    <mergeCell ref="C53:D54"/>
    <mergeCell ref="G53:G54"/>
    <mergeCell ref="C56:D57"/>
    <mergeCell ref="G56:G57"/>
    <mergeCell ref="C44:D45"/>
    <mergeCell ref="G44:G45"/>
    <mergeCell ref="C47:D48"/>
    <mergeCell ref="G47:G48"/>
    <mergeCell ref="C50:C51"/>
    <mergeCell ref="G50:G51"/>
  </mergeCells>
  <phoneticPr fontId="1" type="noConversion"/>
  <pageMargins left="0.75" right="0.75" top="1" bottom="1" header="0.5" footer="0.5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N68"/>
  <sheetViews>
    <sheetView workbookViewId="0">
      <selection activeCell="A11" sqref="A11:XFD12"/>
    </sheetView>
  </sheetViews>
  <sheetFormatPr baseColWidth="10" defaultColWidth="11.5" defaultRowHeight="13"/>
  <cols>
    <col min="1" max="1" width="6" style="5" customWidth="1"/>
    <col min="2" max="2" width="9.83203125" style="5" customWidth="1"/>
    <col min="3" max="3" width="12.33203125" style="5" customWidth="1"/>
    <col min="4" max="4" width="11.5" style="5"/>
    <col min="5" max="5" width="20.1640625" style="5" customWidth="1"/>
    <col min="6" max="6" width="17.5" style="5" bestFit="1" customWidth="1"/>
    <col min="7" max="7" width="12.1640625" style="5" customWidth="1"/>
    <col min="8" max="8" width="15.1640625" style="5" bestFit="1" customWidth="1"/>
    <col min="9" max="9" width="11.5" style="5" customWidth="1"/>
    <col min="10" max="10" width="13.1640625" style="5" bestFit="1" customWidth="1"/>
    <col min="11" max="11" width="16.1640625" style="5" bestFit="1" customWidth="1"/>
    <col min="12" max="12" width="12.5" style="5" customWidth="1"/>
    <col min="13" max="16384" width="11.5" style="5"/>
  </cols>
  <sheetData>
    <row r="1" spans="1:12" ht="20">
      <c r="A1" s="173" t="s">
        <v>161</v>
      </c>
      <c r="B1" s="173"/>
      <c r="C1" s="173"/>
      <c r="D1" s="173"/>
      <c r="E1" s="173"/>
      <c r="F1" s="173"/>
      <c r="G1" s="173"/>
      <c r="H1" s="174"/>
      <c r="I1" s="174"/>
      <c r="J1" s="175"/>
    </row>
    <row r="2" spans="1:12" ht="14" thickBot="1"/>
    <row r="3" spans="1:12" ht="16">
      <c r="A3" s="176" t="s">
        <v>17</v>
      </c>
      <c r="B3" s="176"/>
      <c r="F3" s="177">
        <v>95358</v>
      </c>
      <c r="G3" s="176" t="s">
        <v>1</v>
      </c>
      <c r="I3" s="178" t="s">
        <v>233</v>
      </c>
      <c r="J3" s="179"/>
      <c r="K3" s="180">
        <f>F32*F17</f>
        <v>25857286.619046349</v>
      </c>
      <c r="L3" s="181" t="s">
        <v>9</v>
      </c>
    </row>
    <row r="4" spans="1:12" ht="17" thickBot="1">
      <c r="A4" s="176" t="s">
        <v>53</v>
      </c>
      <c r="B4" s="176"/>
      <c r="F4" s="182">
        <f>SUM(I44:I61)</f>
        <v>9239.9</v>
      </c>
      <c r="G4" s="176" t="s">
        <v>1</v>
      </c>
      <c r="I4" s="183" t="s">
        <v>15</v>
      </c>
      <c r="J4" s="12"/>
      <c r="K4" s="184">
        <f>F33*F18</f>
        <v>842338.29108</v>
      </c>
      <c r="L4" s="185" t="s">
        <v>9</v>
      </c>
    </row>
    <row r="5" spans="1:12" ht="17" thickTop="1">
      <c r="A5" s="176" t="s">
        <v>169</v>
      </c>
      <c r="B5" s="176"/>
      <c r="F5" s="184">
        <f>F3-F4</f>
        <v>86118.1</v>
      </c>
      <c r="G5" s="176" t="s">
        <v>1</v>
      </c>
      <c r="H5" s="275"/>
      <c r="I5" s="183" t="s">
        <v>8</v>
      </c>
      <c r="J5" s="12"/>
      <c r="K5" s="186">
        <f>F34*F19</f>
        <v>14175720.950454878</v>
      </c>
      <c r="L5" s="185" t="s">
        <v>9</v>
      </c>
    </row>
    <row r="6" spans="1:12" ht="16">
      <c r="A6" s="176" t="s">
        <v>63</v>
      </c>
      <c r="B6" s="176"/>
      <c r="F6" s="177">
        <v>28093</v>
      </c>
      <c r="G6" s="176" t="s">
        <v>1</v>
      </c>
      <c r="I6" s="183" t="s">
        <v>54</v>
      </c>
      <c r="J6" s="12"/>
      <c r="K6" s="187">
        <f>F35*F20</f>
        <v>216629.03106000001</v>
      </c>
      <c r="L6" s="185" t="s">
        <v>9</v>
      </c>
    </row>
    <row r="7" spans="1:12" ht="16">
      <c r="A7" s="176" t="s">
        <v>64</v>
      </c>
      <c r="B7" s="176"/>
      <c r="F7" s="177">
        <v>2894</v>
      </c>
      <c r="G7" s="176" t="s">
        <v>1</v>
      </c>
      <c r="I7" s="188"/>
      <c r="J7" s="12"/>
      <c r="K7" s="12"/>
      <c r="L7" s="189"/>
    </row>
    <row r="8" spans="1:12" ht="17" thickBot="1">
      <c r="A8" s="176" t="s">
        <v>65</v>
      </c>
      <c r="B8" s="176"/>
      <c r="F8" s="276">
        <f>SUM(F6:F7)/F5</f>
        <v>0.35981982881647412</v>
      </c>
      <c r="G8" s="176" t="s">
        <v>1</v>
      </c>
      <c r="I8" s="191" t="s">
        <v>18</v>
      </c>
      <c r="J8" s="192"/>
      <c r="K8" s="193">
        <f>SUM(K3:K6)/F11/1000</f>
        <v>0.76370703479283564</v>
      </c>
      <c r="L8" s="194" t="s">
        <v>10</v>
      </c>
    </row>
    <row r="9" spans="1:12" ht="16">
      <c r="A9" s="176" t="s">
        <v>171</v>
      </c>
      <c r="B9" s="176"/>
      <c r="F9" s="195">
        <v>1.49</v>
      </c>
      <c r="G9" s="176" t="s">
        <v>1</v>
      </c>
      <c r="H9" s="176" t="s">
        <v>173</v>
      </c>
      <c r="I9" s="196"/>
      <c r="J9" s="12"/>
      <c r="K9" s="197"/>
      <c r="L9" s="196"/>
    </row>
    <row r="10" spans="1:12" ht="16">
      <c r="A10" s="176" t="s">
        <v>172</v>
      </c>
      <c r="B10" s="176"/>
      <c r="F10" s="195">
        <v>1323.67</v>
      </c>
      <c r="G10" s="176" t="s">
        <v>1</v>
      </c>
      <c r="H10" s="176" t="s">
        <v>173</v>
      </c>
      <c r="I10" s="196"/>
      <c r="J10" s="12"/>
      <c r="K10" s="197"/>
      <c r="L10" s="196"/>
    </row>
    <row r="11" spans="1:12" ht="16">
      <c r="A11" s="176" t="s">
        <v>176</v>
      </c>
      <c r="B11" s="176"/>
      <c r="F11" s="198">
        <f>F5-SUM(F9:F10)-F6-F7</f>
        <v>53805.94</v>
      </c>
      <c r="G11" s="176" t="s">
        <v>1</v>
      </c>
      <c r="H11" s="176"/>
      <c r="I11" s="196"/>
      <c r="J11" s="12"/>
      <c r="K11" s="197"/>
      <c r="L11" s="196"/>
    </row>
    <row r="12" spans="1:12" ht="16">
      <c r="A12" s="176"/>
      <c r="B12" s="176"/>
      <c r="G12" s="176"/>
    </row>
    <row r="13" spans="1:12" ht="16">
      <c r="A13" s="176" t="s">
        <v>6</v>
      </c>
      <c r="B13" s="176"/>
      <c r="F13" s="199">
        <v>6.7000000000000002E-4</v>
      </c>
      <c r="G13" s="176" t="s">
        <v>7</v>
      </c>
      <c r="H13" s="200"/>
    </row>
    <row r="14" spans="1:12" ht="16">
      <c r="A14" s="176" t="s">
        <v>2</v>
      </c>
      <c r="B14" s="176"/>
      <c r="F14" s="201">
        <f>3.281^3</f>
        <v>35.319837041000007</v>
      </c>
      <c r="G14" s="202" t="s">
        <v>19</v>
      </c>
    </row>
    <row r="15" spans="1:12" ht="16">
      <c r="A15" s="176" t="s">
        <v>43</v>
      </c>
      <c r="F15" s="201">
        <v>4.4200000000000003E-2</v>
      </c>
      <c r="G15" s="176" t="s">
        <v>44</v>
      </c>
      <c r="H15" s="176" t="s">
        <v>245</v>
      </c>
    </row>
    <row r="16" spans="1:12" ht="16">
      <c r="A16" s="176"/>
      <c r="B16" s="176"/>
      <c r="G16" s="202"/>
    </row>
    <row r="17" spans="1:8" ht="16">
      <c r="A17" s="176" t="s">
        <v>231</v>
      </c>
      <c r="B17" s="176"/>
      <c r="F17" s="201">
        <v>75.5</v>
      </c>
      <c r="G17" s="176" t="s">
        <v>4</v>
      </c>
      <c r="H17" s="176" t="s">
        <v>5</v>
      </c>
    </row>
    <row r="18" spans="1:8" ht="16">
      <c r="A18" s="176" t="s">
        <v>60</v>
      </c>
      <c r="B18" s="176"/>
      <c r="F18" s="201">
        <v>72.599999999999994</v>
      </c>
      <c r="G18" s="176" t="s">
        <v>4</v>
      </c>
      <c r="H18" s="176" t="s">
        <v>5</v>
      </c>
    </row>
    <row r="19" spans="1:8" ht="16">
      <c r="A19" s="176" t="s">
        <v>3</v>
      </c>
      <c r="B19" s="176"/>
      <c r="F19" s="201">
        <v>54.3</v>
      </c>
      <c r="G19" s="176" t="s">
        <v>4</v>
      </c>
      <c r="H19" s="176" t="s">
        <v>5</v>
      </c>
    </row>
    <row r="20" spans="1:8" ht="16">
      <c r="A20" s="176" t="s">
        <v>55</v>
      </c>
      <c r="B20" s="176"/>
      <c r="F20" s="201">
        <v>87.3</v>
      </c>
      <c r="G20" s="176" t="s">
        <v>4</v>
      </c>
      <c r="H20" s="176" t="s">
        <v>5</v>
      </c>
    </row>
    <row r="21" spans="1:8" ht="16">
      <c r="A21" s="176"/>
      <c r="B21" s="176"/>
      <c r="G21" s="176"/>
      <c r="H21" s="176"/>
    </row>
    <row r="22" spans="1:8" ht="16">
      <c r="A22" s="176" t="s">
        <v>235</v>
      </c>
      <c r="F22" s="203">
        <v>8339330</v>
      </c>
      <c r="G22" s="202" t="s">
        <v>47</v>
      </c>
      <c r="H22" s="176" t="s">
        <v>48</v>
      </c>
    </row>
    <row r="23" spans="1:8" ht="16">
      <c r="A23" s="176" t="s">
        <v>57</v>
      </c>
      <c r="F23" s="203">
        <v>262499</v>
      </c>
      <c r="G23" s="202" t="s">
        <v>47</v>
      </c>
      <c r="H23" s="176" t="s">
        <v>48</v>
      </c>
    </row>
    <row r="24" spans="1:8" ht="16">
      <c r="A24" s="204" t="s">
        <v>46</v>
      </c>
      <c r="F24" s="203">
        <v>7106962</v>
      </c>
      <c r="G24" s="202" t="s">
        <v>47</v>
      </c>
      <c r="H24" s="176" t="s">
        <v>48</v>
      </c>
    </row>
    <row r="25" spans="1:8" ht="16">
      <c r="A25" s="176" t="s">
        <v>45</v>
      </c>
      <c r="F25" s="203">
        <v>56141</v>
      </c>
      <c r="G25" s="202" t="s">
        <v>47</v>
      </c>
      <c r="H25" s="176" t="s">
        <v>48</v>
      </c>
    </row>
    <row r="27" spans="1:8" ht="16">
      <c r="A27" s="176" t="s">
        <v>235</v>
      </c>
      <c r="F27" s="205">
        <f>F22*$F$15</f>
        <v>368598.386</v>
      </c>
      <c r="G27" s="202" t="s">
        <v>16</v>
      </c>
      <c r="H27" s="176" t="s">
        <v>52</v>
      </c>
    </row>
    <row r="28" spans="1:8" ht="16">
      <c r="A28" s="176" t="s">
        <v>58</v>
      </c>
      <c r="F28" s="205">
        <f>F23*$F$15</f>
        <v>11602.455800000002</v>
      </c>
      <c r="G28" s="202" t="s">
        <v>16</v>
      </c>
      <c r="H28" s="176" t="s">
        <v>52</v>
      </c>
    </row>
    <row r="29" spans="1:8" ht="16">
      <c r="A29" s="204" t="s">
        <v>46</v>
      </c>
      <c r="F29" s="205">
        <f>F24*$F$15</f>
        <v>314127.72040000005</v>
      </c>
      <c r="G29" s="202" t="s">
        <v>16</v>
      </c>
      <c r="H29" s="176" t="s">
        <v>52</v>
      </c>
    </row>
    <row r="30" spans="1:8" ht="16">
      <c r="A30" s="176" t="s">
        <v>45</v>
      </c>
      <c r="F30" s="205">
        <f>F25*$F$15</f>
        <v>2481.4322000000002</v>
      </c>
      <c r="G30" s="202" t="s">
        <v>16</v>
      </c>
      <c r="H30" s="176" t="s">
        <v>52</v>
      </c>
    </row>
    <row r="32" spans="1:8" ht="16">
      <c r="A32" s="204" t="s">
        <v>237</v>
      </c>
      <c r="F32" s="205">
        <f>F27-L64</f>
        <v>342480.61747081258</v>
      </c>
      <c r="G32" s="202" t="s">
        <v>16</v>
      </c>
      <c r="H32" s="176" t="s">
        <v>51</v>
      </c>
    </row>
    <row r="33" spans="1:14" ht="16">
      <c r="A33" s="204" t="s">
        <v>59</v>
      </c>
      <c r="F33" s="205">
        <f>F28</f>
        <v>11602.455800000002</v>
      </c>
      <c r="G33" s="202" t="s">
        <v>16</v>
      </c>
      <c r="H33" s="176" t="s">
        <v>51</v>
      </c>
    </row>
    <row r="34" spans="1:14" ht="16">
      <c r="A34" s="204" t="s">
        <v>50</v>
      </c>
      <c r="F34" s="205">
        <f>F29-L65</f>
        <v>261063.00092918746</v>
      </c>
      <c r="G34" s="202" t="s">
        <v>16</v>
      </c>
      <c r="H34" s="176" t="s">
        <v>51</v>
      </c>
    </row>
    <row r="35" spans="1:14" ht="17" customHeight="1">
      <c r="A35" s="204" t="s">
        <v>49</v>
      </c>
      <c r="F35" s="205">
        <f>F30</f>
        <v>2481.4322000000002</v>
      </c>
      <c r="G35" s="202" t="s">
        <v>16</v>
      </c>
      <c r="H35" s="176" t="s">
        <v>51</v>
      </c>
    </row>
    <row r="36" spans="1:14" ht="14" customHeight="1" thickBot="1"/>
    <row r="37" spans="1:14" ht="14" customHeight="1">
      <c r="B37" s="206"/>
      <c r="C37" s="207"/>
      <c r="D37" s="207"/>
      <c r="E37" s="207"/>
      <c r="F37" s="207"/>
      <c r="G37" s="207"/>
      <c r="H37" s="207"/>
      <c r="I37" s="207"/>
      <c r="J37" s="207"/>
      <c r="K37" s="207"/>
      <c r="L37" s="207"/>
      <c r="M37" s="208"/>
    </row>
    <row r="38" spans="1:14" ht="18">
      <c r="B38" s="209"/>
      <c r="C38" s="584" t="s">
        <v>163</v>
      </c>
      <c r="D38" s="585"/>
      <c r="E38" s="585"/>
      <c r="F38" s="585"/>
      <c r="G38" s="585"/>
      <c r="H38" s="585"/>
      <c r="I38" s="585"/>
      <c r="J38" s="585"/>
      <c r="K38" s="585"/>
      <c r="L38" s="586"/>
      <c r="M38" s="210"/>
    </row>
    <row r="39" spans="1:14" ht="28" customHeight="1">
      <c r="B39" s="209"/>
      <c r="C39" s="587" t="s">
        <v>20</v>
      </c>
      <c r="D39" s="588"/>
      <c r="E39" s="593" t="s">
        <v>21</v>
      </c>
      <c r="F39" s="593" t="s">
        <v>22</v>
      </c>
      <c r="G39" s="596" t="s">
        <v>221</v>
      </c>
      <c r="H39" s="597"/>
      <c r="I39" s="587" t="s">
        <v>23</v>
      </c>
      <c r="J39" s="588"/>
      <c r="K39" s="598" t="s">
        <v>24</v>
      </c>
      <c r="L39" s="211" t="s">
        <v>25</v>
      </c>
      <c r="M39" s="210"/>
    </row>
    <row r="40" spans="1:14" ht="28" customHeight="1">
      <c r="B40" s="209"/>
      <c r="C40" s="589"/>
      <c r="D40" s="590"/>
      <c r="E40" s="594"/>
      <c r="F40" s="594"/>
      <c r="G40" s="212"/>
      <c r="H40" s="213"/>
      <c r="I40" s="214" t="s">
        <v>222</v>
      </c>
      <c r="J40" s="214" t="s">
        <v>26</v>
      </c>
      <c r="K40" s="599"/>
      <c r="L40" s="215"/>
      <c r="M40" s="210"/>
    </row>
    <row r="41" spans="1:14" ht="14" customHeight="1">
      <c r="B41" s="209"/>
      <c r="C41" s="589"/>
      <c r="D41" s="590"/>
      <c r="E41" s="594"/>
      <c r="F41" s="594"/>
      <c r="G41" s="601" t="s">
        <v>27</v>
      </c>
      <c r="H41" s="603" t="s">
        <v>1</v>
      </c>
      <c r="I41" s="605" t="s">
        <v>1</v>
      </c>
      <c r="J41" s="603" t="s">
        <v>1</v>
      </c>
      <c r="K41" s="599"/>
      <c r="L41" s="607" t="s">
        <v>16</v>
      </c>
      <c r="M41" s="210"/>
    </row>
    <row r="42" spans="1:14" ht="15" customHeight="1">
      <c r="B42" s="209"/>
      <c r="C42" s="591"/>
      <c r="D42" s="592"/>
      <c r="E42" s="595"/>
      <c r="F42" s="595"/>
      <c r="G42" s="602"/>
      <c r="H42" s="604"/>
      <c r="I42" s="606"/>
      <c r="J42" s="604"/>
      <c r="K42" s="600"/>
      <c r="L42" s="608"/>
      <c r="M42" s="210"/>
    </row>
    <row r="43" spans="1:14" ht="14" customHeight="1">
      <c r="B43" s="209"/>
      <c r="C43" s="216" t="s">
        <v>28</v>
      </c>
      <c r="D43" s="217"/>
      <c r="E43" s="218"/>
      <c r="F43" s="219"/>
      <c r="G43" s="220"/>
      <c r="H43" s="221"/>
      <c r="I43" s="222"/>
      <c r="J43" s="222"/>
      <c r="K43" s="223"/>
      <c r="L43" s="224"/>
      <c r="M43" s="210"/>
    </row>
    <row r="44" spans="1:14" ht="16">
      <c r="B44" s="209"/>
      <c r="C44" s="580" t="s">
        <v>29</v>
      </c>
      <c r="D44" s="581"/>
      <c r="E44" s="225" t="s">
        <v>229</v>
      </c>
      <c r="F44" s="226" t="s">
        <v>34</v>
      </c>
      <c r="G44" s="579">
        <v>25.44</v>
      </c>
      <c r="H44" s="227">
        <f>I44/(I44+I45)*G44</f>
        <v>0</v>
      </c>
      <c r="I44" s="228">
        <v>0</v>
      </c>
      <c r="J44" s="227">
        <f>I44-H44</f>
        <v>0</v>
      </c>
      <c r="K44" s="229">
        <v>0.375</v>
      </c>
      <c r="L44" s="230">
        <f>J44/K44*3600/1000</f>
        <v>0</v>
      </c>
      <c r="M44" s="210"/>
      <c r="N44" s="231"/>
    </row>
    <row r="45" spans="1:14" ht="16">
      <c r="B45" s="209"/>
      <c r="C45" s="582"/>
      <c r="D45" s="583"/>
      <c r="E45" s="232" t="s">
        <v>0</v>
      </c>
      <c r="F45" s="233" t="s">
        <v>34</v>
      </c>
      <c r="G45" s="579"/>
      <c r="H45" s="227">
        <f>I45/(I45+I44)*G44</f>
        <v>25.44</v>
      </c>
      <c r="I45" s="228">
        <v>222</v>
      </c>
      <c r="J45" s="227">
        <f>I45-H45</f>
        <v>196.56</v>
      </c>
      <c r="K45" s="229">
        <v>0.375</v>
      </c>
      <c r="L45" s="230">
        <f>J45/K45*3600/1000</f>
        <v>1886.9760000000001</v>
      </c>
      <c r="M45" s="210"/>
      <c r="N45" s="231"/>
    </row>
    <row r="46" spans="1:14" ht="16">
      <c r="B46" s="209"/>
      <c r="C46" s="234"/>
      <c r="D46" s="234"/>
      <c r="E46" s="235"/>
      <c r="F46" s="236"/>
      <c r="G46" s="237"/>
      <c r="H46" s="238"/>
      <c r="I46" s="239"/>
      <c r="J46" s="239"/>
      <c r="K46" s="240"/>
      <c r="L46" s="239"/>
      <c r="M46" s="210"/>
      <c r="N46" s="231"/>
    </row>
    <row r="47" spans="1:14" ht="15" customHeight="1">
      <c r="B47" s="209"/>
      <c r="C47" s="575" t="s">
        <v>31</v>
      </c>
      <c r="D47" s="576"/>
      <c r="E47" s="225" t="s">
        <v>229</v>
      </c>
      <c r="F47" s="226" t="s">
        <v>30</v>
      </c>
      <c r="G47" s="579">
        <v>15.9</v>
      </c>
      <c r="H47" s="227">
        <f>I47/(I47+I48)*G47</f>
        <v>0</v>
      </c>
      <c r="I47" s="228">
        <v>0</v>
      </c>
      <c r="J47" s="227">
        <f>I47-H47</f>
        <v>0</v>
      </c>
      <c r="K47" s="229">
        <v>0.3</v>
      </c>
      <c r="L47" s="230">
        <f>J47/K47*3600/1000</f>
        <v>0</v>
      </c>
      <c r="M47" s="210"/>
      <c r="N47" s="231"/>
    </row>
    <row r="48" spans="1:14" ht="15" customHeight="1">
      <c r="B48" s="209"/>
      <c r="C48" s="577"/>
      <c r="D48" s="578"/>
      <c r="E48" s="232" t="s">
        <v>0</v>
      </c>
      <c r="F48" s="233" t="s">
        <v>30</v>
      </c>
      <c r="G48" s="579"/>
      <c r="H48" s="227">
        <f>I48/(I48+I47)*G47</f>
        <v>15.9</v>
      </c>
      <c r="I48" s="228">
        <v>531.5</v>
      </c>
      <c r="J48" s="227">
        <f>I48-H48</f>
        <v>515.6</v>
      </c>
      <c r="K48" s="229">
        <v>0.3</v>
      </c>
      <c r="L48" s="230">
        <f>J48/K48*3600/1000</f>
        <v>6187.2</v>
      </c>
      <c r="M48" s="210"/>
      <c r="N48" s="231"/>
    </row>
    <row r="49" spans="2:14" ht="16">
      <c r="B49" s="209"/>
      <c r="C49" s="241"/>
      <c r="D49" s="234"/>
      <c r="E49" s="235"/>
      <c r="F49" s="236"/>
      <c r="G49" s="237"/>
      <c r="H49" s="242"/>
      <c r="I49" s="243"/>
      <c r="J49" s="243"/>
      <c r="K49" s="240"/>
      <c r="L49" s="244"/>
      <c r="M49" s="210"/>
      <c r="N49" s="231"/>
    </row>
    <row r="50" spans="2:14" ht="18">
      <c r="B50" s="209"/>
      <c r="C50" s="580" t="s">
        <v>32</v>
      </c>
      <c r="D50" s="245"/>
      <c r="E50" s="225" t="s">
        <v>229</v>
      </c>
      <c r="F50" s="226" t="s">
        <v>30</v>
      </c>
      <c r="G50" s="579">
        <v>14.91</v>
      </c>
      <c r="H50" s="227">
        <f>I50/(I50+I51)*G50</f>
        <v>0</v>
      </c>
      <c r="I50" s="228">
        <v>0</v>
      </c>
      <c r="J50" s="227">
        <f>I50-H50</f>
        <v>0</v>
      </c>
      <c r="K50" s="229">
        <v>0.3</v>
      </c>
      <c r="L50" s="230">
        <f>J50/K50*3600/1000</f>
        <v>0</v>
      </c>
      <c r="M50" s="210"/>
      <c r="N50" s="231"/>
    </row>
    <row r="51" spans="2:14" ht="18">
      <c r="B51" s="209"/>
      <c r="C51" s="582"/>
      <c r="D51" s="246"/>
      <c r="E51" s="232" t="s">
        <v>0</v>
      </c>
      <c r="F51" s="233" t="s">
        <v>30</v>
      </c>
      <c r="G51" s="579"/>
      <c r="H51" s="227">
        <f>I51/(I51+I50)*G50</f>
        <v>14.91</v>
      </c>
      <c r="I51" s="228">
        <v>508.3</v>
      </c>
      <c r="J51" s="227">
        <f>I51-H51</f>
        <v>493.39</v>
      </c>
      <c r="K51" s="229">
        <v>0.3</v>
      </c>
      <c r="L51" s="230">
        <f>J51/K51*3600/1000</f>
        <v>5920.68</v>
      </c>
      <c r="M51" s="210"/>
      <c r="N51" s="231"/>
    </row>
    <row r="52" spans="2:14" ht="16">
      <c r="B52" s="209"/>
      <c r="C52" s="234"/>
      <c r="D52" s="234"/>
      <c r="E52" s="235"/>
      <c r="F52" s="236"/>
      <c r="G52" s="237"/>
      <c r="H52" s="238"/>
      <c r="I52" s="239"/>
      <c r="J52" s="239"/>
      <c r="K52" s="240"/>
      <c r="L52" s="239"/>
      <c r="M52" s="210"/>
      <c r="N52" s="231"/>
    </row>
    <row r="53" spans="2:14" ht="15" customHeight="1">
      <c r="B53" s="209"/>
      <c r="C53" s="575" t="s">
        <v>33</v>
      </c>
      <c r="D53" s="576"/>
      <c r="E53" s="225" t="s">
        <v>229</v>
      </c>
      <c r="F53" s="226" t="s">
        <v>34</v>
      </c>
      <c r="G53" s="579">
        <v>455.68</v>
      </c>
      <c r="H53" s="227">
        <f>I53/(I53+I54)*G53</f>
        <v>151.45744487631225</v>
      </c>
      <c r="I53" s="228">
        <v>1830</v>
      </c>
      <c r="J53" s="227">
        <f>I53-H53</f>
        <v>1678.5425551236876</v>
      </c>
      <c r="K53" s="229">
        <v>0.375</v>
      </c>
      <c r="L53" s="230">
        <f>J53/K53*3600/1000</f>
        <v>16114.008529187402</v>
      </c>
      <c r="M53" s="210"/>
      <c r="N53" s="231"/>
    </row>
    <row r="54" spans="2:14" ht="15" customHeight="1">
      <c r="B54" s="209"/>
      <c r="C54" s="577"/>
      <c r="D54" s="578"/>
      <c r="E54" s="232" t="s">
        <v>0</v>
      </c>
      <c r="F54" s="233" t="s">
        <v>34</v>
      </c>
      <c r="G54" s="579"/>
      <c r="H54" s="227">
        <f>I54/(I54+I53)*G53</f>
        <v>304.22255512368775</v>
      </c>
      <c r="I54" s="228">
        <v>3675.8</v>
      </c>
      <c r="J54" s="227">
        <f>I54-H54</f>
        <v>3371.5774448763123</v>
      </c>
      <c r="K54" s="229">
        <v>0.375</v>
      </c>
      <c r="L54" s="230">
        <f>J54/K54*3600/1000</f>
        <v>32367.143470812596</v>
      </c>
      <c r="M54" s="210"/>
      <c r="N54" s="231"/>
    </row>
    <row r="55" spans="2:14" ht="16">
      <c r="B55" s="209"/>
      <c r="C55" s="247"/>
      <c r="D55" s="248"/>
      <c r="E55" s="249"/>
      <c r="F55" s="249"/>
      <c r="G55" s="250"/>
      <c r="H55" s="251"/>
      <c r="I55" s="252"/>
      <c r="J55" s="251"/>
      <c r="K55" s="253"/>
      <c r="L55" s="254"/>
      <c r="M55" s="210"/>
      <c r="N55" s="231"/>
    </row>
    <row r="56" spans="2:14" ht="16">
      <c r="B56" s="209"/>
      <c r="C56" s="575" t="s">
        <v>35</v>
      </c>
      <c r="D56" s="576"/>
      <c r="E56" s="225" t="s">
        <v>229</v>
      </c>
      <c r="F56" s="226" t="s">
        <v>30</v>
      </c>
      <c r="G56" s="579">
        <v>79.48</v>
      </c>
      <c r="H56" s="227">
        <f>I56/(I56+I57)*G56</f>
        <v>0</v>
      </c>
      <c r="I56" s="228">
        <v>0</v>
      </c>
      <c r="J56" s="227">
        <f>I56-H56</f>
        <v>0</v>
      </c>
      <c r="K56" s="229">
        <v>0.6</v>
      </c>
      <c r="L56" s="230">
        <f>J56/K56*3600/1000</f>
        <v>0</v>
      </c>
      <c r="M56" s="210"/>
      <c r="N56" s="231"/>
    </row>
    <row r="57" spans="2:14" ht="16">
      <c r="B57" s="209"/>
      <c r="C57" s="577"/>
      <c r="D57" s="578"/>
      <c r="E57" s="232" t="s">
        <v>0</v>
      </c>
      <c r="F57" s="233" t="s">
        <v>30</v>
      </c>
      <c r="G57" s="579"/>
      <c r="H57" s="227">
        <f>I57/(I57+I56)*G56</f>
        <v>79.48</v>
      </c>
      <c r="I57" s="228">
        <v>1196.5999999999999</v>
      </c>
      <c r="J57" s="227">
        <f>I57-H57</f>
        <v>1117.1199999999999</v>
      </c>
      <c r="K57" s="229">
        <v>0.6</v>
      </c>
      <c r="L57" s="230">
        <f>J57/K57*3600/1000</f>
        <v>6702.72</v>
      </c>
      <c r="M57" s="210"/>
      <c r="N57" s="231"/>
    </row>
    <row r="58" spans="2:14" ht="16">
      <c r="B58" s="209"/>
      <c r="C58" s="255" t="s">
        <v>36</v>
      </c>
      <c r="D58" s="234"/>
      <c r="E58" s="235"/>
      <c r="F58" s="236"/>
      <c r="G58" s="237"/>
      <c r="H58" s="242"/>
      <c r="I58" s="243"/>
      <c r="J58" s="243"/>
      <c r="K58" s="240"/>
      <c r="L58" s="244"/>
      <c r="M58" s="210"/>
      <c r="N58" s="231"/>
    </row>
    <row r="59" spans="2:14" ht="16">
      <c r="B59" s="209"/>
      <c r="C59" s="256" t="s">
        <v>37</v>
      </c>
      <c r="D59" s="257"/>
      <c r="E59" s="258" t="s">
        <v>229</v>
      </c>
      <c r="F59" s="259" t="s">
        <v>38</v>
      </c>
      <c r="G59" s="260"/>
      <c r="H59" s="228">
        <v>17.79</v>
      </c>
      <c r="I59" s="228">
        <v>630.9</v>
      </c>
      <c r="J59" s="227">
        <f>I59-H59</f>
        <v>613.11</v>
      </c>
      <c r="K59" s="229">
        <v>0.45</v>
      </c>
      <c r="L59" s="230">
        <f>J59/K59*3600/1000</f>
        <v>4904.88</v>
      </c>
      <c r="M59" s="210"/>
      <c r="N59" s="231"/>
    </row>
    <row r="60" spans="2:14" ht="16">
      <c r="B60" s="209"/>
      <c r="C60" s="261"/>
      <c r="D60" s="262"/>
      <c r="E60" s="235"/>
      <c r="F60" s="236"/>
      <c r="G60" s="237"/>
      <c r="H60" s="242"/>
      <c r="I60" s="243"/>
      <c r="J60" s="243"/>
      <c r="K60" s="263"/>
      <c r="L60" s="244"/>
      <c r="M60" s="210"/>
      <c r="N60" s="231"/>
    </row>
    <row r="61" spans="2:14" ht="16">
      <c r="B61" s="209"/>
      <c r="C61" s="264" t="s">
        <v>39</v>
      </c>
      <c r="D61" s="257"/>
      <c r="E61" s="258" t="s">
        <v>229</v>
      </c>
      <c r="F61" s="259" t="s">
        <v>38</v>
      </c>
      <c r="G61" s="260"/>
      <c r="H61" s="228">
        <v>7.44</v>
      </c>
      <c r="I61" s="228">
        <v>644.79999999999995</v>
      </c>
      <c r="J61" s="227">
        <f>I61-H61</f>
        <v>637.3599999999999</v>
      </c>
      <c r="K61" s="229">
        <v>0.45</v>
      </c>
      <c r="L61" s="230">
        <f>J61/K61*3600/1000</f>
        <v>5098.8799999999992</v>
      </c>
      <c r="M61" s="210"/>
      <c r="N61" s="231"/>
    </row>
    <row r="62" spans="2:14" ht="14">
      <c r="B62" s="209"/>
      <c r="C62" s="265"/>
      <c r="D62" s="265"/>
      <c r="E62" s="266"/>
      <c r="F62" s="265"/>
      <c r="G62" s="267"/>
      <c r="H62" s="268"/>
      <c r="I62" s="277"/>
      <c r="J62" s="265"/>
      <c r="K62" s="266"/>
      <c r="L62" s="269"/>
      <c r="M62" s="210"/>
    </row>
    <row r="63" spans="2:14" ht="16">
      <c r="B63" s="209"/>
      <c r="C63" s="265"/>
      <c r="D63" s="265"/>
      <c r="E63" s="265"/>
      <c r="F63" s="265"/>
      <c r="G63" s="265"/>
      <c r="H63" s="265"/>
      <c r="I63" s="270" t="s">
        <v>40</v>
      </c>
      <c r="J63" s="230">
        <f>SUM(J44:J61)</f>
        <v>8623.26</v>
      </c>
      <c r="K63" s="234"/>
      <c r="L63" s="265"/>
      <c r="M63" s="210"/>
    </row>
    <row r="64" spans="2:14" ht="16">
      <c r="B64" s="209"/>
      <c r="C64" s="265"/>
      <c r="D64" s="265"/>
      <c r="E64" s="265"/>
      <c r="F64" s="265"/>
      <c r="G64" s="265"/>
      <c r="H64" s="265"/>
      <c r="I64" s="234"/>
      <c r="J64" s="234"/>
      <c r="K64" s="270" t="s">
        <v>240</v>
      </c>
      <c r="L64" s="230">
        <f>L44+L47+L50+L53+L56+L59+L61</f>
        <v>26117.7685291874</v>
      </c>
      <c r="M64" s="210"/>
    </row>
    <row r="65" spans="2:13" ht="16">
      <c r="B65" s="209"/>
      <c r="C65" s="265"/>
      <c r="D65" s="265"/>
      <c r="E65" s="265"/>
      <c r="F65" s="265"/>
      <c r="G65" s="265"/>
      <c r="H65" s="265"/>
      <c r="I65" s="234"/>
      <c r="J65" s="234"/>
      <c r="K65" s="271" t="s">
        <v>42</v>
      </c>
      <c r="L65" s="230">
        <f>L45+L48+L51+L54+L57</f>
        <v>53064.719470812597</v>
      </c>
      <c r="M65" s="210"/>
    </row>
    <row r="66" spans="2:13" ht="15" thickBot="1">
      <c r="B66" s="272"/>
      <c r="C66" s="273"/>
      <c r="D66" s="273"/>
      <c r="E66" s="273"/>
      <c r="F66" s="273"/>
      <c r="G66" s="273"/>
      <c r="H66" s="273"/>
      <c r="I66" s="273"/>
      <c r="J66" s="273"/>
      <c r="K66" s="273"/>
      <c r="L66" s="273"/>
      <c r="M66" s="274"/>
    </row>
    <row r="68" spans="2:13">
      <c r="B68" s="5" t="s">
        <v>162</v>
      </c>
    </row>
  </sheetData>
  <mergeCells count="22">
    <mergeCell ref="C56:D57"/>
    <mergeCell ref="G56:G57"/>
    <mergeCell ref="C47:D48"/>
    <mergeCell ref="G47:G48"/>
    <mergeCell ref="C50:C51"/>
    <mergeCell ref="G50:G51"/>
    <mergeCell ref="C53:D54"/>
    <mergeCell ref="G53:G54"/>
    <mergeCell ref="C44:D45"/>
    <mergeCell ref="G44:G45"/>
    <mergeCell ref="C38:L38"/>
    <mergeCell ref="C39:D42"/>
    <mergeCell ref="E39:E42"/>
    <mergeCell ref="F39:F42"/>
    <mergeCell ref="G39:H39"/>
    <mergeCell ref="I39:J39"/>
    <mergeCell ref="K39:K42"/>
    <mergeCell ref="G41:G42"/>
    <mergeCell ref="H41:H42"/>
    <mergeCell ref="I41:I42"/>
    <mergeCell ref="J41:J42"/>
    <mergeCell ref="L41:L42"/>
  </mergeCells>
  <phoneticPr fontId="1" type="noConversion"/>
  <pageMargins left="0.75" right="0.75" top="1" bottom="1" header="0.5" footer="0.5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N73"/>
  <sheetViews>
    <sheetView zoomScale="125" zoomScaleNormal="125" zoomScalePageLayoutView="125" workbookViewId="0">
      <selection activeCell="F12" sqref="F12"/>
    </sheetView>
  </sheetViews>
  <sheetFormatPr baseColWidth="10" defaultColWidth="11.5" defaultRowHeight="13"/>
  <cols>
    <col min="1" max="1" width="6" style="5" customWidth="1"/>
    <col min="2" max="2" width="9.83203125" style="5" customWidth="1"/>
    <col min="3" max="3" width="12.33203125" style="5" customWidth="1"/>
    <col min="4" max="4" width="11.5" style="5"/>
    <col min="5" max="5" width="20.1640625" style="5" customWidth="1"/>
    <col min="6" max="6" width="17.5" style="5" bestFit="1" customWidth="1"/>
    <col min="7" max="7" width="12.1640625" style="5" customWidth="1"/>
    <col min="8" max="8" width="15.1640625" style="5" bestFit="1" customWidth="1"/>
    <col min="9" max="9" width="11.5" style="5" customWidth="1"/>
    <col min="10" max="10" width="18" style="5" customWidth="1"/>
    <col min="11" max="11" width="16.1640625" style="5" bestFit="1" customWidth="1"/>
    <col min="12" max="12" width="12.5" style="5" customWidth="1"/>
    <col min="13" max="16384" width="11.5" style="5"/>
  </cols>
  <sheetData>
    <row r="1" spans="1:12" ht="20">
      <c r="A1" s="173" t="s">
        <v>164</v>
      </c>
      <c r="B1" s="173"/>
      <c r="C1" s="173"/>
      <c r="D1" s="173"/>
      <c r="E1" s="173"/>
      <c r="F1" s="173"/>
      <c r="G1" s="173"/>
      <c r="H1" s="174"/>
      <c r="I1" s="174"/>
      <c r="J1" s="175"/>
    </row>
    <row r="2" spans="1:12" ht="14" thickBot="1"/>
    <row r="3" spans="1:12" ht="16">
      <c r="A3" s="176" t="s">
        <v>17</v>
      </c>
      <c r="B3" s="176"/>
      <c r="F3" s="177">
        <v>94385</v>
      </c>
      <c r="G3" s="176" t="s">
        <v>1</v>
      </c>
      <c r="I3" s="178" t="s">
        <v>233</v>
      </c>
      <c r="J3" s="179"/>
      <c r="K3" s="180">
        <f>F32*F17</f>
        <v>23464753.945098236</v>
      </c>
      <c r="L3" s="181" t="s">
        <v>9</v>
      </c>
    </row>
    <row r="4" spans="1:12" ht="17" thickBot="1">
      <c r="A4" s="176" t="s">
        <v>53</v>
      </c>
      <c r="B4" s="176"/>
      <c r="F4" s="182">
        <f>SUM(I46:I66)</f>
        <v>9401.75</v>
      </c>
      <c r="G4" s="176" t="s">
        <v>1</v>
      </c>
      <c r="I4" s="183" t="s">
        <v>15</v>
      </c>
      <c r="J4" s="12"/>
      <c r="K4" s="184">
        <f>F33*F18</f>
        <v>337450.02719999995</v>
      </c>
      <c r="L4" s="185" t="s">
        <v>9</v>
      </c>
    </row>
    <row r="5" spans="1:12" ht="17" thickTop="1">
      <c r="A5" s="176" t="s">
        <v>169</v>
      </c>
      <c r="B5" s="176"/>
      <c r="F5" s="184">
        <f>F3-F4</f>
        <v>84983.25</v>
      </c>
      <c r="G5" s="176" t="s">
        <v>1</v>
      </c>
      <c r="I5" s="183" t="s">
        <v>8</v>
      </c>
      <c r="J5" s="12"/>
      <c r="K5" s="186">
        <f>F34*F19</f>
        <v>13117141.868868154</v>
      </c>
      <c r="L5" s="185" t="s">
        <v>9</v>
      </c>
    </row>
    <row r="6" spans="1:12" ht="16">
      <c r="A6" s="176" t="s">
        <v>63</v>
      </c>
      <c r="B6" s="176"/>
      <c r="F6" s="177">
        <v>31811</v>
      </c>
      <c r="G6" s="176" t="s">
        <v>1</v>
      </c>
      <c r="I6" s="183" t="s">
        <v>54</v>
      </c>
      <c r="J6" s="12"/>
      <c r="K6" s="187">
        <f>F35*F20</f>
        <v>166574.49354000002</v>
      </c>
      <c r="L6" s="185" t="s">
        <v>9</v>
      </c>
    </row>
    <row r="7" spans="1:12" ht="16">
      <c r="A7" s="176" t="s">
        <v>64</v>
      </c>
      <c r="B7" s="176"/>
      <c r="F7" s="177">
        <v>3420</v>
      </c>
      <c r="G7" s="176" t="s">
        <v>1</v>
      </c>
      <c r="I7" s="188"/>
      <c r="J7" s="12"/>
      <c r="K7" s="12"/>
      <c r="L7" s="189"/>
    </row>
    <row r="8" spans="1:12" ht="17" thickBot="1">
      <c r="A8" s="176" t="s">
        <v>65</v>
      </c>
      <c r="B8" s="176"/>
      <c r="F8" s="276">
        <f>SUM(F6:F7)/F5</f>
        <v>0.41456404644444639</v>
      </c>
      <c r="G8" s="176"/>
      <c r="I8" s="191" t="s">
        <v>18</v>
      </c>
      <c r="J8" s="192"/>
      <c r="K8" s="193">
        <f>SUM(K3:K6)/F11/1000</f>
        <v>0.76149988931896662</v>
      </c>
      <c r="L8" s="194" t="s">
        <v>10</v>
      </c>
    </row>
    <row r="9" spans="1:12" ht="16">
      <c r="A9" s="176" t="s">
        <v>171</v>
      </c>
      <c r="B9" s="176"/>
      <c r="F9" s="195">
        <v>1.0900000000000001</v>
      </c>
      <c r="G9" s="176" t="s">
        <v>1</v>
      </c>
      <c r="H9" s="176" t="s">
        <v>174</v>
      </c>
      <c r="I9" s="196"/>
      <c r="J9" s="12"/>
      <c r="K9" s="197"/>
      <c r="L9" s="196"/>
    </row>
    <row r="10" spans="1:12" ht="16">
      <c r="A10" s="176" t="s">
        <v>172</v>
      </c>
      <c r="B10" s="176"/>
      <c r="F10" s="195">
        <v>1050.01</v>
      </c>
      <c r="G10" s="176" t="s">
        <v>1</v>
      </c>
      <c r="H10" s="176" t="s">
        <v>174</v>
      </c>
      <c r="I10" s="196"/>
      <c r="J10" s="12"/>
      <c r="K10" s="197"/>
      <c r="L10" s="196"/>
    </row>
    <row r="11" spans="1:12" ht="16">
      <c r="A11" s="176" t="s">
        <v>176</v>
      </c>
      <c r="B11" s="176"/>
      <c r="F11" s="198">
        <f>F5-SUM(F9:F10)-F6-F7</f>
        <v>48701.149999999994</v>
      </c>
      <c r="G11" s="176" t="s">
        <v>1</v>
      </c>
      <c r="H11" s="176"/>
      <c r="I11" s="196"/>
      <c r="J11" s="12"/>
      <c r="K11" s="197"/>
      <c r="L11" s="196"/>
    </row>
    <row r="12" spans="1:12" ht="16">
      <c r="A12" s="176"/>
      <c r="B12" s="176"/>
      <c r="G12" s="176"/>
    </row>
    <row r="13" spans="1:12" ht="16">
      <c r="A13" s="176" t="s">
        <v>6</v>
      </c>
      <c r="B13" s="176"/>
      <c r="F13" s="199">
        <v>6.7000000000000002E-4</v>
      </c>
      <c r="G13" s="176" t="s">
        <v>7</v>
      </c>
      <c r="H13" s="200"/>
    </row>
    <row r="14" spans="1:12" ht="16">
      <c r="A14" s="176" t="s">
        <v>2</v>
      </c>
      <c r="B14" s="176"/>
      <c r="F14" s="201">
        <f>3.281^3</f>
        <v>35.319837041000007</v>
      </c>
      <c r="G14" s="202" t="s">
        <v>19</v>
      </c>
    </row>
    <row r="15" spans="1:12" ht="16">
      <c r="A15" s="176" t="s">
        <v>43</v>
      </c>
      <c r="F15" s="201">
        <v>4.4200000000000003E-2</v>
      </c>
      <c r="G15" s="176" t="s">
        <v>44</v>
      </c>
      <c r="H15" s="176" t="s">
        <v>244</v>
      </c>
    </row>
    <row r="16" spans="1:12" ht="16">
      <c r="A16" s="176"/>
      <c r="B16" s="176"/>
      <c r="G16" s="202"/>
    </row>
    <row r="17" spans="1:8" ht="16">
      <c r="A17" s="176" t="s">
        <v>231</v>
      </c>
      <c r="B17" s="176"/>
      <c r="F17" s="201">
        <v>75.5</v>
      </c>
      <c r="G17" s="176" t="s">
        <v>4</v>
      </c>
      <c r="H17" s="176" t="s">
        <v>5</v>
      </c>
    </row>
    <row r="18" spans="1:8" ht="16">
      <c r="A18" s="176" t="s">
        <v>60</v>
      </c>
      <c r="B18" s="176"/>
      <c r="F18" s="201">
        <v>72.599999999999994</v>
      </c>
      <c r="G18" s="176" t="s">
        <v>4</v>
      </c>
      <c r="H18" s="176" t="s">
        <v>5</v>
      </c>
    </row>
    <row r="19" spans="1:8" ht="16">
      <c r="A19" s="176" t="s">
        <v>3</v>
      </c>
      <c r="B19" s="176"/>
      <c r="F19" s="201">
        <v>54.3</v>
      </c>
      <c r="G19" s="176" t="s">
        <v>4</v>
      </c>
      <c r="H19" s="176" t="s">
        <v>5</v>
      </c>
    </row>
    <row r="20" spans="1:8" ht="16">
      <c r="A20" s="176" t="s">
        <v>55</v>
      </c>
      <c r="B20" s="176"/>
      <c r="F20" s="201">
        <v>87.3</v>
      </c>
      <c r="G20" s="176" t="s">
        <v>4</v>
      </c>
      <c r="H20" s="176" t="s">
        <v>5</v>
      </c>
    </row>
    <row r="21" spans="1:8" ht="16">
      <c r="A21" s="176"/>
      <c r="B21" s="176"/>
      <c r="G21" s="176"/>
      <c r="H21" s="176"/>
    </row>
    <row r="22" spans="1:8" ht="16">
      <c r="A22" s="176" t="s">
        <v>235</v>
      </c>
      <c r="F22" s="203">
        <v>7827500</v>
      </c>
      <c r="G22" s="202" t="s">
        <v>47</v>
      </c>
      <c r="H22" s="176" t="s">
        <v>166</v>
      </c>
    </row>
    <row r="23" spans="1:8" ht="16">
      <c r="A23" s="176" t="s">
        <v>57</v>
      </c>
      <c r="F23" s="203">
        <v>105160</v>
      </c>
      <c r="G23" s="202" t="s">
        <v>47</v>
      </c>
      <c r="H23" s="176" t="s">
        <v>166</v>
      </c>
    </row>
    <row r="24" spans="1:8" ht="16">
      <c r="A24" s="204" t="s">
        <v>46</v>
      </c>
      <c r="F24" s="203">
        <v>6493766</v>
      </c>
      <c r="G24" s="202" t="s">
        <v>47</v>
      </c>
      <c r="H24" s="176" t="s">
        <v>166</v>
      </c>
    </row>
    <row r="25" spans="1:8" ht="16">
      <c r="A25" s="176" t="s">
        <v>45</v>
      </c>
      <c r="F25" s="203">
        <v>43169</v>
      </c>
      <c r="G25" s="202" t="s">
        <v>47</v>
      </c>
      <c r="H25" s="176" t="s">
        <v>166</v>
      </c>
    </row>
    <row r="27" spans="1:8" ht="16">
      <c r="A27" s="176" t="s">
        <v>235</v>
      </c>
      <c r="F27" s="205">
        <f>F22*$F$15</f>
        <v>345975.5</v>
      </c>
      <c r="G27" s="202" t="s">
        <v>16</v>
      </c>
      <c r="H27" s="176" t="s">
        <v>52</v>
      </c>
    </row>
    <row r="28" spans="1:8" ht="16">
      <c r="A28" s="176" t="s">
        <v>58</v>
      </c>
      <c r="F28" s="205">
        <f>F23*$F$15</f>
        <v>4648.0720000000001</v>
      </c>
      <c r="G28" s="202" t="s">
        <v>16</v>
      </c>
      <c r="H28" s="176" t="s">
        <v>52</v>
      </c>
    </row>
    <row r="29" spans="1:8" ht="16">
      <c r="A29" s="204" t="s">
        <v>46</v>
      </c>
      <c r="F29" s="205">
        <f>F24*$F$15</f>
        <v>287024.4572</v>
      </c>
      <c r="G29" s="202" t="s">
        <v>16</v>
      </c>
      <c r="H29" s="176" t="s">
        <v>52</v>
      </c>
    </row>
    <row r="30" spans="1:8" ht="16">
      <c r="A30" s="176" t="s">
        <v>45</v>
      </c>
      <c r="F30" s="205">
        <f>F25*$F$15</f>
        <v>1908.0698000000002</v>
      </c>
      <c r="G30" s="202" t="s">
        <v>16</v>
      </c>
      <c r="H30" s="176" t="s">
        <v>52</v>
      </c>
    </row>
    <row r="32" spans="1:8" ht="16">
      <c r="A32" s="204" t="s">
        <v>237</v>
      </c>
      <c r="F32" s="205">
        <f>F27-L69</f>
        <v>310791.44298143359</v>
      </c>
      <c r="G32" s="202" t="s">
        <v>16</v>
      </c>
      <c r="H32" s="176" t="s">
        <v>167</v>
      </c>
    </row>
    <row r="33" spans="1:14" ht="16">
      <c r="A33" s="204" t="s">
        <v>59</v>
      </c>
      <c r="F33" s="205">
        <f>F28</f>
        <v>4648.0720000000001</v>
      </c>
      <c r="G33" s="202" t="s">
        <v>16</v>
      </c>
      <c r="H33" s="176" t="s">
        <v>167</v>
      </c>
    </row>
    <row r="34" spans="1:14" ht="16">
      <c r="A34" s="204" t="s">
        <v>50</v>
      </c>
      <c r="F34" s="205">
        <f>F29-L70</f>
        <v>241567.99021856638</v>
      </c>
      <c r="G34" s="202" t="s">
        <v>16</v>
      </c>
      <c r="H34" s="176" t="s">
        <v>167</v>
      </c>
    </row>
    <row r="35" spans="1:14" ht="17" customHeight="1">
      <c r="A35" s="204" t="s">
        <v>49</v>
      </c>
      <c r="F35" s="205">
        <f>F30</f>
        <v>1908.0698000000002</v>
      </c>
      <c r="G35" s="202" t="s">
        <v>16</v>
      </c>
      <c r="H35" s="176" t="s">
        <v>167</v>
      </c>
    </row>
    <row r="36" spans="1:14" ht="14" customHeight="1" thickBot="1"/>
    <row r="37" spans="1:14" ht="14" customHeight="1">
      <c r="B37" s="278"/>
      <c r="C37" s="279"/>
      <c r="D37" s="279"/>
      <c r="E37" s="279"/>
      <c r="F37" s="279"/>
      <c r="G37" s="279"/>
      <c r="H37" s="279"/>
      <c r="I37" s="279"/>
      <c r="J37" s="279"/>
      <c r="K37" s="279"/>
      <c r="L37" s="279"/>
      <c r="M37" s="280"/>
    </row>
    <row r="38" spans="1:14" ht="18">
      <c r="B38" s="281"/>
      <c r="C38" s="282" t="s">
        <v>165</v>
      </c>
      <c r="D38" s="283"/>
      <c r="E38" s="284"/>
      <c r="F38" s="284"/>
      <c r="G38" s="284"/>
      <c r="H38" s="284"/>
      <c r="I38" s="284"/>
      <c r="J38" s="284"/>
      <c r="K38" s="284"/>
      <c r="L38" s="285"/>
      <c r="M38" s="286"/>
    </row>
    <row r="39" spans="1:14" ht="28" customHeight="1">
      <c r="B39" s="281"/>
      <c r="C39" s="287"/>
      <c r="D39" s="288"/>
      <c r="E39" s="289"/>
      <c r="F39" s="288"/>
      <c r="G39" s="622" t="s">
        <v>223</v>
      </c>
      <c r="H39" s="623"/>
      <c r="I39" s="616" t="s">
        <v>23</v>
      </c>
      <c r="J39" s="617"/>
      <c r="K39" s="289" t="s">
        <v>69</v>
      </c>
      <c r="L39" s="290" t="s">
        <v>70</v>
      </c>
      <c r="M39" s="286"/>
    </row>
    <row r="40" spans="1:14" ht="28" customHeight="1">
      <c r="B40" s="281"/>
      <c r="C40" s="287" t="s">
        <v>20</v>
      </c>
      <c r="D40" s="288"/>
      <c r="E40" s="289" t="s">
        <v>71</v>
      </c>
      <c r="F40" s="288" t="s">
        <v>22</v>
      </c>
      <c r="G40" s="624"/>
      <c r="H40" s="625"/>
      <c r="I40" s="288" t="s">
        <v>224</v>
      </c>
      <c r="J40" s="288" t="s">
        <v>26</v>
      </c>
      <c r="K40" s="289" t="s">
        <v>225</v>
      </c>
      <c r="L40" s="290" t="s">
        <v>72</v>
      </c>
      <c r="M40" s="286"/>
    </row>
    <row r="41" spans="1:14" ht="14" customHeight="1">
      <c r="B41" s="281"/>
      <c r="C41" s="287"/>
      <c r="D41" s="288"/>
      <c r="E41" s="291"/>
      <c r="F41" s="292"/>
      <c r="G41" s="293"/>
      <c r="H41" s="290"/>
      <c r="I41" s="288"/>
      <c r="J41" s="288"/>
      <c r="K41" s="289"/>
      <c r="L41" s="290"/>
      <c r="M41" s="286"/>
    </row>
    <row r="42" spans="1:14" ht="15" customHeight="1">
      <c r="B42" s="281"/>
      <c r="C42" s="287"/>
      <c r="D42" s="292"/>
      <c r="E42" s="291"/>
      <c r="F42" s="292"/>
      <c r="G42" s="293"/>
      <c r="H42" s="290"/>
      <c r="I42" s="288"/>
      <c r="J42" s="288"/>
      <c r="K42" s="289"/>
      <c r="L42" s="290"/>
      <c r="M42" s="286"/>
    </row>
    <row r="43" spans="1:14" ht="14" customHeight="1">
      <c r="B43" s="281"/>
      <c r="C43" s="294"/>
      <c r="D43" s="295"/>
      <c r="E43" s="296" t="s">
        <v>73</v>
      </c>
      <c r="F43" s="297"/>
      <c r="G43" s="294" t="s">
        <v>74</v>
      </c>
      <c r="H43" s="298"/>
      <c r="I43" s="295"/>
      <c r="J43" s="295"/>
      <c r="K43" s="299"/>
      <c r="L43" s="300"/>
      <c r="M43" s="286"/>
    </row>
    <row r="44" spans="1:14" ht="14">
      <c r="B44" s="281"/>
      <c r="C44" s="301"/>
      <c r="D44" s="302"/>
      <c r="E44" s="303"/>
      <c r="F44" s="304"/>
      <c r="G44" s="614" t="s">
        <v>1</v>
      </c>
      <c r="H44" s="615"/>
      <c r="I44" s="614" t="s">
        <v>1</v>
      </c>
      <c r="J44" s="615"/>
      <c r="K44" s="305"/>
      <c r="L44" s="306" t="s">
        <v>16</v>
      </c>
      <c r="M44" s="286"/>
      <c r="N44" s="231"/>
    </row>
    <row r="45" spans="1:14" ht="15">
      <c r="B45" s="281"/>
      <c r="C45" s="307" t="s">
        <v>28</v>
      </c>
      <c r="D45" s="308"/>
      <c r="E45" s="309"/>
      <c r="F45" s="310"/>
      <c r="G45" s="311"/>
      <c r="H45" s="312"/>
      <c r="I45" s="313"/>
      <c r="J45" s="313"/>
      <c r="K45" s="314"/>
      <c r="L45" s="315"/>
      <c r="M45" s="286"/>
      <c r="N45" s="231"/>
    </row>
    <row r="46" spans="1:14" ht="15">
      <c r="B46" s="281"/>
      <c r="C46" s="626" t="s">
        <v>29</v>
      </c>
      <c r="D46" s="371"/>
      <c r="E46" s="316" t="s">
        <v>229</v>
      </c>
      <c r="F46" s="317" t="s">
        <v>34</v>
      </c>
      <c r="G46" s="618">
        <v>34.1</v>
      </c>
      <c r="H46" s="318">
        <f>I46/(I46+I48)*G46</f>
        <v>0</v>
      </c>
      <c r="I46" s="319">
        <v>0</v>
      </c>
      <c r="J46" s="319">
        <f>I46-H46</f>
        <v>0</v>
      </c>
      <c r="K46" s="372">
        <v>0.375</v>
      </c>
      <c r="L46" s="320">
        <f>J46/K46*3600/1000</f>
        <v>0</v>
      </c>
      <c r="M46" s="286"/>
      <c r="N46" s="231"/>
    </row>
    <row r="47" spans="1:14" ht="15" customHeight="1">
      <c r="B47" s="281"/>
      <c r="C47" s="627"/>
      <c r="D47" s="321"/>
      <c r="E47" s="322"/>
      <c r="F47" s="323"/>
      <c r="G47" s="629"/>
      <c r="H47" s="324"/>
      <c r="I47" s="321"/>
      <c r="J47" s="321"/>
      <c r="K47" s="373"/>
      <c r="L47" s="324"/>
      <c r="M47" s="286"/>
      <c r="N47" s="231"/>
    </row>
    <row r="48" spans="1:14" ht="15" customHeight="1">
      <c r="B48" s="281"/>
      <c r="C48" s="628"/>
      <c r="D48" s="325"/>
      <c r="E48" s="326" t="s">
        <v>0</v>
      </c>
      <c r="F48" s="327" t="s">
        <v>34</v>
      </c>
      <c r="G48" s="619"/>
      <c r="H48" s="328">
        <f>I48/(I48+I46)*G46</f>
        <v>34.1</v>
      </c>
      <c r="I48" s="329">
        <v>270.5</v>
      </c>
      <c r="J48" s="329">
        <f>I48-H48</f>
        <v>236.4</v>
      </c>
      <c r="K48" s="374">
        <v>0.375</v>
      </c>
      <c r="L48" s="330">
        <f>J48/K48*3600/1000</f>
        <v>2269.44</v>
      </c>
      <c r="M48" s="286"/>
      <c r="N48" s="231"/>
    </row>
    <row r="49" spans="2:14">
      <c r="B49" s="281"/>
      <c r="C49" s="331"/>
      <c r="D49" s="331"/>
      <c r="E49" s="332"/>
      <c r="F49" s="333"/>
      <c r="G49" s="334"/>
      <c r="H49" s="335"/>
      <c r="I49" s="331"/>
      <c r="J49" s="331"/>
      <c r="K49" s="314"/>
      <c r="L49" s="331"/>
      <c r="M49" s="286"/>
      <c r="N49" s="231"/>
    </row>
    <row r="50" spans="2:14" ht="13" customHeight="1">
      <c r="B50" s="281"/>
      <c r="C50" s="620" t="s">
        <v>31</v>
      </c>
      <c r="D50" s="399"/>
      <c r="E50" s="316" t="s">
        <v>229</v>
      </c>
      <c r="F50" s="317" t="s">
        <v>30</v>
      </c>
      <c r="G50" s="618">
        <v>15.11</v>
      </c>
      <c r="H50" s="318">
        <f>I50/(I50+I51)*G50</f>
        <v>0</v>
      </c>
      <c r="I50" s="319">
        <v>0</v>
      </c>
      <c r="J50" s="319">
        <f>I50-H50</f>
        <v>0</v>
      </c>
      <c r="K50" s="372">
        <v>0.3</v>
      </c>
      <c r="L50" s="320">
        <f>J50/K50*3600/1000</f>
        <v>0</v>
      </c>
      <c r="M50" s="286"/>
      <c r="N50" s="231"/>
    </row>
    <row r="51" spans="2:14">
      <c r="B51" s="281"/>
      <c r="C51" s="621"/>
      <c r="D51" s="337"/>
      <c r="E51" s="326" t="s">
        <v>0</v>
      </c>
      <c r="F51" s="327" t="s">
        <v>30</v>
      </c>
      <c r="G51" s="619"/>
      <c r="H51" s="328">
        <f>I51/(I51+I50)*G50</f>
        <v>15.11</v>
      </c>
      <c r="I51" s="329">
        <v>675.7</v>
      </c>
      <c r="J51" s="329">
        <f>I51-H51</f>
        <v>660.59</v>
      </c>
      <c r="K51" s="374">
        <v>0.3</v>
      </c>
      <c r="L51" s="330">
        <f>J51/K51*3600/1000</f>
        <v>7927.08</v>
      </c>
      <c r="M51" s="286"/>
      <c r="N51" s="231"/>
    </row>
    <row r="52" spans="2:14">
      <c r="B52" s="281"/>
      <c r="C52" s="338"/>
      <c r="D52" s="331"/>
      <c r="E52" s="332"/>
      <c r="F52" s="333"/>
      <c r="G52" s="334"/>
      <c r="H52" s="339"/>
      <c r="I52" s="340"/>
      <c r="J52" s="340"/>
      <c r="K52" s="375"/>
      <c r="L52" s="341"/>
      <c r="M52" s="286"/>
      <c r="N52" s="231"/>
    </row>
    <row r="53" spans="2:14" ht="15" customHeight="1">
      <c r="B53" s="281"/>
      <c r="C53" s="369" t="s">
        <v>32</v>
      </c>
      <c r="D53" s="376"/>
      <c r="E53" s="316" t="s">
        <v>229</v>
      </c>
      <c r="F53" s="317" t="s">
        <v>30</v>
      </c>
      <c r="G53" s="618">
        <v>17.420000000000002</v>
      </c>
      <c r="H53" s="318">
        <f>I53/(I53+I55)*G53</f>
        <v>0</v>
      </c>
      <c r="I53" s="319">
        <v>0</v>
      </c>
      <c r="J53" s="319">
        <f>I53-H53</f>
        <v>0</v>
      </c>
      <c r="K53" s="372">
        <v>0.3</v>
      </c>
      <c r="L53" s="320">
        <f>J53/K53*3600/1000</f>
        <v>0</v>
      </c>
      <c r="M53" s="286"/>
      <c r="N53" s="231"/>
    </row>
    <row r="54" spans="2:14" ht="15" customHeight="1">
      <c r="B54" s="281"/>
      <c r="C54" s="342"/>
      <c r="D54" s="321"/>
      <c r="E54" s="322"/>
      <c r="F54" s="323"/>
      <c r="G54" s="629"/>
      <c r="H54" s="324"/>
      <c r="I54" s="321"/>
      <c r="J54" s="321"/>
      <c r="K54" s="373"/>
      <c r="L54" s="324"/>
      <c r="M54" s="286"/>
      <c r="N54" s="231"/>
    </row>
    <row r="55" spans="2:14" ht="15">
      <c r="B55" s="281"/>
      <c r="C55" s="343" t="s">
        <v>32</v>
      </c>
      <c r="D55" s="377"/>
      <c r="E55" s="326" t="s">
        <v>0</v>
      </c>
      <c r="F55" s="327" t="s">
        <v>30</v>
      </c>
      <c r="G55" s="619"/>
      <c r="H55" s="328">
        <f>I55/(I55+I53)*G53</f>
        <v>17.420000000000002</v>
      </c>
      <c r="I55" s="329">
        <v>586.29999999999995</v>
      </c>
      <c r="J55" s="329">
        <f>I55-H55</f>
        <v>568.88</v>
      </c>
      <c r="K55" s="374">
        <v>0.3</v>
      </c>
      <c r="L55" s="330">
        <f>J55/K55*3600/1000</f>
        <v>6826.56</v>
      </c>
      <c r="M55" s="286"/>
      <c r="N55" s="231"/>
    </row>
    <row r="56" spans="2:14">
      <c r="B56" s="281"/>
      <c r="C56" s="331"/>
      <c r="D56" s="331"/>
      <c r="E56" s="332"/>
      <c r="F56" s="333"/>
      <c r="G56" s="334"/>
      <c r="H56" s="335"/>
      <c r="I56" s="331"/>
      <c r="J56" s="331"/>
      <c r="K56" s="314"/>
      <c r="L56" s="331"/>
      <c r="M56" s="286"/>
      <c r="N56" s="231"/>
    </row>
    <row r="57" spans="2:14" ht="13" customHeight="1">
      <c r="B57" s="281"/>
      <c r="C57" s="368" t="s">
        <v>33</v>
      </c>
      <c r="D57" s="344"/>
      <c r="E57" s="316" t="s">
        <v>229</v>
      </c>
      <c r="F57" s="317" t="s">
        <v>34</v>
      </c>
      <c r="G57" s="618">
        <v>435.91</v>
      </c>
      <c r="H57" s="318">
        <f>I57/(I57+I58)*G57</f>
        <v>223.90239389933512</v>
      </c>
      <c r="I57" s="319">
        <v>2603.3000000000002</v>
      </c>
      <c r="J57" s="319">
        <f>I57-H57</f>
        <v>2379.3976061006651</v>
      </c>
      <c r="K57" s="372">
        <v>0.375</v>
      </c>
      <c r="L57" s="320">
        <f>J57/K57*3600/1000</f>
        <v>22842.217018566385</v>
      </c>
      <c r="M57" s="286"/>
      <c r="N57" s="231"/>
    </row>
    <row r="58" spans="2:14" ht="13" customHeight="1">
      <c r="B58" s="281"/>
      <c r="C58" s="343" t="s">
        <v>33</v>
      </c>
      <c r="D58" s="337"/>
      <c r="E58" s="326" t="s">
        <v>0</v>
      </c>
      <c r="F58" s="327" t="s">
        <v>34</v>
      </c>
      <c r="G58" s="619"/>
      <c r="H58" s="328">
        <f>I58/(I58+I57)*G57</f>
        <v>212.00760610066493</v>
      </c>
      <c r="I58" s="329">
        <v>2465</v>
      </c>
      <c r="J58" s="329">
        <f>I58-H58</f>
        <v>2252.9923938993352</v>
      </c>
      <c r="K58" s="374">
        <v>0.375</v>
      </c>
      <c r="L58" s="330">
        <f>J58/K58*3600/1000</f>
        <v>21628.726981433614</v>
      </c>
      <c r="M58" s="286"/>
      <c r="N58" s="231"/>
    </row>
    <row r="59" spans="2:14">
      <c r="B59" s="378"/>
      <c r="C59" s="379"/>
      <c r="D59" s="380"/>
      <c r="E59" s="381"/>
      <c r="F59" s="381"/>
      <c r="G59" s="382"/>
      <c r="H59" s="383"/>
      <c r="I59" s="384"/>
      <c r="J59" s="383"/>
      <c r="K59" s="385"/>
      <c r="L59" s="386"/>
      <c r="M59" s="387"/>
      <c r="N59" s="231"/>
    </row>
    <row r="60" spans="2:14">
      <c r="B60" s="378"/>
      <c r="C60" s="609" t="s">
        <v>35</v>
      </c>
      <c r="D60" s="610"/>
      <c r="E60" s="388" t="s">
        <v>229</v>
      </c>
      <c r="F60" s="389" t="s">
        <v>30</v>
      </c>
      <c r="G60" s="613">
        <v>91.39</v>
      </c>
      <c r="H60" s="390">
        <f>I60/(I60+I61)*G60</f>
        <v>0</v>
      </c>
      <c r="I60" s="391">
        <v>0</v>
      </c>
      <c r="J60" s="390">
        <f>I60-H60</f>
        <v>0</v>
      </c>
      <c r="K60" s="392">
        <v>0.6</v>
      </c>
      <c r="L60" s="393">
        <f>J60/K60*3600/1000</f>
        <v>0</v>
      </c>
      <c r="M60" s="387"/>
      <c r="N60" s="231"/>
    </row>
    <row r="61" spans="2:14">
      <c r="B61" s="378"/>
      <c r="C61" s="611"/>
      <c r="D61" s="612"/>
      <c r="E61" s="394" t="s">
        <v>0</v>
      </c>
      <c r="F61" s="395" t="s">
        <v>30</v>
      </c>
      <c r="G61" s="613"/>
      <c r="H61" s="390">
        <f>I61/(I61+I60)*G60</f>
        <v>91.39</v>
      </c>
      <c r="I61" s="391">
        <v>1225.5</v>
      </c>
      <c r="J61" s="390">
        <f>I61-H61</f>
        <v>1134.1099999999999</v>
      </c>
      <c r="K61" s="392">
        <v>0.6</v>
      </c>
      <c r="L61" s="393">
        <f>J61/K61*3600/1000</f>
        <v>6804.6599999999989</v>
      </c>
      <c r="M61" s="387"/>
      <c r="N61" s="231"/>
    </row>
    <row r="62" spans="2:14" ht="14">
      <c r="B62" s="281"/>
      <c r="C62" s="307" t="s">
        <v>36</v>
      </c>
      <c r="D62" s="331"/>
      <c r="E62" s="332"/>
      <c r="F62" s="333"/>
      <c r="G62" s="334"/>
      <c r="H62" s="335"/>
      <c r="I62" s="331"/>
      <c r="J62" s="331"/>
      <c r="K62" s="336"/>
      <c r="L62" s="331"/>
      <c r="M62" s="286"/>
    </row>
    <row r="63" spans="2:14" ht="14">
      <c r="B63" s="281"/>
      <c r="C63" s="331"/>
      <c r="D63" s="331"/>
      <c r="E63" s="332"/>
      <c r="F63" s="333"/>
      <c r="G63" s="334"/>
      <c r="H63" s="339"/>
      <c r="I63" s="340"/>
      <c r="J63" s="340"/>
      <c r="K63" s="336"/>
      <c r="L63" s="341"/>
      <c r="M63" s="286"/>
    </row>
    <row r="64" spans="2:14" ht="14">
      <c r="B64" s="281"/>
      <c r="C64" s="345" t="s">
        <v>37</v>
      </c>
      <c r="D64" s="346"/>
      <c r="E64" s="347" t="s">
        <v>229</v>
      </c>
      <c r="F64" s="348" t="s">
        <v>38</v>
      </c>
      <c r="G64" s="345"/>
      <c r="H64" s="349">
        <v>21.73</v>
      </c>
      <c r="I64" s="350">
        <v>771.3</v>
      </c>
      <c r="J64" s="350">
        <f>I64-H64</f>
        <v>749.56999999999994</v>
      </c>
      <c r="K64" s="351">
        <v>0.45</v>
      </c>
      <c r="L64" s="352">
        <f>J64/K64*3600/1000</f>
        <v>5996.56</v>
      </c>
      <c r="M64" s="286"/>
    </row>
    <row r="65" spans="2:13" ht="14">
      <c r="B65" s="281"/>
      <c r="C65" s="353"/>
      <c r="D65" s="331"/>
      <c r="E65" s="332"/>
      <c r="F65" s="333"/>
      <c r="G65" s="334"/>
      <c r="H65" s="339"/>
      <c r="I65" s="340"/>
      <c r="J65" s="340"/>
      <c r="K65" s="336"/>
      <c r="L65" s="341"/>
      <c r="M65" s="286"/>
    </row>
    <row r="66" spans="2:13" ht="14">
      <c r="B66" s="281"/>
      <c r="C66" s="354" t="s">
        <v>39</v>
      </c>
      <c r="D66" s="346"/>
      <c r="E66" s="347" t="s">
        <v>229</v>
      </c>
      <c r="F66" s="348" t="s">
        <v>38</v>
      </c>
      <c r="G66" s="345"/>
      <c r="H66" s="349">
        <v>10.99</v>
      </c>
      <c r="I66" s="350">
        <v>804.15</v>
      </c>
      <c r="J66" s="350">
        <f>I66-H66</f>
        <v>793.16</v>
      </c>
      <c r="K66" s="351">
        <v>0.45</v>
      </c>
      <c r="L66" s="352">
        <f>J66/K66*3600/1000</f>
        <v>6345.2799999999988</v>
      </c>
      <c r="M66" s="286"/>
    </row>
    <row r="67" spans="2:13" ht="14">
      <c r="B67" s="281"/>
      <c r="C67" s="331"/>
      <c r="D67" s="331"/>
      <c r="E67" s="355"/>
      <c r="F67" s="331"/>
      <c r="G67" s="356"/>
      <c r="H67" s="357"/>
      <c r="I67" s="331"/>
      <c r="J67" s="331"/>
      <c r="K67" s="355"/>
      <c r="L67" s="358"/>
      <c r="M67" s="286"/>
    </row>
    <row r="68" spans="2:13" ht="14">
      <c r="B68" s="281"/>
      <c r="C68" s="331"/>
      <c r="D68" s="331"/>
      <c r="E68" s="331"/>
      <c r="F68" s="331"/>
      <c r="G68" s="331"/>
      <c r="H68" s="331"/>
      <c r="I68" s="359" t="s">
        <v>40</v>
      </c>
      <c r="J68" s="360">
        <f>SUM(J46:J66)</f>
        <v>8775.1</v>
      </c>
      <c r="K68" s="331"/>
      <c r="L68" s="331"/>
      <c r="M68" s="286"/>
    </row>
    <row r="69" spans="2:13" ht="14">
      <c r="B69" s="281"/>
      <c r="C69" s="331"/>
      <c r="D69" s="331"/>
      <c r="E69" s="331"/>
      <c r="F69" s="331"/>
      <c r="G69" s="361"/>
      <c r="H69" s="361"/>
      <c r="I69" s="331"/>
      <c r="J69" s="340"/>
      <c r="K69" s="362" t="s">
        <v>240</v>
      </c>
      <c r="L69" s="358">
        <f>L46+L50+L53+L57+L60+L64+L66</f>
        <v>35184.057018566382</v>
      </c>
      <c r="M69" s="286"/>
    </row>
    <row r="70" spans="2:13" ht="14">
      <c r="B70" s="281"/>
      <c r="C70" s="331"/>
      <c r="D70" s="331"/>
      <c r="E70" s="331"/>
      <c r="F70" s="331"/>
      <c r="G70" s="361"/>
      <c r="H70" s="361"/>
      <c r="I70" s="331"/>
      <c r="J70" s="331"/>
      <c r="K70" s="362" t="s">
        <v>42</v>
      </c>
      <c r="L70" s="358">
        <f>L48+L51+L55+L58+L61</f>
        <v>45456.466981433616</v>
      </c>
      <c r="M70" s="286"/>
    </row>
    <row r="71" spans="2:13" ht="14" thickBot="1">
      <c r="B71" s="363"/>
      <c r="C71" s="364"/>
      <c r="D71" s="364"/>
      <c r="E71" s="364"/>
      <c r="F71" s="364"/>
      <c r="G71" s="364"/>
      <c r="H71" s="364"/>
      <c r="I71" s="364"/>
      <c r="J71" s="364"/>
      <c r="K71" s="364"/>
      <c r="L71" s="364"/>
      <c r="M71" s="365"/>
    </row>
    <row r="73" spans="2:13">
      <c r="B73" s="5" t="s">
        <v>168</v>
      </c>
    </row>
  </sheetData>
  <mergeCells count="12">
    <mergeCell ref="C60:D61"/>
    <mergeCell ref="G60:G61"/>
    <mergeCell ref="I44:J44"/>
    <mergeCell ref="I39:J39"/>
    <mergeCell ref="G57:G58"/>
    <mergeCell ref="C50:C51"/>
    <mergeCell ref="G50:G51"/>
    <mergeCell ref="G39:H40"/>
    <mergeCell ref="G44:H44"/>
    <mergeCell ref="C46:C48"/>
    <mergeCell ref="G46:G48"/>
    <mergeCell ref="G53:G55"/>
  </mergeCells>
  <phoneticPr fontId="1" type="noConversion"/>
  <pageMargins left="0.75" right="0.75" top="1" bottom="1" header="0.5" footer="0.5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78"/>
  <sheetViews>
    <sheetView zoomScale="125" zoomScaleNormal="125" zoomScalePageLayoutView="125" workbookViewId="0">
      <selection activeCell="I12" sqref="I12"/>
    </sheetView>
  </sheetViews>
  <sheetFormatPr baseColWidth="10" defaultColWidth="11.5" defaultRowHeight="13"/>
  <cols>
    <col min="1" max="1" width="6" style="5" customWidth="1"/>
    <col min="2" max="2" width="9.83203125" style="5" customWidth="1"/>
    <col min="3" max="3" width="12.33203125" style="5" customWidth="1"/>
    <col min="4" max="4" width="11.5" style="5"/>
    <col min="5" max="5" width="20.1640625" style="5" customWidth="1"/>
    <col min="6" max="6" width="17.5" style="5" bestFit="1" customWidth="1"/>
    <col min="7" max="7" width="12.1640625" style="5" customWidth="1"/>
    <col min="8" max="8" width="15.1640625" style="5" bestFit="1" customWidth="1"/>
    <col min="9" max="9" width="11.5" style="5" customWidth="1"/>
    <col min="10" max="10" width="13.1640625" style="5" bestFit="1" customWidth="1"/>
    <col min="11" max="11" width="16.1640625" style="5" bestFit="1" customWidth="1"/>
    <col min="12" max="12" width="12.5" style="5" customWidth="1"/>
    <col min="13" max="16384" width="11.5" style="5"/>
  </cols>
  <sheetData>
    <row r="1" spans="1:12" ht="20">
      <c r="A1" s="173" t="s">
        <v>177</v>
      </c>
      <c r="B1" s="173"/>
      <c r="C1" s="173"/>
      <c r="D1" s="173"/>
      <c r="E1" s="173"/>
      <c r="F1" s="173"/>
      <c r="G1" s="173"/>
      <c r="H1" s="174"/>
      <c r="I1" s="174"/>
      <c r="J1" s="175"/>
    </row>
    <row r="2" spans="1:12" ht="14" thickBot="1"/>
    <row r="3" spans="1:12" ht="16">
      <c r="A3" s="176" t="s">
        <v>17</v>
      </c>
      <c r="B3" s="176"/>
      <c r="F3" s="177">
        <v>95091</v>
      </c>
      <c r="G3" s="176" t="s">
        <v>1</v>
      </c>
      <c r="I3" s="178" t="s">
        <v>234</v>
      </c>
      <c r="J3" s="179"/>
      <c r="K3" s="180">
        <f>F32*F17</f>
        <v>22078249.006351702</v>
      </c>
      <c r="L3" s="181" t="s">
        <v>9</v>
      </c>
    </row>
    <row r="4" spans="1:12" ht="17" thickBot="1">
      <c r="A4" s="176" t="s">
        <v>53</v>
      </c>
      <c r="B4" s="176"/>
      <c r="F4" s="182">
        <f>SUM(I46:I71)</f>
        <v>8988.4</v>
      </c>
      <c r="G4" s="176" t="s">
        <v>1</v>
      </c>
      <c r="I4" s="183" t="s">
        <v>15</v>
      </c>
      <c r="J4" s="12"/>
      <c r="K4" s="184">
        <f>F33*F18</f>
        <v>651641.80223999999</v>
      </c>
      <c r="L4" s="185" t="s">
        <v>9</v>
      </c>
    </row>
    <row r="5" spans="1:12" ht="17" thickTop="1">
      <c r="A5" s="176" t="s">
        <v>169</v>
      </c>
      <c r="B5" s="176"/>
      <c r="F5" s="184">
        <f>F3-F4</f>
        <v>86102.6</v>
      </c>
      <c r="G5" s="176" t="s">
        <v>1</v>
      </c>
      <c r="I5" s="183" t="s">
        <v>8</v>
      </c>
      <c r="J5" s="12"/>
      <c r="K5" s="186">
        <f>F34*F19</f>
        <v>13371060.920276195</v>
      </c>
      <c r="L5" s="185" t="s">
        <v>9</v>
      </c>
    </row>
    <row r="6" spans="1:12" ht="16">
      <c r="A6" s="176" t="s">
        <v>63</v>
      </c>
      <c r="B6" s="176"/>
      <c r="F6" s="177">
        <v>28516.9</v>
      </c>
      <c r="G6" s="176" t="s">
        <v>1</v>
      </c>
      <c r="I6" s="183" t="s">
        <v>54</v>
      </c>
      <c r="J6" s="12"/>
      <c r="K6" s="187">
        <f>F35*F20</f>
        <v>180585.288</v>
      </c>
      <c r="L6" s="185" t="s">
        <v>9</v>
      </c>
    </row>
    <row r="7" spans="1:12" ht="16">
      <c r="A7" s="176" t="s">
        <v>64</v>
      </c>
      <c r="B7" s="176"/>
      <c r="F7" s="177">
        <v>5265</v>
      </c>
      <c r="G7" s="176" t="s">
        <v>1</v>
      </c>
      <c r="I7" s="188"/>
      <c r="J7" s="12"/>
      <c r="K7" s="12"/>
      <c r="L7" s="189"/>
    </row>
    <row r="8" spans="1:12" ht="17" thickBot="1">
      <c r="A8" s="176" t="s">
        <v>65</v>
      </c>
      <c r="B8" s="176"/>
      <c r="F8" s="276">
        <f>SUM(F6:F7)/F5</f>
        <v>0.392344714329184</v>
      </c>
      <c r="G8" s="176"/>
      <c r="I8" s="191" t="s">
        <v>18</v>
      </c>
      <c r="J8" s="192"/>
      <c r="K8" s="193">
        <f>SUM(K3:K6)/F11/1000</f>
        <v>0.70988617486502659</v>
      </c>
      <c r="L8" s="194" t="s">
        <v>10</v>
      </c>
    </row>
    <row r="9" spans="1:12" ht="16">
      <c r="A9" s="176" t="s">
        <v>171</v>
      </c>
      <c r="B9" s="176"/>
      <c r="F9" s="195">
        <v>0.94</v>
      </c>
      <c r="G9" s="176" t="s">
        <v>1</v>
      </c>
      <c r="H9" s="176" t="s">
        <v>188</v>
      </c>
      <c r="I9" s="196"/>
      <c r="J9" s="12"/>
      <c r="K9" s="197"/>
      <c r="L9" s="196"/>
    </row>
    <row r="10" spans="1:12" ht="16">
      <c r="A10" s="176" t="s">
        <v>172</v>
      </c>
      <c r="B10" s="176"/>
      <c r="F10" s="195">
        <f>1234.46-14.6-9.05</f>
        <v>1210.8100000000002</v>
      </c>
      <c r="G10" s="176" t="s">
        <v>1</v>
      </c>
      <c r="H10" s="176" t="s">
        <v>188</v>
      </c>
      <c r="I10" s="196"/>
      <c r="J10" s="12"/>
      <c r="K10" s="197"/>
      <c r="L10" s="196"/>
    </row>
    <row r="11" spans="1:12" ht="16">
      <c r="A11" s="176" t="s">
        <v>176</v>
      </c>
      <c r="B11" s="176"/>
      <c r="F11" s="198">
        <f>F5-SUM(F9:F10)-F6-F7</f>
        <v>51108.950000000004</v>
      </c>
      <c r="G11" s="176" t="s">
        <v>1</v>
      </c>
      <c r="H11" s="176"/>
      <c r="I11" s="196"/>
      <c r="J11" s="12"/>
      <c r="K11" s="197"/>
      <c r="L11" s="196"/>
    </row>
    <row r="12" spans="1:12" ht="16">
      <c r="A12" s="176"/>
      <c r="B12" s="176"/>
      <c r="G12" s="176"/>
    </row>
    <row r="13" spans="1:12" ht="16">
      <c r="A13" s="176" t="s">
        <v>6</v>
      </c>
      <c r="B13" s="176"/>
      <c r="F13" s="199">
        <v>6.7000000000000002E-4</v>
      </c>
      <c r="G13" s="176" t="s">
        <v>7</v>
      </c>
      <c r="H13" s="200"/>
    </row>
    <row r="14" spans="1:12" ht="16">
      <c r="A14" s="176" t="s">
        <v>2</v>
      </c>
      <c r="B14" s="176"/>
      <c r="F14" s="201">
        <f>3.281^3</f>
        <v>35.319837041000007</v>
      </c>
      <c r="G14" s="202" t="s">
        <v>19</v>
      </c>
    </row>
    <row r="15" spans="1:12" ht="16">
      <c r="A15" s="176" t="s">
        <v>43</v>
      </c>
      <c r="F15" s="201">
        <v>4.4200000000000003E-2</v>
      </c>
      <c r="G15" s="176" t="s">
        <v>44</v>
      </c>
      <c r="H15" s="176" t="s">
        <v>243</v>
      </c>
    </row>
    <row r="16" spans="1:12" ht="16">
      <c r="A16" s="176"/>
      <c r="B16" s="176"/>
      <c r="G16" s="202"/>
    </row>
    <row r="17" spans="1:8" ht="16">
      <c r="A17" s="176" t="s">
        <v>239</v>
      </c>
      <c r="B17" s="176"/>
      <c r="F17" s="201">
        <v>75.5</v>
      </c>
      <c r="G17" s="176" t="s">
        <v>4</v>
      </c>
      <c r="H17" s="176" t="s">
        <v>5</v>
      </c>
    </row>
    <row r="18" spans="1:8" ht="16">
      <c r="A18" s="176" t="s">
        <v>60</v>
      </c>
      <c r="B18" s="176"/>
      <c r="F18" s="201">
        <v>72.599999999999994</v>
      </c>
      <c r="G18" s="176" t="s">
        <v>4</v>
      </c>
      <c r="H18" s="176" t="s">
        <v>5</v>
      </c>
    </row>
    <row r="19" spans="1:8" ht="16">
      <c r="A19" s="176" t="s">
        <v>3</v>
      </c>
      <c r="B19" s="176"/>
      <c r="F19" s="201">
        <v>54.3</v>
      </c>
      <c r="G19" s="176" t="s">
        <v>4</v>
      </c>
      <c r="H19" s="176" t="s">
        <v>5</v>
      </c>
    </row>
    <row r="20" spans="1:8" ht="16">
      <c r="A20" s="176" t="s">
        <v>55</v>
      </c>
      <c r="B20" s="176"/>
      <c r="F20" s="201">
        <v>87.3</v>
      </c>
      <c r="G20" s="176" t="s">
        <v>4</v>
      </c>
      <c r="H20" s="176" t="s">
        <v>5</v>
      </c>
    </row>
    <row r="21" spans="1:8" ht="16">
      <c r="A21" s="176"/>
      <c r="B21" s="176"/>
      <c r="G21" s="176"/>
      <c r="H21" s="176"/>
    </row>
    <row r="22" spans="1:8" ht="16">
      <c r="A22" s="176" t="s">
        <v>235</v>
      </c>
      <c r="F22" s="203">
        <v>7206839</v>
      </c>
      <c r="G22" s="202" t="s">
        <v>47</v>
      </c>
      <c r="H22" s="176" t="s">
        <v>183</v>
      </c>
    </row>
    <row r="23" spans="1:8" ht="16">
      <c r="A23" s="176" t="s">
        <v>57</v>
      </c>
      <c r="F23" s="203">
        <v>203072</v>
      </c>
      <c r="G23" s="202" t="s">
        <v>47</v>
      </c>
      <c r="H23" s="176" t="s">
        <v>184</v>
      </c>
    </row>
    <row r="24" spans="1:8" ht="16">
      <c r="A24" s="204" t="s">
        <v>46</v>
      </c>
      <c r="F24" s="203">
        <v>6732876</v>
      </c>
      <c r="G24" s="202" t="s">
        <v>47</v>
      </c>
      <c r="H24" s="176" t="s">
        <v>184</v>
      </c>
    </row>
    <row r="25" spans="1:8" ht="16">
      <c r="A25" s="176" t="s">
        <v>45</v>
      </c>
      <c r="F25" s="203">
        <v>46800</v>
      </c>
      <c r="G25" s="202" t="s">
        <v>47</v>
      </c>
      <c r="H25" s="176" t="s">
        <v>185</v>
      </c>
    </row>
    <row r="27" spans="1:8" ht="16">
      <c r="A27" s="176" t="s">
        <v>235</v>
      </c>
      <c r="F27" s="205">
        <f>F22*$F$15</f>
        <v>318542.28380000003</v>
      </c>
      <c r="G27" s="202" t="s">
        <v>16</v>
      </c>
      <c r="H27" s="176" t="s">
        <v>52</v>
      </c>
    </row>
    <row r="28" spans="1:8" ht="16">
      <c r="A28" s="176" t="s">
        <v>58</v>
      </c>
      <c r="F28" s="205">
        <f>F23*$F$15</f>
        <v>8975.7824000000001</v>
      </c>
      <c r="G28" s="202" t="s">
        <v>16</v>
      </c>
      <c r="H28" s="176" t="s">
        <v>52</v>
      </c>
    </row>
    <row r="29" spans="1:8" ht="16">
      <c r="A29" s="204" t="s">
        <v>46</v>
      </c>
      <c r="F29" s="205">
        <f>F24*$F$15</f>
        <v>297593.11920000002</v>
      </c>
      <c r="G29" s="202" t="s">
        <v>16</v>
      </c>
      <c r="H29" s="176" t="s">
        <v>52</v>
      </c>
    </row>
    <row r="30" spans="1:8" ht="16">
      <c r="A30" s="176" t="s">
        <v>45</v>
      </c>
      <c r="F30" s="205">
        <f>F25*$F$15</f>
        <v>2068.56</v>
      </c>
      <c r="G30" s="202" t="s">
        <v>16</v>
      </c>
      <c r="H30" s="176" t="s">
        <v>52</v>
      </c>
    </row>
    <row r="32" spans="1:8" ht="16">
      <c r="A32" s="204" t="s">
        <v>237</v>
      </c>
      <c r="F32" s="205">
        <f>F27-L74</f>
        <v>292427.13915697619</v>
      </c>
      <c r="G32" s="202" t="s">
        <v>16</v>
      </c>
      <c r="H32" s="176" t="s">
        <v>186</v>
      </c>
    </row>
    <row r="33" spans="1:14" ht="16">
      <c r="A33" s="204" t="s">
        <v>59</v>
      </c>
      <c r="F33" s="205">
        <f>F28</f>
        <v>8975.7824000000001</v>
      </c>
      <c r="G33" s="202" t="s">
        <v>16</v>
      </c>
      <c r="H33" s="176" t="s">
        <v>187</v>
      </c>
    </row>
    <row r="34" spans="1:14" ht="16">
      <c r="A34" s="204" t="s">
        <v>50</v>
      </c>
      <c r="F34" s="205">
        <f>F29-L75</f>
        <v>246244.21584302385</v>
      </c>
      <c r="G34" s="202" t="s">
        <v>16</v>
      </c>
      <c r="H34" s="176" t="s">
        <v>186</v>
      </c>
    </row>
    <row r="35" spans="1:14" ht="17" customHeight="1">
      <c r="A35" s="204" t="s">
        <v>49</v>
      </c>
      <c r="F35" s="205">
        <f>F30</f>
        <v>2068.56</v>
      </c>
      <c r="G35" s="202" t="s">
        <v>16</v>
      </c>
      <c r="H35" s="176" t="s">
        <v>187</v>
      </c>
    </row>
    <row r="36" spans="1:14" ht="14" customHeight="1" thickBot="1"/>
    <row r="37" spans="1:14" ht="14" customHeight="1">
      <c r="B37" s="278"/>
      <c r="C37" s="279"/>
      <c r="D37" s="279"/>
      <c r="E37" s="279"/>
      <c r="F37" s="279"/>
      <c r="G37" s="279"/>
      <c r="H37" s="279"/>
      <c r="I37" s="279"/>
      <c r="J37" s="279"/>
      <c r="K37" s="279"/>
      <c r="L37" s="279"/>
      <c r="M37" s="280"/>
    </row>
    <row r="38" spans="1:14" ht="18">
      <c r="B38" s="281"/>
      <c r="C38" s="282" t="s">
        <v>182</v>
      </c>
      <c r="D38" s="283"/>
      <c r="E38" s="284"/>
      <c r="F38" s="284"/>
      <c r="G38" s="284"/>
      <c r="H38" s="284"/>
      <c r="I38" s="284"/>
      <c r="J38" s="284"/>
      <c r="K38" s="284"/>
      <c r="L38" s="285"/>
      <c r="M38" s="286"/>
    </row>
    <row r="39" spans="1:14" ht="28" customHeight="1">
      <c r="B39" s="281"/>
      <c r="C39" s="287"/>
      <c r="D39" s="288"/>
      <c r="E39" s="289"/>
      <c r="F39" s="288"/>
      <c r="G39" s="622" t="s">
        <v>223</v>
      </c>
      <c r="H39" s="623"/>
      <c r="I39" s="616" t="s">
        <v>23</v>
      </c>
      <c r="J39" s="617"/>
      <c r="K39" s="289" t="s">
        <v>69</v>
      </c>
      <c r="L39" s="290" t="s">
        <v>70</v>
      </c>
      <c r="M39" s="286"/>
    </row>
    <row r="40" spans="1:14" ht="28" customHeight="1">
      <c r="B40" s="281"/>
      <c r="C40" s="287" t="s">
        <v>20</v>
      </c>
      <c r="D40" s="288"/>
      <c r="E40" s="289" t="s">
        <v>71</v>
      </c>
      <c r="F40" s="288" t="s">
        <v>22</v>
      </c>
      <c r="G40" s="624"/>
      <c r="H40" s="625"/>
      <c r="I40" s="288" t="s">
        <v>224</v>
      </c>
      <c r="J40" s="288" t="s">
        <v>26</v>
      </c>
      <c r="K40" s="289" t="s">
        <v>225</v>
      </c>
      <c r="L40" s="290" t="s">
        <v>72</v>
      </c>
      <c r="M40" s="286"/>
    </row>
    <row r="41" spans="1:14" ht="14" customHeight="1">
      <c r="B41" s="281"/>
      <c r="C41" s="287"/>
      <c r="D41" s="288"/>
      <c r="E41" s="291"/>
      <c r="F41" s="292"/>
      <c r="G41" s="293"/>
      <c r="H41" s="290"/>
      <c r="I41" s="288"/>
      <c r="J41" s="288"/>
      <c r="K41" s="289"/>
      <c r="L41" s="290"/>
      <c r="M41" s="286"/>
    </row>
    <row r="42" spans="1:14" ht="15" customHeight="1">
      <c r="B42" s="281"/>
      <c r="C42" s="287"/>
      <c r="D42" s="292"/>
      <c r="E42" s="291"/>
      <c r="F42" s="292"/>
      <c r="G42" s="293"/>
      <c r="H42" s="290"/>
      <c r="I42" s="288"/>
      <c r="J42" s="288"/>
      <c r="K42" s="289"/>
      <c r="L42" s="290"/>
      <c r="M42" s="286"/>
    </row>
    <row r="43" spans="1:14" ht="14" customHeight="1">
      <c r="B43" s="281"/>
      <c r="C43" s="294"/>
      <c r="D43" s="295"/>
      <c r="E43" s="296" t="s">
        <v>73</v>
      </c>
      <c r="F43" s="297"/>
      <c r="G43" s="294" t="s">
        <v>74</v>
      </c>
      <c r="H43" s="298"/>
      <c r="I43" s="295"/>
      <c r="J43" s="295"/>
      <c r="K43" s="299"/>
      <c r="L43" s="300"/>
      <c r="M43" s="286"/>
    </row>
    <row r="44" spans="1:14" ht="14">
      <c r="B44" s="281"/>
      <c r="C44" s="301"/>
      <c r="D44" s="302"/>
      <c r="E44" s="303"/>
      <c r="F44" s="304"/>
      <c r="G44" s="614" t="s">
        <v>1</v>
      </c>
      <c r="H44" s="615"/>
      <c r="I44" s="614" t="s">
        <v>1</v>
      </c>
      <c r="J44" s="615"/>
      <c r="K44" s="305"/>
      <c r="L44" s="306" t="s">
        <v>16</v>
      </c>
      <c r="M44" s="286"/>
      <c r="N44" s="231"/>
    </row>
    <row r="45" spans="1:14" ht="15">
      <c r="B45" s="281"/>
      <c r="C45" s="307" t="s">
        <v>28</v>
      </c>
      <c r="D45" s="308"/>
      <c r="E45" s="309"/>
      <c r="F45" s="310"/>
      <c r="G45" s="311"/>
      <c r="H45" s="312"/>
      <c r="I45" s="313"/>
      <c r="J45" s="313"/>
      <c r="K45" s="314"/>
      <c r="L45" s="315"/>
      <c r="M45" s="286"/>
      <c r="N45" s="231"/>
    </row>
    <row r="46" spans="1:14" ht="15">
      <c r="B46" s="281"/>
      <c r="C46" s="626" t="s">
        <v>29</v>
      </c>
      <c r="D46" s="371"/>
      <c r="E46" s="316" t="s">
        <v>229</v>
      </c>
      <c r="F46" s="317" t="s">
        <v>34</v>
      </c>
      <c r="G46" s="618">
        <v>20.39</v>
      </c>
      <c r="H46" s="318">
        <f>I46/(I46+I48)*G46</f>
        <v>0</v>
      </c>
      <c r="I46" s="319">
        <v>0</v>
      </c>
      <c r="J46" s="319">
        <f>I46-H46</f>
        <v>0</v>
      </c>
      <c r="K46" s="372">
        <v>0.375</v>
      </c>
      <c r="L46" s="320">
        <f>J46/K46*3600/1000</f>
        <v>0</v>
      </c>
      <c r="M46" s="286"/>
      <c r="N46" s="231"/>
    </row>
    <row r="47" spans="1:14" ht="15" customHeight="1">
      <c r="B47" s="281"/>
      <c r="C47" s="627"/>
      <c r="D47" s="321"/>
      <c r="E47" s="322"/>
      <c r="F47" s="323"/>
      <c r="G47" s="629"/>
      <c r="H47" s="324"/>
      <c r="I47" s="321"/>
      <c r="J47" s="321"/>
      <c r="K47" s="373"/>
      <c r="L47" s="324"/>
      <c r="M47" s="286"/>
      <c r="N47" s="231"/>
    </row>
    <row r="48" spans="1:14" ht="15" customHeight="1">
      <c r="B48" s="281"/>
      <c r="C48" s="628"/>
      <c r="D48" s="325"/>
      <c r="E48" s="326" t="s">
        <v>0</v>
      </c>
      <c r="F48" s="327" t="s">
        <v>34</v>
      </c>
      <c r="G48" s="619"/>
      <c r="H48" s="328">
        <f>I48/(I48+I46)*G46</f>
        <v>20.39</v>
      </c>
      <c r="I48" s="329">
        <v>163.19999999999999</v>
      </c>
      <c r="J48" s="329">
        <f>I48-H48</f>
        <v>142.81</v>
      </c>
      <c r="K48" s="374">
        <v>0.375</v>
      </c>
      <c r="L48" s="330">
        <f>J48/K48*3600/1000</f>
        <v>1370.9760000000001</v>
      </c>
      <c r="M48" s="286"/>
      <c r="N48" s="231"/>
    </row>
    <row r="49" spans="2:14">
      <c r="B49" s="281"/>
      <c r="C49" s="331"/>
      <c r="D49" s="331"/>
      <c r="E49" s="332"/>
      <c r="F49" s="333"/>
      <c r="G49" s="334"/>
      <c r="H49" s="335"/>
      <c r="I49" s="331"/>
      <c r="J49" s="331"/>
      <c r="K49" s="314"/>
      <c r="L49" s="331"/>
      <c r="M49" s="286"/>
      <c r="N49" s="231"/>
    </row>
    <row r="50" spans="2:14" ht="13" customHeight="1">
      <c r="B50" s="281"/>
      <c r="C50" s="620" t="s">
        <v>31</v>
      </c>
      <c r="D50" s="399"/>
      <c r="E50" s="316" t="s">
        <v>229</v>
      </c>
      <c r="F50" s="317" t="s">
        <v>30</v>
      </c>
      <c r="G50" s="618">
        <v>13.74</v>
      </c>
      <c r="H50" s="318">
        <f>I50/(I50+I51)*G50</f>
        <v>0</v>
      </c>
      <c r="I50" s="319">
        <v>0</v>
      </c>
      <c r="J50" s="319">
        <f>I50-H50</f>
        <v>0</v>
      </c>
      <c r="K50" s="372">
        <v>0.3</v>
      </c>
      <c r="L50" s="320">
        <f>J50/K50*3600/1000</f>
        <v>0</v>
      </c>
      <c r="M50" s="286"/>
      <c r="N50" s="231"/>
    </row>
    <row r="51" spans="2:14">
      <c r="B51" s="281"/>
      <c r="C51" s="621"/>
      <c r="D51" s="337"/>
      <c r="E51" s="326" t="s">
        <v>0</v>
      </c>
      <c r="F51" s="327" t="s">
        <v>30</v>
      </c>
      <c r="G51" s="619"/>
      <c r="H51" s="328">
        <f>I51/(I51+I50)*G50</f>
        <v>13.74</v>
      </c>
      <c r="I51" s="329">
        <v>595.29999999999995</v>
      </c>
      <c r="J51" s="329">
        <f>I51-H51</f>
        <v>581.55999999999995</v>
      </c>
      <c r="K51" s="374">
        <v>0.3</v>
      </c>
      <c r="L51" s="330">
        <f>J51/K51*3600/1000</f>
        <v>6978.72</v>
      </c>
      <c r="M51" s="286"/>
      <c r="N51" s="231"/>
    </row>
    <row r="52" spans="2:14">
      <c r="B52" s="281"/>
      <c r="C52" s="338"/>
      <c r="D52" s="331"/>
      <c r="E52" s="332"/>
      <c r="F52" s="333"/>
      <c r="G52" s="334"/>
      <c r="H52" s="339"/>
      <c r="I52" s="340"/>
      <c r="J52" s="340"/>
      <c r="K52" s="375"/>
      <c r="L52" s="341"/>
      <c r="M52" s="286"/>
      <c r="N52" s="231"/>
    </row>
    <row r="53" spans="2:14" ht="15" customHeight="1">
      <c r="B53" s="281"/>
      <c r="C53" s="369" t="s">
        <v>32</v>
      </c>
      <c r="D53" s="376"/>
      <c r="E53" s="316" t="s">
        <v>229</v>
      </c>
      <c r="F53" s="317" t="s">
        <v>30</v>
      </c>
      <c r="G53" s="618">
        <v>11.16</v>
      </c>
      <c r="H53" s="318">
        <f>I53/(I53+I55)*G53</f>
        <v>0</v>
      </c>
      <c r="I53" s="319">
        <v>0</v>
      </c>
      <c r="J53" s="319">
        <f>I53-H53</f>
        <v>0</v>
      </c>
      <c r="K53" s="372">
        <v>0.3</v>
      </c>
      <c r="L53" s="320">
        <f>J53/K53*3600/1000</f>
        <v>0</v>
      </c>
      <c r="M53" s="286"/>
      <c r="N53" s="231"/>
    </row>
    <row r="54" spans="2:14" ht="15" customHeight="1">
      <c r="B54" s="281"/>
      <c r="C54" s="342"/>
      <c r="D54" s="321"/>
      <c r="E54" s="322"/>
      <c r="F54" s="323"/>
      <c r="G54" s="629"/>
      <c r="H54" s="324"/>
      <c r="I54" s="321"/>
      <c r="J54" s="321"/>
      <c r="K54" s="373"/>
      <c r="L54" s="324"/>
      <c r="M54" s="286"/>
      <c r="N54" s="231"/>
    </row>
    <row r="55" spans="2:14" ht="15">
      <c r="B55" s="281"/>
      <c r="C55" s="343" t="s">
        <v>32</v>
      </c>
      <c r="D55" s="377"/>
      <c r="E55" s="326" t="s">
        <v>0</v>
      </c>
      <c r="F55" s="327" t="s">
        <v>30</v>
      </c>
      <c r="G55" s="619"/>
      <c r="H55" s="328">
        <f>I55/(I55+I53)*G53</f>
        <v>11.16</v>
      </c>
      <c r="I55" s="329">
        <v>416.4</v>
      </c>
      <c r="J55" s="329">
        <f>I55-H55</f>
        <v>405.23999999999995</v>
      </c>
      <c r="K55" s="374">
        <v>0.3</v>
      </c>
      <c r="L55" s="330">
        <f>J55/K55*3600/1000</f>
        <v>4862.88</v>
      </c>
      <c r="M55" s="286"/>
      <c r="N55" s="231"/>
    </row>
    <row r="56" spans="2:14">
      <c r="B56" s="281"/>
      <c r="C56" s="331"/>
      <c r="D56" s="331"/>
      <c r="E56" s="332"/>
      <c r="F56" s="333"/>
      <c r="G56" s="334"/>
      <c r="H56" s="335"/>
      <c r="I56" s="331"/>
      <c r="J56" s="331"/>
      <c r="K56" s="314"/>
      <c r="L56" s="331"/>
      <c r="M56" s="286"/>
      <c r="N56" s="231"/>
    </row>
    <row r="57" spans="2:14" ht="28" customHeight="1">
      <c r="B57" s="281"/>
      <c r="C57" s="368" t="s">
        <v>178</v>
      </c>
      <c r="D57" s="344"/>
      <c r="E57" s="316" t="s">
        <v>229</v>
      </c>
      <c r="F57" s="317" t="s">
        <v>34</v>
      </c>
      <c r="G57" s="618">
        <v>413.84</v>
      </c>
      <c r="H57" s="318">
        <f>I57/(I57+I58)*G57</f>
        <v>187.16054761904763</v>
      </c>
      <c r="I57" s="319">
        <v>2127.4</v>
      </c>
      <c r="J57" s="319">
        <f>I57-H57</f>
        <v>1940.2394523809526</v>
      </c>
      <c r="K57" s="372">
        <v>0.375</v>
      </c>
      <c r="L57" s="320">
        <f>J57/K57*3600/1000</f>
        <v>18626.298742857147</v>
      </c>
      <c r="M57" s="286"/>
      <c r="N57" s="231"/>
    </row>
    <row r="58" spans="2:14" ht="26" customHeight="1">
      <c r="B58" s="281"/>
      <c r="C58" s="343" t="s">
        <v>178</v>
      </c>
      <c r="D58" s="337"/>
      <c r="E58" s="326" t="s">
        <v>0</v>
      </c>
      <c r="F58" s="327" t="s">
        <v>34</v>
      </c>
      <c r="G58" s="619"/>
      <c r="H58" s="328">
        <f>I58/(I58+I57)*G57</f>
        <v>226.67945238095234</v>
      </c>
      <c r="I58" s="329">
        <v>2576.6</v>
      </c>
      <c r="J58" s="329">
        <f>I58-H58</f>
        <v>2349.9205476190477</v>
      </c>
      <c r="K58" s="374">
        <v>0.375</v>
      </c>
      <c r="L58" s="330">
        <f>J58/K58*3600/1000</f>
        <v>22559.23725714286</v>
      </c>
      <c r="M58" s="286"/>
      <c r="N58" s="231"/>
    </row>
    <row r="59" spans="2:14">
      <c r="B59" s="378"/>
      <c r="C59" s="379"/>
      <c r="D59" s="380"/>
      <c r="E59" s="381"/>
      <c r="F59" s="381"/>
      <c r="G59" s="382"/>
      <c r="H59" s="383"/>
      <c r="I59" s="384"/>
      <c r="J59" s="383"/>
      <c r="K59" s="385"/>
      <c r="L59" s="386"/>
      <c r="M59" s="387"/>
      <c r="N59" s="231"/>
    </row>
    <row r="60" spans="2:14">
      <c r="B60" s="378"/>
      <c r="C60" s="609" t="s">
        <v>35</v>
      </c>
      <c r="D60" s="610"/>
      <c r="E60" s="388" t="s">
        <v>229</v>
      </c>
      <c r="F60" s="389" t="s">
        <v>30</v>
      </c>
      <c r="G60" s="613">
        <v>74.5</v>
      </c>
      <c r="H60" s="390">
        <f>I60/(I60+I61)*G60</f>
        <v>0</v>
      </c>
      <c r="I60" s="391">
        <v>0</v>
      </c>
      <c r="J60" s="390">
        <f>I60-H60</f>
        <v>0</v>
      </c>
      <c r="K60" s="392">
        <v>0.6</v>
      </c>
      <c r="L60" s="393">
        <f>J60/K60*3600/1000</f>
        <v>0</v>
      </c>
      <c r="M60" s="387"/>
      <c r="N60" s="231"/>
    </row>
    <row r="61" spans="2:14">
      <c r="B61" s="378"/>
      <c r="C61" s="611"/>
      <c r="D61" s="612"/>
      <c r="E61" s="394" t="s">
        <v>0</v>
      </c>
      <c r="F61" s="395" t="s">
        <v>30</v>
      </c>
      <c r="G61" s="613"/>
      <c r="H61" s="390">
        <f>I61/(I61+I60)*G60</f>
        <v>74.5</v>
      </c>
      <c r="I61" s="391">
        <v>1010.5</v>
      </c>
      <c r="J61" s="390">
        <f>I61-H61</f>
        <v>936</v>
      </c>
      <c r="K61" s="392">
        <v>0.6</v>
      </c>
      <c r="L61" s="393">
        <f>J61/K61*3600/1000</f>
        <v>5616</v>
      </c>
      <c r="M61" s="387"/>
      <c r="N61" s="231"/>
    </row>
    <row r="62" spans="2:14">
      <c r="B62" s="378"/>
      <c r="C62" s="396"/>
      <c r="D62" s="396"/>
      <c r="E62" s="397"/>
      <c r="F62" s="381"/>
      <c r="G62" s="398"/>
      <c r="H62" s="390"/>
      <c r="I62" s="391"/>
      <c r="J62" s="390"/>
      <c r="K62" s="392"/>
      <c r="L62" s="393"/>
      <c r="M62" s="387"/>
      <c r="N62" s="231"/>
    </row>
    <row r="63" spans="2:14" ht="28" customHeight="1">
      <c r="B63" s="281"/>
      <c r="C63" s="368" t="s">
        <v>179</v>
      </c>
      <c r="D63" s="344"/>
      <c r="E63" s="316" t="s">
        <v>229</v>
      </c>
      <c r="F63" s="317" t="s">
        <v>34</v>
      </c>
      <c r="G63" s="618">
        <v>101.74</v>
      </c>
      <c r="H63" s="318">
        <f>I63/(I63+I64)*G63</f>
        <v>5.3552065970699184E-2</v>
      </c>
      <c r="I63" s="319">
        <v>0.6</v>
      </c>
      <c r="J63" s="319">
        <f>I63-H63</f>
        <v>0.54644793402930081</v>
      </c>
      <c r="K63" s="372">
        <v>0.375</v>
      </c>
      <c r="L63" s="320">
        <f>J63/K63*3600/1000</f>
        <v>5.2459001666812881</v>
      </c>
      <c r="M63" s="286"/>
      <c r="N63" s="231"/>
    </row>
    <row r="64" spans="2:14" ht="26" customHeight="1">
      <c r="B64" s="281"/>
      <c r="C64" s="343" t="s">
        <v>180</v>
      </c>
      <c r="D64" s="337"/>
      <c r="E64" s="326" t="s">
        <v>0</v>
      </c>
      <c r="F64" s="327" t="s">
        <v>34</v>
      </c>
      <c r="G64" s="619"/>
      <c r="H64" s="328">
        <f>I64/(I64+I63)*G63</f>
        <v>101.6864479340293</v>
      </c>
      <c r="I64" s="329">
        <v>1139.3</v>
      </c>
      <c r="J64" s="329">
        <f>I64-H64</f>
        <v>1037.6135520659707</v>
      </c>
      <c r="K64" s="374">
        <v>0.375</v>
      </c>
      <c r="L64" s="330">
        <f>J64/K64*3600/1000</f>
        <v>9961.0900998333182</v>
      </c>
      <c r="M64" s="286"/>
      <c r="N64" s="231"/>
    </row>
    <row r="65" spans="2:14" ht="16">
      <c r="B65" s="209"/>
      <c r="C65" s="366"/>
      <c r="D65" s="366"/>
      <c r="E65" s="235"/>
      <c r="F65" s="249"/>
      <c r="G65" s="367"/>
      <c r="H65" s="227"/>
      <c r="I65" s="228"/>
      <c r="J65" s="227"/>
      <c r="K65" s="229"/>
      <c r="L65" s="230"/>
      <c r="M65" s="210"/>
      <c r="N65" s="231"/>
    </row>
    <row r="66" spans="2:14" ht="16">
      <c r="B66" s="209"/>
      <c r="C66" s="366"/>
      <c r="D66" s="366"/>
      <c r="E66" s="235"/>
      <c r="F66" s="249"/>
      <c r="G66" s="367"/>
      <c r="H66" s="227"/>
      <c r="I66" s="228"/>
      <c r="J66" s="227"/>
      <c r="K66" s="229"/>
      <c r="L66" s="230"/>
      <c r="M66" s="210"/>
      <c r="N66" s="231"/>
    </row>
    <row r="67" spans="2:14" ht="14">
      <c r="B67" s="281"/>
      <c r="C67" s="307" t="s">
        <v>36</v>
      </c>
      <c r="D67" s="331"/>
      <c r="E67" s="332"/>
      <c r="F67" s="333"/>
      <c r="G67" s="334"/>
      <c r="H67" s="335"/>
      <c r="I67" s="331"/>
      <c r="J67" s="331"/>
      <c r="K67" s="336"/>
      <c r="L67" s="331"/>
      <c r="M67" s="286"/>
    </row>
    <row r="68" spans="2:14" ht="14">
      <c r="B68" s="281"/>
      <c r="C68" s="331"/>
      <c r="D68" s="331"/>
      <c r="E68" s="332"/>
      <c r="F68" s="333"/>
      <c r="G68" s="334"/>
      <c r="H68" s="339"/>
      <c r="I68" s="340"/>
      <c r="J68" s="340"/>
      <c r="K68" s="336"/>
      <c r="L68" s="341"/>
      <c r="M68" s="286"/>
    </row>
    <row r="69" spans="2:14" ht="14">
      <c r="B69" s="281"/>
      <c r="C69" s="345" t="s">
        <v>37</v>
      </c>
      <c r="D69" s="346"/>
      <c r="E69" s="347" t="s">
        <v>229</v>
      </c>
      <c r="F69" s="348" t="s">
        <v>38</v>
      </c>
      <c r="G69" s="345"/>
      <c r="H69" s="349">
        <v>14.6</v>
      </c>
      <c r="I69" s="350">
        <v>468.6</v>
      </c>
      <c r="J69" s="350">
        <f>I69-H69</f>
        <v>454</v>
      </c>
      <c r="K69" s="351">
        <v>0.45</v>
      </c>
      <c r="L69" s="352">
        <f>J69/K69*3600/1000</f>
        <v>3632</v>
      </c>
      <c r="M69" s="286"/>
    </row>
    <row r="70" spans="2:14" ht="14">
      <c r="B70" s="281"/>
      <c r="C70" s="353"/>
      <c r="D70" s="331"/>
      <c r="E70" s="332"/>
      <c r="F70" s="333"/>
      <c r="G70" s="334"/>
      <c r="H70" s="339"/>
      <c r="I70" s="340"/>
      <c r="J70" s="340"/>
      <c r="K70" s="336"/>
      <c r="L70" s="341"/>
      <c r="M70" s="286"/>
    </row>
    <row r="71" spans="2:14" ht="14">
      <c r="B71" s="281"/>
      <c r="C71" s="354" t="s">
        <v>39</v>
      </c>
      <c r="D71" s="346"/>
      <c r="E71" s="347" t="s">
        <v>229</v>
      </c>
      <c r="F71" s="348" t="s">
        <v>38</v>
      </c>
      <c r="G71" s="345"/>
      <c r="H71" s="349">
        <v>9.0500000000000007</v>
      </c>
      <c r="I71" s="350">
        <v>490.5</v>
      </c>
      <c r="J71" s="350">
        <f>I71-H71</f>
        <v>481.45</v>
      </c>
      <c r="K71" s="351">
        <v>0.45</v>
      </c>
      <c r="L71" s="352">
        <f>J71/K71*3600/1000</f>
        <v>3851.6</v>
      </c>
      <c r="M71" s="286"/>
    </row>
    <row r="72" spans="2:14" ht="14">
      <c r="B72" s="281"/>
      <c r="C72" s="331"/>
      <c r="D72" s="331"/>
      <c r="E72" s="355"/>
      <c r="F72" s="331"/>
      <c r="G72" s="356"/>
      <c r="H72" s="357"/>
      <c r="I72" s="331"/>
      <c r="J72" s="331"/>
      <c r="K72" s="355"/>
      <c r="L72" s="358"/>
      <c r="M72" s="286"/>
    </row>
    <row r="73" spans="2:14" ht="14">
      <c r="B73" s="281"/>
      <c r="C73" s="331"/>
      <c r="D73" s="331"/>
      <c r="E73" s="331"/>
      <c r="F73" s="331"/>
      <c r="G73" s="331"/>
      <c r="H73" s="331"/>
      <c r="I73" s="359" t="s">
        <v>40</v>
      </c>
      <c r="J73" s="360">
        <f>SUM(J46:J71)</f>
        <v>8329.380000000001</v>
      </c>
      <c r="K73" s="331"/>
      <c r="L73" s="331"/>
      <c r="M73" s="286"/>
    </row>
    <row r="74" spans="2:14" ht="14">
      <c r="B74" s="281"/>
      <c r="C74" s="331"/>
      <c r="D74" s="331"/>
      <c r="E74" s="331"/>
      <c r="F74" s="331"/>
      <c r="G74" s="361"/>
      <c r="H74" s="361"/>
      <c r="I74" s="331"/>
      <c r="J74" s="340"/>
      <c r="K74" s="362" t="s">
        <v>241</v>
      </c>
      <c r="L74" s="358">
        <f>L46+L50+L53+L57+L60+L63+L69+L71</f>
        <v>26115.144643023828</v>
      </c>
      <c r="M74" s="286"/>
    </row>
    <row r="75" spans="2:14" ht="14">
      <c r="B75" s="281"/>
      <c r="C75" s="331"/>
      <c r="D75" s="331"/>
      <c r="E75" s="331"/>
      <c r="F75" s="331"/>
      <c r="G75" s="361"/>
      <c r="H75" s="361"/>
      <c r="I75" s="331"/>
      <c r="J75" s="331"/>
      <c r="K75" s="362" t="s">
        <v>42</v>
      </c>
      <c r="L75" s="358">
        <f>L48+L51+L55+L58+L61+L64</f>
        <v>51348.903356976174</v>
      </c>
      <c r="M75" s="286"/>
    </row>
    <row r="76" spans="2:14" ht="14" thickBot="1">
      <c r="B76" s="363"/>
      <c r="C76" s="364"/>
      <c r="D76" s="364"/>
      <c r="E76" s="364"/>
      <c r="F76" s="364"/>
      <c r="G76" s="364"/>
      <c r="H76" s="364"/>
      <c r="I76" s="364"/>
      <c r="J76" s="364"/>
      <c r="K76" s="364"/>
      <c r="L76" s="364"/>
      <c r="M76" s="365"/>
    </row>
    <row r="78" spans="2:14">
      <c r="B78" s="5" t="s">
        <v>181</v>
      </c>
    </row>
  </sheetData>
  <mergeCells count="13">
    <mergeCell ref="G63:G64"/>
    <mergeCell ref="C50:C51"/>
    <mergeCell ref="G50:G51"/>
    <mergeCell ref="G53:G55"/>
    <mergeCell ref="G57:G58"/>
    <mergeCell ref="C60:D61"/>
    <mergeCell ref="G60:G61"/>
    <mergeCell ref="G39:H40"/>
    <mergeCell ref="I39:J39"/>
    <mergeCell ref="G44:H44"/>
    <mergeCell ref="I44:J44"/>
    <mergeCell ref="C46:C48"/>
    <mergeCell ref="G46:G48"/>
  </mergeCells>
  <phoneticPr fontId="1" type="noConversion"/>
  <pageMargins left="0.75" right="0.75" top="1" bottom="1" header="0.5" footer="0.5"/>
  <legacy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</vt:i4>
      </vt:variant>
    </vt:vector>
  </HeadingPairs>
  <TitlesOfParts>
    <vt:vector size="16" baseType="lpstr">
      <vt:lpstr>Cover page</vt:lpstr>
      <vt:lpstr>Net elec supplied to grid</vt:lpstr>
      <vt:lpstr>ER</vt:lpstr>
      <vt:lpstr>Overview CM 2020</vt:lpstr>
      <vt:lpstr>Overview CM 2019</vt:lpstr>
      <vt:lpstr>WAPDA OM 2008-09</vt:lpstr>
      <vt:lpstr>WAPDA OM 2009-10</vt:lpstr>
      <vt:lpstr>WAPDA OM 2010-11</vt:lpstr>
      <vt:lpstr>WAPDA OM 2011-12</vt:lpstr>
      <vt:lpstr>WAPDA BM 2012-13</vt:lpstr>
      <vt:lpstr>WAPDA OM 2019 (2017-18)</vt:lpstr>
      <vt:lpstr>WAPDA OM 2020 (2018-19)</vt:lpstr>
      <vt:lpstr>WAPDA BM 2019 (2017-18)</vt:lpstr>
      <vt:lpstr>ER sheet</vt:lpstr>
      <vt:lpstr>WAPDA BM 2020 (2018-19)</vt:lpstr>
      <vt:lpstr>'Net elec supplied to grid'!_ftn1</vt:lpstr>
    </vt:vector>
  </TitlesOfParts>
  <Company>KESC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Shehla.Owais</dc:creator>
  <cp:lastModifiedBy>author</cp:lastModifiedBy>
  <cp:lastPrinted>2009-08-13T08:57:46Z</cp:lastPrinted>
  <dcterms:created xsi:type="dcterms:W3CDTF">2009-06-12T03:01:48Z</dcterms:created>
  <dcterms:modified xsi:type="dcterms:W3CDTF">2022-04-27T02:31:19Z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0x010100E9D0D523F302484F892F723420D71428</vt:lpwstr>
  </property>
</Properties>
</file>