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My files/106-WP-PAK Sapphire wind/GS Upgrade/Validation/"/>
    </mc:Choice>
  </mc:AlternateContent>
  <xr:revisionPtr revIDLastSave="0" documentId="13_ncr:1_{1CD0D56B-7B07-6F48-BB0C-48A3186EC809}" xr6:coauthVersionLast="47" xr6:coauthVersionMax="47" xr10:uidLastSave="{00000000-0000-0000-0000-000000000000}"/>
  <bookViews>
    <workbookView xWindow="0" yWindow="1340" windowWidth="25600" windowHeight="14200" tabRatio="887" xr2:uid="{00000000-000D-0000-FFFF-FFFF00000000}"/>
  </bookViews>
  <sheets>
    <sheet name="Cover" sheetId="59" r:id="rId1"/>
    <sheet name="ER sheet" sheetId="56" r:id="rId2"/>
    <sheet name="Overview CM 2020" sheetId="55" r:id="rId3"/>
    <sheet name="WAPDA OM 2008-09" sheetId="22" state="hidden" r:id="rId4"/>
    <sheet name="WAPDA OM 2009-10" sheetId="23" state="hidden" r:id="rId5"/>
    <sheet name="WAPDA OM 2010-11" sheetId="24" state="hidden" r:id="rId6"/>
    <sheet name="WAPDA OM 2011-12" sheetId="31" state="hidden" r:id="rId7"/>
    <sheet name="WAPDA BM 2012-13" sheetId="33" state="hidden" r:id="rId8"/>
    <sheet name="WAPDA OM 2016 (2014-15)" sheetId="58" r:id="rId9"/>
    <sheet name="WAPDA OM 2017 (2015-16)" sheetId="57" r:id="rId10"/>
    <sheet name="WAPDA OM 2018 (2016-17)" sheetId="45" r:id="rId11"/>
    <sheet name="WAPDA OM 2019 (2017-18)" sheetId="47" r:id="rId12"/>
    <sheet name="WAPDA OM 2020 (2018-19)" sheetId="49" r:id="rId13"/>
    <sheet name="WAPDA BM 2020 (2018-19)" sheetId="50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" i="56" l="1"/>
  <c r="D24" i="56"/>
  <c r="E24" i="56"/>
  <c r="B24" i="56"/>
  <c r="C22" i="56"/>
  <c r="D22" i="56"/>
  <c r="E22" i="56"/>
  <c r="B22" i="56"/>
  <c r="E17" i="56"/>
  <c r="E18" i="56"/>
  <c r="E19" i="56"/>
  <c r="E20" i="56"/>
  <c r="E21" i="56"/>
  <c r="B18" i="56"/>
  <c r="B19" i="56"/>
  <c r="B20" i="56"/>
  <c r="B17" i="56"/>
  <c r="B16" i="56"/>
  <c r="B21" i="56" s="1"/>
  <c r="E16" i="56"/>
  <c r="B4" i="56"/>
  <c r="B6" i="56" s="1"/>
  <c r="F4" i="58"/>
  <c r="F5" i="58" s="1"/>
  <c r="F10" i="58"/>
  <c r="F14" i="58"/>
  <c r="F27" i="58"/>
  <c r="F28" i="58"/>
  <c r="F29" i="58"/>
  <c r="F30" i="58"/>
  <c r="F33" i="58"/>
  <c r="K4" i="58" s="1"/>
  <c r="F35" i="58"/>
  <c r="K6" i="58" s="1"/>
  <c r="H46" i="58"/>
  <c r="J46" i="58" s="1"/>
  <c r="H48" i="58"/>
  <c r="J48" i="58"/>
  <c r="L48" i="58" s="1"/>
  <c r="H51" i="58"/>
  <c r="J51" i="58"/>
  <c r="L51" i="58"/>
  <c r="H53" i="58"/>
  <c r="J53" i="58"/>
  <c r="L53" i="58" s="1"/>
  <c r="H55" i="58"/>
  <c r="J55" i="58" s="1"/>
  <c r="L55" i="58" s="1"/>
  <c r="H56" i="58"/>
  <c r="J56" i="58"/>
  <c r="L56" i="58" s="1"/>
  <c r="H58" i="58"/>
  <c r="J58" i="58"/>
  <c r="L58" i="58"/>
  <c r="H59" i="58"/>
  <c r="J59" i="58"/>
  <c r="L59" i="58"/>
  <c r="H61" i="58"/>
  <c r="J61" i="58" s="1"/>
  <c r="L61" i="58" s="1"/>
  <c r="H62" i="58"/>
  <c r="J62" i="58"/>
  <c r="L62" i="58" s="1"/>
  <c r="J65" i="58"/>
  <c r="L65" i="58"/>
  <c r="J67" i="58"/>
  <c r="L67" i="58" s="1"/>
  <c r="F4" i="57"/>
  <c r="F5" i="57" s="1"/>
  <c r="F10" i="57"/>
  <c r="F14" i="57"/>
  <c r="F27" i="57"/>
  <c r="F28" i="57"/>
  <c r="F29" i="57"/>
  <c r="F30" i="57"/>
  <c r="F33" i="57"/>
  <c r="K4" i="57" s="1"/>
  <c r="F35" i="57"/>
  <c r="K6" i="57" s="1"/>
  <c r="H46" i="57"/>
  <c r="J46" i="57" s="1"/>
  <c r="H48" i="57"/>
  <c r="J48" i="57"/>
  <c r="L48" i="57" s="1"/>
  <c r="H51" i="57"/>
  <c r="J51" i="57"/>
  <c r="L51" i="57"/>
  <c r="H53" i="57"/>
  <c r="J53" i="57" s="1"/>
  <c r="L53" i="57" s="1"/>
  <c r="H55" i="57"/>
  <c r="J55" i="57" s="1"/>
  <c r="L55" i="57" s="1"/>
  <c r="H56" i="57"/>
  <c r="J56" i="57"/>
  <c r="L56" i="57" s="1"/>
  <c r="H58" i="57"/>
  <c r="J58" i="57"/>
  <c r="L58" i="57"/>
  <c r="H59" i="57"/>
  <c r="J59" i="57" s="1"/>
  <c r="L59" i="57" s="1"/>
  <c r="H61" i="57"/>
  <c r="J61" i="57" s="1"/>
  <c r="L61" i="57" s="1"/>
  <c r="H62" i="57"/>
  <c r="J62" i="57"/>
  <c r="L62" i="57" s="1"/>
  <c r="J65" i="57"/>
  <c r="L65" i="57"/>
  <c r="J67" i="57"/>
  <c r="L67" i="57" s="1"/>
  <c r="L71" i="58" l="1"/>
  <c r="F34" i="58" s="1"/>
  <c r="K5" i="58" s="1"/>
  <c r="F11" i="58"/>
  <c r="F8" i="58"/>
  <c r="L46" i="58"/>
  <c r="L70" i="58" s="1"/>
  <c r="F32" i="58" s="1"/>
  <c r="K3" i="58" s="1"/>
  <c r="J69" i="58"/>
  <c r="F11" i="57"/>
  <c r="F8" i="57"/>
  <c r="L71" i="57"/>
  <c r="F34" i="57" s="1"/>
  <c r="K5" i="57" s="1"/>
  <c r="L46" i="57"/>
  <c r="L70" i="57" s="1"/>
  <c r="F32" i="57" s="1"/>
  <c r="K3" i="57" s="1"/>
  <c r="J69" i="57"/>
  <c r="K8" i="58" l="1"/>
  <c r="K8" i="57"/>
  <c r="B10" i="56" l="1"/>
  <c r="L9" i="55" l="1"/>
  <c r="L8" i="55"/>
  <c r="L10" i="55" s="1"/>
  <c r="G81" i="50" l="1"/>
  <c r="O24" i="50" s="1"/>
  <c r="T74" i="50"/>
  <c r="U74" i="50" s="1"/>
  <c r="W74" i="50" s="1"/>
  <c r="T69" i="50"/>
  <c r="U69" i="50" s="1"/>
  <c r="W69" i="50" s="1"/>
  <c r="T65" i="50"/>
  <c r="U66" i="50" s="1"/>
  <c r="W66" i="50" s="1"/>
  <c r="T62" i="50"/>
  <c r="T59" i="50"/>
  <c r="T55" i="50"/>
  <c r="U55" i="50" s="1"/>
  <c r="W55" i="50" s="1"/>
  <c r="T77" i="50"/>
  <c r="U77" i="50" s="1"/>
  <c r="W77" i="50" s="1"/>
  <c r="U80" i="50"/>
  <c r="W80" i="50" s="1"/>
  <c r="Y74" i="50"/>
  <c r="Y89" i="50" s="1"/>
  <c r="Y69" i="50"/>
  <c r="Y86" i="50" s="1"/>
  <c r="Y66" i="50"/>
  <c r="Y65" i="50"/>
  <c r="Y63" i="50"/>
  <c r="Y88" i="50" s="1"/>
  <c r="Y62" i="50"/>
  <c r="U63" i="50"/>
  <c r="W63" i="50" s="1"/>
  <c r="U59" i="50"/>
  <c r="W59" i="50" s="1"/>
  <c r="I56" i="49"/>
  <c r="H55" i="49" s="1"/>
  <c r="J55" i="49" s="1"/>
  <c r="L55" i="49" s="1"/>
  <c r="F10" i="49"/>
  <c r="J67" i="49"/>
  <c r="L67" i="49" s="1"/>
  <c r="J65" i="49"/>
  <c r="L65" i="49" s="1"/>
  <c r="H62" i="49"/>
  <c r="J62" i="49" s="1"/>
  <c r="L62" i="49" s="1"/>
  <c r="H61" i="49"/>
  <c r="J61" i="49" s="1"/>
  <c r="L61" i="49" s="1"/>
  <c r="J59" i="49"/>
  <c r="L59" i="49" s="1"/>
  <c r="H59" i="49"/>
  <c r="H58" i="49"/>
  <c r="J58" i="49" s="1"/>
  <c r="L58" i="49" s="1"/>
  <c r="H56" i="49"/>
  <c r="J56" i="49" s="1"/>
  <c r="L56" i="49" s="1"/>
  <c r="J53" i="49"/>
  <c r="L53" i="49" s="1"/>
  <c r="L71" i="49" s="1"/>
  <c r="H51" i="49"/>
  <c r="J51" i="49" s="1"/>
  <c r="L51" i="49" s="1"/>
  <c r="J48" i="49"/>
  <c r="L48" i="49" s="1"/>
  <c r="H46" i="49"/>
  <c r="J46" i="49" s="1"/>
  <c r="J69" i="49" s="1"/>
  <c r="F30" i="49"/>
  <c r="F35" i="49" s="1"/>
  <c r="K6" i="49" s="1"/>
  <c r="F29" i="49"/>
  <c r="F28" i="49"/>
  <c r="F33" i="49" s="1"/>
  <c r="K4" i="49" s="1"/>
  <c r="F27" i="49"/>
  <c r="F14" i="49"/>
  <c r="F4" i="49"/>
  <c r="F5" i="49" s="1"/>
  <c r="I56" i="47"/>
  <c r="H56" i="47" s="1"/>
  <c r="J56" i="47" s="1"/>
  <c r="L56" i="47" s="1"/>
  <c r="F10" i="47"/>
  <c r="J67" i="47"/>
  <c r="L67" i="47" s="1"/>
  <c r="J65" i="47"/>
  <c r="L65" i="47" s="1"/>
  <c r="H62" i="47"/>
  <c r="J62" i="47" s="1"/>
  <c r="L62" i="47" s="1"/>
  <c r="H61" i="47"/>
  <c r="J61" i="47" s="1"/>
  <c r="L61" i="47" s="1"/>
  <c r="H59" i="47"/>
  <c r="J59" i="47" s="1"/>
  <c r="L59" i="47" s="1"/>
  <c r="H58" i="47"/>
  <c r="J58" i="47" s="1"/>
  <c r="L58" i="47" s="1"/>
  <c r="H53" i="47"/>
  <c r="J53" i="47" s="1"/>
  <c r="L53" i="47" s="1"/>
  <c r="L71" i="47" s="1"/>
  <c r="H51" i="47"/>
  <c r="J51" i="47" s="1"/>
  <c r="L51" i="47" s="1"/>
  <c r="H48" i="47"/>
  <c r="J48" i="47" s="1"/>
  <c r="L48" i="47" s="1"/>
  <c r="H46" i="47"/>
  <c r="J46" i="47" s="1"/>
  <c r="F30" i="47"/>
  <c r="F35" i="47" s="1"/>
  <c r="K6" i="47" s="1"/>
  <c r="F29" i="47"/>
  <c r="F28" i="47"/>
  <c r="F33" i="47" s="1"/>
  <c r="K4" i="47" s="1"/>
  <c r="F27" i="47"/>
  <c r="F14" i="47"/>
  <c r="F10" i="45"/>
  <c r="J67" i="45"/>
  <c r="L67" i="45" s="1"/>
  <c r="J65" i="45"/>
  <c r="L65" i="45" s="1"/>
  <c r="H62" i="45"/>
  <c r="J62" i="45" s="1"/>
  <c r="L62" i="45" s="1"/>
  <c r="H61" i="45"/>
  <c r="J61" i="45" s="1"/>
  <c r="L61" i="45" s="1"/>
  <c r="H59" i="45"/>
  <c r="J59" i="45" s="1"/>
  <c r="L59" i="45" s="1"/>
  <c r="H58" i="45"/>
  <c r="J58" i="45" s="1"/>
  <c r="L58" i="45" s="1"/>
  <c r="H56" i="45"/>
  <c r="J56" i="45" s="1"/>
  <c r="L56" i="45" s="1"/>
  <c r="H55" i="45"/>
  <c r="J55" i="45" s="1"/>
  <c r="L55" i="45" s="1"/>
  <c r="H53" i="45"/>
  <c r="J53" i="45" s="1"/>
  <c r="L53" i="45" s="1"/>
  <c r="H51" i="45"/>
  <c r="J51" i="45" s="1"/>
  <c r="L51" i="45" s="1"/>
  <c r="H48" i="45"/>
  <c r="J48" i="45" s="1"/>
  <c r="L48" i="45" s="1"/>
  <c r="J46" i="45"/>
  <c r="H46" i="45"/>
  <c r="F30" i="45"/>
  <c r="F35" i="45" s="1"/>
  <c r="K6" i="45" s="1"/>
  <c r="F29" i="45"/>
  <c r="F28" i="45"/>
  <c r="F33" i="45" s="1"/>
  <c r="K4" i="45" s="1"/>
  <c r="F27" i="45"/>
  <c r="F14" i="45"/>
  <c r="F4" i="45"/>
  <c r="F5" i="45" s="1"/>
  <c r="F8" i="45" s="1"/>
  <c r="F4" i="23"/>
  <c r="F5" i="23" s="1"/>
  <c r="F4" i="24"/>
  <c r="F5" i="24"/>
  <c r="F8" i="24" s="1"/>
  <c r="F4" i="31"/>
  <c r="F5" i="31" s="1"/>
  <c r="F27" i="31"/>
  <c r="H46" i="31"/>
  <c r="J46" i="31" s="1"/>
  <c r="H50" i="31"/>
  <c r="J50" i="31" s="1"/>
  <c r="L50" i="31" s="1"/>
  <c r="H53" i="31"/>
  <c r="J53" i="31" s="1"/>
  <c r="L53" i="31" s="1"/>
  <c r="H57" i="31"/>
  <c r="J57" i="31"/>
  <c r="L57" i="31" s="1"/>
  <c r="H60" i="31"/>
  <c r="J60" i="31" s="1"/>
  <c r="L60" i="31" s="1"/>
  <c r="H63" i="31"/>
  <c r="J63" i="31"/>
  <c r="L63" i="31" s="1"/>
  <c r="J69" i="31"/>
  <c r="L69" i="31"/>
  <c r="J71" i="31"/>
  <c r="L71" i="31" s="1"/>
  <c r="F28" i="31"/>
  <c r="F33" i="31" s="1"/>
  <c r="K4" i="31" s="1"/>
  <c r="F29" i="31"/>
  <c r="H48" i="31"/>
  <c r="J48" i="31" s="1"/>
  <c r="L48" i="31" s="1"/>
  <c r="H51" i="31"/>
  <c r="J51" i="31" s="1"/>
  <c r="L51" i="31" s="1"/>
  <c r="H55" i="31"/>
  <c r="J55" i="31" s="1"/>
  <c r="L55" i="31" s="1"/>
  <c r="H58" i="31"/>
  <c r="J58" i="31"/>
  <c r="L58" i="31" s="1"/>
  <c r="H61" i="31"/>
  <c r="J61" i="31" s="1"/>
  <c r="L61" i="31" s="1"/>
  <c r="H64" i="31"/>
  <c r="J64" i="31" s="1"/>
  <c r="L64" i="31" s="1"/>
  <c r="F30" i="31"/>
  <c r="F35" i="31"/>
  <c r="K6" i="31" s="1"/>
  <c r="F10" i="31"/>
  <c r="F27" i="24"/>
  <c r="H46" i="24"/>
  <c r="J46" i="24" s="1"/>
  <c r="L46" i="24" s="1"/>
  <c r="H50" i="24"/>
  <c r="J50" i="24" s="1"/>
  <c r="L50" i="24" s="1"/>
  <c r="H53" i="24"/>
  <c r="J53" i="24" s="1"/>
  <c r="L53" i="24" s="1"/>
  <c r="H57" i="24"/>
  <c r="J57" i="24" s="1"/>
  <c r="L57" i="24" s="1"/>
  <c r="H60" i="24"/>
  <c r="J60" i="24"/>
  <c r="L60" i="24" s="1"/>
  <c r="J64" i="24"/>
  <c r="L64" i="24"/>
  <c r="J66" i="24"/>
  <c r="L66" i="24" s="1"/>
  <c r="F28" i="24"/>
  <c r="F33" i="24" s="1"/>
  <c r="K4" i="24" s="1"/>
  <c r="F29" i="24"/>
  <c r="H48" i="24"/>
  <c r="J48" i="24" s="1"/>
  <c r="H51" i="24"/>
  <c r="J51" i="24" s="1"/>
  <c r="L51" i="24" s="1"/>
  <c r="H55" i="24"/>
  <c r="J55" i="24" s="1"/>
  <c r="L55" i="24" s="1"/>
  <c r="H58" i="24"/>
  <c r="J58" i="24" s="1"/>
  <c r="L58" i="24" s="1"/>
  <c r="H61" i="24"/>
  <c r="J61" i="24" s="1"/>
  <c r="L61" i="24" s="1"/>
  <c r="F30" i="24"/>
  <c r="F35" i="24" s="1"/>
  <c r="K6" i="24" s="1"/>
  <c r="F11" i="24"/>
  <c r="Y40" i="33"/>
  <c r="Y82" i="33" s="1"/>
  <c r="O12" i="33" s="1"/>
  <c r="Y49" i="33"/>
  <c r="Y55" i="33"/>
  <c r="Y58" i="33"/>
  <c r="Y61" i="33"/>
  <c r="Y44" i="33"/>
  <c r="Y47" i="33"/>
  <c r="Y83" i="33" s="1"/>
  <c r="O13" i="33" s="1"/>
  <c r="Y53" i="33"/>
  <c r="Y65" i="33"/>
  <c r="Y43" i="33"/>
  <c r="Y46" i="33"/>
  <c r="Y52" i="33"/>
  <c r="Y84" i="33" s="1"/>
  <c r="O14" i="33" s="1"/>
  <c r="T37" i="33"/>
  <c r="U37" i="33"/>
  <c r="W37" i="33" s="1"/>
  <c r="U40" i="33"/>
  <c r="W40" i="33" s="1"/>
  <c r="U43" i="33"/>
  <c r="W43" i="33" s="1"/>
  <c r="U44" i="33"/>
  <c r="W44" i="33" s="1"/>
  <c r="U46" i="33"/>
  <c r="W46" i="33" s="1"/>
  <c r="U47" i="33"/>
  <c r="W47" i="33" s="1"/>
  <c r="T49" i="33"/>
  <c r="U49" i="33" s="1"/>
  <c r="W49" i="33" s="1"/>
  <c r="T52" i="33"/>
  <c r="U52" i="33"/>
  <c r="W52" i="33" s="1"/>
  <c r="U53" i="33"/>
  <c r="W53" i="33" s="1"/>
  <c r="U55" i="33"/>
  <c r="W55" i="33" s="1"/>
  <c r="U58" i="33"/>
  <c r="W58" i="33" s="1"/>
  <c r="U61" i="33"/>
  <c r="W61" i="33" s="1"/>
  <c r="T64" i="33"/>
  <c r="U65" i="33" s="1"/>
  <c r="W65" i="33" s="1"/>
  <c r="U67" i="33"/>
  <c r="W67" i="33" s="1"/>
  <c r="U70" i="33"/>
  <c r="W70" i="33"/>
  <c r="U73" i="33"/>
  <c r="W73" i="33" s="1"/>
  <c r="U76" i="33"/>
  <c r="W76" i="33" s="1"/>
  <c r="F4" i="22"/>
  <c r="F5" i="22" s="1"/>
  <c r="F11" i="22" s="1"/>
  <c r="G64" i="33"/>
  <c r="J8" i="33" s="1"/>
  <c r="J17" i="33"/>
  <c r="J6" i="33"/>
  <c r="F14" i="31"/>
  <c r="F27" i="23"/>
  <c r="H44" i="23"/>
  <c r="J44" i="23" s="1"/>
  <c r="H47" i="23"/>
  <c r="J47" i="23"/>
  <c r="L47" i="23" s="1"/>
  <c r="H50" i="23"/>
  <c r="J50" i="23" s="1"/>
  <c r="L50" i="23" s="1"/>
  <c r="H53" i="23"/>
  <c r="J53" i="23" s="1"/>
  <c r="L53" i="23" s="1"/>
  <c r="H56" i="23"/>
  <c r="J56" i="23" s="1"/>
  <c r="L56" i="23" s="1"/>
  <c r="J59" i="23"/>
  <c r="L59" i="23"/>
  <c r="J61" i="23"/>
  <c r="L61" i="23" s="1"/>
  <c r="F28" i="23"/>
  <c r="F33" i="23" s="1"/>
  <c r="K4" i="23" s="1"/>
  <c r="F29" i="23"/>
  <c r="H45" i="23"/>
  <c r="J45" i="23" s="1"/>
  <c r="L45" i="23" s="1"/>
  <c r="H48" i="23"/>
  <c r="J48" i="23" s="1"/>
  <c r="L48" i="23" s="1"/>
  <c r="H51" i="23"/>
  <c r="J51" i="23" s="1"/>
  <c r="L51" i="23" s="1"/>
  <c r="H54" i="23"/>
  <c r="J54" i="23"/>
  <c r="L54" i="23" s="1"/>
  <c r="H57" i="23"/>
  <c r="J57" i="23" s="1"/>
  <c r="L57" i="23" s="1"/>
  <c r="F30" i="23"/>
  <c r="F35" i="23" s="1"/>
  <c r="K6" i="23" s="1"/>
  <c r="F27" i="22"/>
  <c r="H44" i="22"/>
  <c r="J44" i="22" s="1"/>
  <c r="H47" i="22"/>
  <c r="J47" i="22" s="1"/>
  <c r="L47" i="22" s="1"/>
  <c r="H50" i="22"/>
  <c r="J50" i="22" s="1"/>
  <c r="L50" i="22" s="1"/>
  <c r="H53" i="22"/>
  <c r="J53" i="22" s="1"/>
  <c r="L53" i="22" s="1"/>
  <c r="J59" i="22"/>
  <c r="L59" i="22" s="1"/>
  <c r="J61" i="22"/>
  <c r="L61" i="22" s="1"/>
  <c r="H56" i="22"/>
  <c r="J56" i="22" s="1"/>
  <c r="L56" i="22" s="1"/>
  <c r="F28" i="22"/>
  <c r="F33" i="22"/>
  <c r="K4" i="22" s="1"/>
  <c r="F29" i="22"/>
  <c r="H45" i="22"/>
  <c r="J45" i="22"/>
  <c r="L45" i="22" s="1"/>
  <c r="H48" i="22"/>
  <c r="J48" i="22" s="1"/>
  <c r="L48" i="22" s="1"/>
  <c r="H51" i="22"/>
  <c r="J51" i="22" s="1"/>
  <c r="L51" i="22" s="1"/>
  <c r="H54" i="22"/>
  <c r="J54" i="22" s="1"/>
  <c r="L54" i="22" s="1"/>
  <c r="H57" i="22"/>
  <c r="J57" i="22"/>
  <c r="L57" i="22" s="1"/>
  <c r="F30" i="22"/>
  <c r="F35" i="22" s="1"/>
  <c r="K6" i="22" s="1"/>
  <c r="F14" i="24"/>
  <c r="F14" i="23"/>
  <c r="F14" i="22"/>
  <c r="J69" i="47" l="1"/>
  <c r="Y87" i="50"/>
  <c r="H55" i="47"/>
  <c r="J55" i="47" s="1"/>
  <c r="L55" i="47" s="1"/>
  <c r="O7" i="33"/>
  <c r="J14" i="33"/>
  <c r="F4" i="47"/>
  <c r="F5" i="47" s="1"/>
  <c r="F8" i="47" s="1"/>
  <c r="O29" i="50"/>
  <c r="O28" i="50"/>
  <c r="B16" i="55" s="1"/>
  <c r="J11" i="50"/>
  <c r="J7" i="50"/>
  <c r="J6" i="50"/>
  <c r="J5" i="50"/>
  <c r="J4" i="50"/>
  <c r="J3" i="50"/>
  <c r="J9" i="50"/>
  <c r="J8" i="50"/>
  <c r="J10" i="50"/>
  <c r="O31" i="50"/>
  <c r="O30" i="50"/>
  <c r="U62" i="50"/>
  <c r="W62" i="50" s="1"/>
  <c r="W85" i="50" s="1"/>
  <c r="U65" i="50"/>
  <c r="W65" i="50" s="1"/>
  <c r="L46" i="49"/>
  <c r="F8" i="49"/>
  <c r="F11" i="49"/>
  <c r="F34" i="49"/>
  <c r="K5" i="49" s="1"/>
  <c r="L46" i="47"/>
  <c r="L70" i="47" s="1"/>
  <c r="F34" i="47"/>
  <c r="K5" i="47" s="1"/>
  <c r="F32" i="47"/>
  <c r="K3" i="47" s="1"/>
  <c r="L71" i="45"/>
  <c r="F34" i="45" s="1"/>
  <c r="K5" i="45" s="1"/>
  <c r="J69" i="45"/>
  <c r="F11" i="45"/>
  <c r="L46" i="45"/>
  <c r="L70" i="45" s="1"/>
  <c r="F32" i="45" s="1"/>
  <c r="K3" i="45" s="1"/>
  <c r="L69" i="24"/>
  <c r="F32" i="24" s="1"/>
  <c r="K3" i="24" s="1"/>
  <c r="J73" i="31"/>
  <c r="L46" i="31"/>
  <c r="L74" i="31" s="1"/>
  <c r="F32" i="31" s="1"/>
  <c r="K3" i="31" s="1"/>
  <c r="F8" i="23"/>
  <c r="F11" i="23"/>
  <c r="J63" i="23"/>
  <c r="L44" i="23"/>
  <c r="L64" i="23" s="1"/>
  <c r="F32" i="23" s="1"/>
  <c r="K3" i="23" s="1"/>
  <c r="L65" i="22"/>
  <c r="F34" i="22" s="1"/>
  <c r="K5" i="22" s="1"/>
  <c r="L75" i="31"/>
  <c r="F34" i="31" s="1"/>
  <c r="K5" i="31" s="1"/>
  <c r="F8" i="31"/>
  <c r="F11" i="31"/>
  <c r="L44" i="22"/>
  <c r="L64" i="22" s="1"/>
  <c r="F32" i="22" s="1"/>
  <c r="K3" i="22" s="1"/>
  <c r="K8" i="22" s="1"/>
  <c r="J63" i="22"/>
  <c r="L65" i="23"/>
  <c r="F34" i="23" s="1"/>
  <c r="K5" i="23" s="1"/>
  <c r="W81" i="33"/>
  <c r="O8" i="33" s="1"/>
  <c r="O20" i="33" s="1"/>
  <c r="J68" i="24"/>
  <c r="L48" i="24"/>
  <c r="L70" i="24" s="1"/>
  <c r="F34" i="24" s="1"/>
  <c r="K5" i="24" s="1"/>
  <c r="J13" i="33"/>
  <c r="J5" i="33"/>
  <c r="J15" i="33"/>
  <c r="J19" i="33"/>
  <c r="J12" i="33"/>
  <c r="J4" i="33"/>
  <c r="J10" i="33"/>
  <c r="F8" i="22"/>
  <c r="J16" i="33"/>
  <c r="J9" i="33"/>
  <c r="J3" i="33"/>
  <c r="D8" i="55" l="1"/>
  <c r="F11" i="47"/>
  <c r="L70" i="49"/>
  <c r="F32" i="49" s="1"/>
  <c r="K3" i="49" s="1"/>
  <c r="O25" i="50"/>
  <c r="K11" i="50"/>
  <c r="K8" i="45"/>
  <c r="K8" i="24"/>
  <c r="K19" i="33"/>
  <c r="K8" i="23"/>
  <c r="K8" i="31"/>
  <c r="B8" i="55" l="1"/>
  <c r="F8" i="55" s="1"/>
  <c r="C10" i="55" s="1"/>
  <c r="C25" i="55" s="1"/>
  <c r="K8" i="49"/>
  <c r="O37" i="50"/>
  <c r="D16" i="55"/>
  <c r="F16" i="55" s="1"/>
  <c r="C18" i="55" s="1"/>
  <c r="K8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FH</author>
  </authors>
  <commentList>
    <comment ref="F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3" authorId="0" shapeId="0" xr:uid="{6535E3DF-160A-9A40-BE82-28674CE6EA75}">
      <text>
        <r>
          <rPr>
            <b/>
            <sz val="9"/>
            <color rgb="FF000000"/>
            <rFont val="Arial"/>
            <family val="2"/>
          </rPr>
          <t>Gaiai Guo: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Table 5.2</t>
        </r>
      </text>
    </comment>
    <comment ref="F6" authorId="0" shapeId="0" xr:uid="{EEB1E8EC-3CA0-5345-98A2-EAE7541CF6FD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5.10</t>
        </r>
      </text>
    </comment>
    <comment ref="F7" authorId="0" shapeId="0" xr:uid="{BDB846B2-F59B-0D49-B9B0-FDE53F4ACAC4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5.2</t>
        </r>
      </text>
    </comment>
    <comment ref="F10" authorId="1" shapeId="0" xr:uid="{9C721CB8-BF5D-E243-A56C-5C6110FC0738}">
      <text>
        <r>
          <rPr>
            <b/>
            <sz val="8"/>
            <color rgb="FF000000"/>
            <rFont val="Tahoma"/>
            <family val="2"/>
          </rPr>
          <t>FH: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IPPs MINUS Gul Ahmed (Karachi) &amp; Tapal Energy (Karachi)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Gaiai Guo</author>
  </authors>
  <commentList>
    <comment ref="T55" authorId="0" shapeId="0" xr:uid="{99256674-55F2-7E4B-9D92-86A58E2FEFE0}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Calculated from EYB 2019 Total Aux Consumption of all Nuclear = 682,310 MWh.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Total Electricity Generation of all Nuclear = 9,909 GWh.
</t>
        </r>
        <r>
          <rPr>
            <sz val="8"/>
            <color rgb="FF000000"/>
            <rFont val="Tahoma"/>
            <family val="2"/>
          </rPr>
          <t xml:space="preserve">Gross Electricity Generation of Chasnupp-IV was 2,298 GWh 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=&gt; </t>
        </r>
        <r>
          <rPr>
            <sz val="8"/>
            <color rgb="FF000000"/>
            <rFont val="Arial"/>
            <family val="2"/>
          </rPr>
          <t xml:space="preserve">682,310 MWh </t>
        </r>
        <r>
          <rPr>
            <sz val="8"/>
            <color rgb="FF000000"/>
            <rFont val="Tahoma"/>
            <family val="2"/>
          </rPr>
          <t xml:space="preserve">* </t>
        </r>
        <r>
          <rPr>
            <sz val="8"/>
            <color rgb="FF000000"/>
            <rFont val="Arial"/>
            <family val="2"/>
          </rPr>
          <t xml:space="preserve">2,298 GWh /9,909 GWh 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= 158.23 GWh</t>
        </r>
      </text>
    </comment>
    <comment ref="T59" authorId="0" shapeId="0" xr:uid="{31BE166E-2124-8949-ACF1-3B6AA52BD717}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 xml:space="preserve">Calculated from EYB 2019 Total Aux Consumption of all Nuclear = 682,310 MWh.
</t>
        </r>
        <r>
          <rPr>
            <sz val="8"/>
            <color rgb="FF000000"/>
            <rFont val="Arial"/>
            <family val="2"/>
          </rPr>
          <t xml:space="preserve">Total Electricity Generation of all Nuclear = 9,909 GWh.
</t>
        </r>
        <r>
          <rPr>
            <sz val="8"/>
            <color rgb="FF000000"/>
            <rFont val="Arial"/>
            <family val="2"/>
          </rPr>
          <t xml:space="preserve">Gross Electricity Generation of Chasnupp-III was 2,694 GWh 
</t>
        </r>
        <r>
          <rPr>
            <sz val="8"/>
            <color rgb="FF000000"/>
            <rFont val="Arial"/>
            <family val="2"/>
          </rPr>
          <t xml:space="preserve">=&gt; 682,310 MWh * 2,694 GWh /9,909 GWh 
</t>
        </r>
        <r>
          <rPr>
            <sz val="8"/>
            <color rgb="FF000000"/>
            <rFont val="Arial"/>
            <family val="2"/>
          </rPr>
          <t>= 185.50 GWh</t>
        </r>
      </text>
    </comment>
    <comment ref="T62" authorId="1" shapeId="0" xr:uid="{F78B46D4-00A3-7248-A609-E404C6993305}">
      <text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Calculated from EYB 2019 Total Aux Consumption of all IPPs = 591GWh.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Total Gross Power Generation of all IPPs = 62,496GWh.
</t>
        </r>
        <r>
          <rPr>
            <sz val="9"/>
            <color rgb="FF000000"/>
            <rFont val="Arial"/>
            <family val="2"/>
          </rPr>
          <t>Gross Electricity Generation of Baloki</t>
        </r>
        <r>
          <rPr>
            <sz val="9"/>
            <color rgb="FF000000"/>
            <rFont val="Arial"/>
            <family val="2"/>
          </rPr>
          <t xml:space="preserve"> </t>
        </r>
        <r>
          <rPr>
            <sz val="9"/>
            <color rgb="FF000000"/>
            <rFont val="Arial"/>
            <family val="2"/>
          </rPr>
          <t xml:space="preserve">was 5284.19 GWh 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=&gt; </t>
        </r>
        <r>
          <rPr>
            <sz val="10"/>
            <color rgb="FF000000"/>
            <rFont val="Arial"/>
            <family val="2"/>
          </rPr>
          <t xml:space="preserve">591*5284.19/62496
</t>
        </r>
        <r>
          <rPr>
            <sz val="10"/>
            <color rgb="FF000000"/>
            <rFont val="Arial"/>
            <family val="2"/>
          </rPr>
          <t>= 49.97GWh</t>
        </r>
      </text>
    </comment>
    <comment ref="T65" authorId="1" shapeId="0" xr:uid="{1154C855-BD29-3746-9226-1EF2BFFA7E55}">
      <text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Calculated from EYB 2019 Total Aux Consumption of all IPPs = 591GWh.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Total Gross Power Generation of all IPPs = 62,496GWh.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Gross Electricity Generation of Haveli Bahdur Shah PP</t>
        </r>
        <r>
          <rPr>
            <sz val="8"/>
            <color rgb="FF000000"/>
            <rFont val="Arial"/>
            <family val="2"/>
          </rPr>
          <t xml:space="preserve"> </t>
        </r>
        <r>
          <rPr>
            <sz val="8"/>
            <color rgb="FF000000"/>
            <rFont val="Arial"/>
            <family val="2"/>
          </rPr>
          <t xml:space="preserve">was 6589.44 GWh 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=&gt; 591*6589.44/62496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= 62.31GWh</t>
        </r>
        <r>
          <rPr>
            <sz val="8"/>
            <color rgb="FF000000"/>
            <rFont val="Arial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FH</author>
  </authors>
  <commentList>
    <comment ref="F10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FH</author>
  </authors>
  <commentList>
    <comment ref="F1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6" authorId="0" shapeId="0" xr:uid="{00000000-0006-0000-0400-000001000000}">
      <text>
        <r>
          <rPr>
            <b/>
            <sz val="10"/>
            <color indexed="81"/>
            <rFont val="Arial"/>
            <family val="2"/>
          </rPr>
          <t>Gaiai Guo:</t>
        </r>
        <r>
          <rPr>
            <sz val="10"/>
            <color indexed="81"/>
            <rFont val="Arial"/>
            <family val="2"/>
          </rPr>
          <t xml:space="preserve">
Table 5.10</t>
        </r>
      </text>
    </comment>
    <comment ref="F7" authorId="0" shapeId="0" xr:uid="{00000000-0006-0000-0400-000002000000}">
      <text>
        <r>
          <rPr>
            <b/>
            <sz val="10"/>
            <color indexed="81"/>
            <rFont val="Arial"/>
            <family val="2"/>
          </rPr>
          <t>Gaiai Guo:</t>
        </r>
        <r>
          <rPr>
            <sz val="10"/>
            <color indexed="81"/>
            <rFont val="Arial"/>
            <family val="2"/>
          </rPr>
          <t xml:space="preserve">
Table 5.2</t>
        </r>
      </text>
    </comment>
    <comment ref="F10" authorId="1" shapeId="0" xr:uid="{00000000-0006-0000-0400-000003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Gaiai Guo</author>
  </authors>
  <commentList>
    <comment ref="T37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Calculated from EYB 2013 Total Aux Consumption of all Nuclear = 243,692 MWh.
Total Electricity Generation of all Nuclear = 4,553 GWh.
Gross Electricity Generation of Chasnupp-II was 1,652 GWh (= 36.28% of Total Nuclear)
=&gt; 243,692 MWh * 36.28%
= 88.42 GWh</t>
        </r>
      </text>
    </comment>
    <comment ref="T49" authorId="1" shapeId="0" xr:uid="{00000000-0006-0000-0600-000002000000}">
      <text>
        <r>
          <rPr>
            <sz val="10"/>
            <color indexed="81"/>
            <rFont val="Arial"/>
            <family val="2"/>
          </rPr>
          <t xml:space="preserve">
Calculated from EYB 2013 Total Aux Consumption of all IPPs = 1,157.47GWh.
Total Gross Power Generation of all IPPs = 38,996.19GWh.
Gross Electricity Generation of Atlas Power was 1383.02 GWh (= 3.55% of Total PPs)
=&gt; 1,157.47 MWh * 3.55%
= 41.05 GWh</t>
        </r>
      </text>
    </comment>
    <comment ref="T52" authorId="1" shapeId="0" xr:uid="{00000000-0006-0000-0600-000003000000}">
      <text>
        <r>
          <rPr>
            <sz val="10"/>
            <color indexed="81"/>
            <rFont val="Arial"/>
            <family val="2"/>
          </rPr>
          <t>Calculated from EYB 2013 Total Aux Consumption of all IPPs = 1,157.47GWh.
Total Gross Power Generation of all IPPs = 38,996.19GWh.
Gross Electricity Generation of Foundation Power was 1381.30 GWh (= 3.54% of Total PPs)
=&gt; 1,157.47 MWh * 3.54%
= 41.00 GWh</t>
        </r>
      </text>
    </comment>
    <comment ref="T64" authorId="1" shapeId="0" xr:uid="{00000000-0006-0000-0600-000004000000}">
      <text>
        <r>
          <rPr>
            <sz val="10"/>
            <color indexed="81"/>
            <rFont val="Arial"/>
            <family val="2"/>
          </rPr>
          <t xml:space="preserve">
Calculated from EYB 2013 Total Aux Consumption of all IPPs = 1,157.47GWh.
Total Gross Power Generation of all IPPs = 38,996.19GWh.
Gross Electricity Generation of SAIF Power was 742.45 GWh (= 1.90% of Total PPs)
=&gt; 1,157.47 MWh * 1.90%
= 22.04 GWh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3" authorId="0" shapeId="0" xr:uid="{00000000-0006-0000-0900-000001000000}">
      <text>
        <r>
          <rPr>
            <b/>
            <sz val="9"/>
            <color indexed="81"/>
            <rFont val="Arial"/>
            <family val="2"/>
          </rPr>
          <t>Gaiai Guo:</t>
        </r>
        <r>
          <rPr>
            <sz val="9"/>
            <color indexed="81"/>
            <rFont val="Arial"/>
            <family val="2"/>
          </rPr>
          <t xml:space="preserve">
Table 5.2</t>
        </r>
      </text>
    </comment>
    <comment ref="F6" authorId="0" shapeId="0" xr:uid="{00000000-0006-0000-0900-000002000000}">
      <text>
        <r>
          <rPr>
            <b/>
            <sz val="10"/>
            <color indexed="81"/>
            <rFont val="Arial"/>
            <family val="2"/>
          </rPr>
          <t>Gaiai Guo:</t>
        </r>
        <r>
          <rPr>
            <sz val="10"/>
            <color indexed="81"/>
            <rFont val="Arial"/>
            <family val="2"/>
          </rPr>
          <t xml:space="preserve">
Table 5.10</t>
        </r>
      </text>
    </comment>
    <comment ref="F7" authorId="0" shapeId="0" xr:uid="{00000000-0006-0000-0900-000003000000}">
      <text>
        <r>
          <rPr>
            <b/>
            <sz val="10"/>
            <color indexed="81"/>
            <rFont val="Arial"/>
            <family val="2"/>
          </rPr>
          <t>Gaiai Guo:</t>
        </r>
        <r>
          <rPr>
            <sz val="10"/>
            <color indexed="81"/>
            <rFont val="Arial"/>
            <family val="2"/>
          </rPr>
          <t xml:space="preserve">
Table 5.2</t>
        </r>
      </text>
    </comment>
    <comment ref="F10" authorId="1" shapeId="0" xr:uid="{00000000-0006-0000-0900-000004000000}">
      <text>
        <r>
          <rPr>
            <b/>
            <sz val="8"/>
            <color rgb="FF000000"/>
            <rFont val="Tahoma"/>
            <family val="2"/>
          </rPr>
          <t>FH: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IPPs MINUS Gul Ahmed (Karachi) &amp; Tapal Energy (Karachi)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3" authorId="0" shapeId="0" xr:uid="{A5FF3B9B-EFED-4445-8A75-40CA7CA0CDC4}">
      <text>
        <r>
          <rPr>
            <b/>
            <sz val="9"/>
            <color rgb="FF000000"/>
            <rFont val="Arial"/>
            <family val="2"/>
          </rPr>
          <t>Gaiai Guo: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Table 5.2</t>
        </r>
      </text>
    </comment>
    <comment ref="F6" authorId="0" shapeId="0" xr:uid="{29B05AA0-5EE5-7D43-8D74-62A4B3F5FB5A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5.10</t>
        </r>
      </text>
    </comment>
    <comment ref="F7" authorId="0" shapeId="0" xr:uid="{B37AA26A-3017-0043-96AE-B4D2FCAC4C5F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5.2</t>
        </r>
      </text>
    </comment>
    <comment ref="F10" authorId="1" shapeId="0" xr:uid="{03FEFFFA-0A2E-CA44-B247-BB145CAFDB86}">
      <text>
        <r>
          <rPr>
            <b/>
            <sz val="8"/>
            <color rgb="FF000000"/>
            <rFont val="Tahoma"/>
            <family val="2"/>
          </rPr>
          <t>FH: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IPPs MINUS Gul Ahmed (Karachi) &amp; Tapal Energy (Karachi)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3" authorId="0" shapeId="0" xr:uid="{ABD986DB-2051-694C-8586-E238A01541C4}">
      <text>
        <r>
          <rPr>
            <b/>
            <sz val="9"/>
            <color rgb="FF000000"/>
            <rFont val="Arial"/>
            <family val="2"/>
          </rPr>
          <t>Gaiai Guo: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Table 5.2</t>
        </r>
      </text>
    </comment>
    <comment ref="F6" authorId="0" shapeId="0" xr:uid="{A59DEDBD-0068-1740-96F6-A1F77B8141E1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5.10</t>
        </r>
      </text>
    </comment>
    <comment ref="F7" authorId="0" shapeId="0" xr:uid="{6FC9695D-F7E1-C74A-9084-427865422889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5.2</t>
        </r>
      </text>
    </comment>
    <comment ref="F10" authorId="1" shapeId="0" xr:uid="{36816659-E1ED-FD40-966A-B6CCA3AED2C2}">
      <text>
        <r>
          <rPr>
            <b/>
            <sz val="8"/>
            <color rgb="FF000000"/>
            <rFont val="Tahoma"/>
            <family val="2"/>
          </rPr>
          <t>FH: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IPPs MINUS Gul Ahmed (Karachi) &amp; Tapal Energy (Karachi)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3" authorId="0" shapeId="0" xr:uid="{9B3ED321-CB7E-6F48-862E-639FD45C56CF}">
      <text>
        <r>
          <rPr>
            <b/>
            <sz val="9"/>
            <color rgb="FF000000"/>
            <rFont val="Arial"/>
            <family val="2"/>
          </rPr>
          <t>Gaiai Guo: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Table 5.2</t>
        </r>
      </text>
    </comment>
    <comment ref="F6" authorId="0" shapeId="0" xr:uid="{931D7BB0-5CB4-9D4D-BF78-712F6B969FCF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5.10</t>
        </r>
      </text>
    </comment>
    <comment ref="F7" authorId="0" shapeId="0" xr:uid="{340F4823-CCD8-9F48-9911-F0F0C5707DE9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5.2</t>
        </r>
      </text>
    </comment>
    <comment ref="F10" authorId="1" shapeId="0" xr:uid="{6501BDB0-0582-3D41-B226-AED4EFF0F42E}">
      <text>
        <r>
          <rPr>
            <b/>
            <sz val="8"/>
            <color rgb="FF000000"/>
            <rFont val="Tahoma"/>
            <family val="2"/>
          </rPr>
          <t>FH: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IPPs MINUS Gul Ahmed (Karachi) &amp; Tapal Energy (Karachi)
</t>
        </r>
      </text>
    </comment>
  </commentList>
</comments>
</file>

<file path=xl/sharedStrings.xml><?xml version="1.0" encoding="utf-8"?>
<sst xmlns="http://schemas.openxmlformats.org/spreadsheetml/2006/main" count="2236" uniqueCount="367">
  <si>
    <t>Gas</t>
  </si>
  <si>
    <t>GWh</t>
  </si>
  <si>
    <t>Factor cft/m3</t>
  </si>
  <si>
    <t>EF of NG</t>
  </si>
  <si>
    <t>tons/TJ</t>
  </si>
  <si>
    <t>IPCC4, V.2, Chapter 2, Table 2.2</t>
  </si>
  <si>
    <t>Density of NG</t>
  </si>
  <si>
    <t>t/m3</t>
  </si>
  <si>
    <t>Total emissions from NG</t>
  </si>
  <si>
    <t>tCO2e</t>
  </si>
  <si>
    <t>tCO2e/MWh</t>
  </si>
  <si>
    <t>Carbon emission</t>
  </si>
  <si>
    <t>Grid electricity</t>
  </si>
  <si>
    <t>MWh</t>
  </si>
  <si>
    <t>OM Emission factor</t>
  </si>
  <si>
    <t>Total emissions from Diesel</t>
  </si>
  <si>
    <t>TJ</t>
  </si>
  <si>
    <t>Total grid generated</t>
  </si>
  <si>
    <t>OM</t>
  </si>
  <si>
    <t>ctf/m3</t>
  </si>
  <si>
    <t>Power Plant</t>
  </si>
  <si>
    <t>Fuel Type</t>
  </si>
  <si>
    <t>Technology</t>
  </si>
  <si>
    <t>Electricity Generation</t>
  </si>
  <si>
    <t>Plant Efficiency2</t>
  </si>
  <si>
    <t>Total Fuel Heat Value</t>
  </si>
  <si>
    <t>Net</t>
  </si>
  <si>
    <t>Plant Total GWh</t>
  </si>
  <si>
    <t>KESC</t>
  </si>
  <si>
    <t>TPS Korangi</t>
  </si>
  <si>
    <t>Gas Turbine</t>
  </si>
  <si>
    <t>GTPS Korangi Town</t>
  </si>
  <si>
    <t>GTPS Site</t>
  </si>
  <si>
    <t>TPS Bin Quasim</t>
  </si>
  <si>
    <t>Steam Turbine</t>
  </si>
  <si>
    <t>Korangi CCP</t>
  </si>
  <si>
    <t>Private Sector</t>
  </si>
  <si>
    <t>Gul Ahmed, Karachi</t>
  </si>
  <si>
    <t>Diesel Engines</t>
  </si>
  <si>
    <t>Tapal Energy, Karachi</t>
  </si>
  <si>
    <t>TOTAL:</t>
  </si>
  <si>
    <t>RFO:</t>
  </si>
  <si>
    <t>Gas:</t>
  </si>
  <si>
    <t>Conversion factor TOE/GJ</t>
  </si>
  <si>
    <t>TJ/TOE</t>
  </si>
  <si>
    <t>Coal consumption for thermal electricity generation in Pakistan</t>
  </si>
  <si>
    <t>NG consumption for thermal electricity generation in Pakistan</t>
  </si>
  <si>
    <t>TOE</t>
  </si>
  <si>
    <t>Pakistan Energy Yearbook 2010</t>
  </si>
  <si>
    <t>Coal consumption by WAPDA grid</t>
  </si>
  <si>
    <t>NG consumption by WAPDA grid</t>
  </si>
  <si>
    <t>Calculated as difference of total consumption minus KESC consumption from Pakistan Energy Yearbook 2010</t>
  </si>
  <si>
    <t>Conversion from TOE to TJ</t>
  </si>
  <si>
    <t>KESC grid generated</t>
  </si>
  <si>
    <t>Total emissions from Coal</t>
  </si>
  <si>
    <t>EF of Coal</t>
  </si>
  <si>
    <t>WAPDA Grid Operation Margin 2008-2009</t>
  </si>
  <si>
    <t>Diesel Oil consumption for thermal electricity generation in Pakistan</t>
  </si>
  <si>
    <t>Diesel oil consumption for thermal electricity generation in Pakistan</t>
  </si>
  <si>
    <t>Diesel oil consumption by WAPDA grid</t>
  </si>
  <si>
    <t>EF of Diesel</t>
  </si>
  <si>
    <t>Power Generation by Power Plants connected to the Karachi Grid in Year 2008-09</t>
  </si>
  <si>
    <t>Operation Margin WAPDA</t>
  </si>
  <si>
    <t>of which Hydel</t>
  </si>
  <si>
    <t>of which Nuclear</t>
  </si>
  <si>
    <t>Share of low-cost/must-run resources</t>
  </si>
  <si>
    <t>Gross</t>
  </si>
  <si>
    <t>Auxiliary Consumption</t>
  </si>
  <si>
    <t>All input data taken from the 2009 Pakistan Energy Yearbook, except plant efficiencies derived from the Tool to determine the grid emission factor of an electricity system</t>
  </si>
  <si>
    <t>Plant</t>
  </si>
  <si>
    <t>Total Fuel</t>
  </si>
  <si>
    <t>Fuel</t>
  </si>
  <si>
    <t>Heat Value</t>
  </si>
  <si>
    <t>Type</t>
  </si>
  <si>
    <t>Total</t>
  </si>
  <si>
    <t>ORIENT POWER LTD</t>
  </si>
  <si>
    <t>SAIF POWER LTD</t>
  </si>
  <si>
    <t>ENGRO ENERGY LTD</t>
  </si>
  <si>
    <t>ATLAS POWER LTD</t>
  </si>
  <si>
    <t xml:space="preserve">ATTOCK GEN </t>
  </si>
  <si>
    <t>GHAZI BAROTHA</t>
  </si>
  <si>
    <t>TNB LIBERTY POWER</t>
  </si>
  <si>
    <t>ALTERNATIVE ENERGY LTD</t>
  </si>
  <si>
    <t>CHASHMA</t>
  </si>
  <si>
    <t>Power Unit</t>
  </si>
  <si>
    <t>CDM retrofit</t>
  </si>
  <si>
    <t>No</t>
  </si>
  <si>
    <t>NISHAT CHUNIAN LTD</t>
  </si>
  <si>
    <t>Emission from NG</t>
  </si>
  <si>
    <t>NUCLEAR</t>
  </si>
  <si>
    <t>UCH POWER</t>
  </si>
  <si>
    <t>JAPAN POWER</t>
  </si>
  <si>
    <t>SABA POWER</t>
  </si>
  <si>
    <t>ROUSCH POWER</t>
  </si>
  <si>
    <t>FAUJI KABIRAWALA</t>
  </si>
  <si>
    <t>HABIBULLAH</t>
  </si>
  <si>
    <t>SOUTHERN ELECTRIC</t>
  </si>
  <si>
    <t>AES PAK GEN</t>
  </si>
  <si>
    <t>AES LALPIR</t>
  </si>
  <si>
    <t>KOHINOOR ENERGY</t>
  </si>
  <si>
    <t>HUBCO</t>
  </si>
  <si>
    <t>KAPCO</t>
  </si>
  <si>
    <t>TPS MUZAFFAR GARH</t>
  </si>
  <si>
    <t>TPS JAMSHORO</t>
  </si>
  <si>
    <t>TARBELA</t>
  </si>
  <si>
    <t>GTPS FAISALABAD</t>
  </si>
  <si>
    <t>MANGLA</t>
  </si>
  <si>
    <t>1967-1969</t>
  </si>
  <si>
    <t>SPS FAISALABAD</t>
  </si>
  <si>
    <t>NGPS MULTAN</t>
  </si>
  <si>
    <t>SHADIWAL</t>
  </si>
  <si>
    <t>WARSAK</t>
  </si>
  <si>
    <t>CHICHOKI MALIAN</t>
  </si>
  <si>
    <t>KURRAM GARHI</t>
  </si>
  <si>
    <t>DARGAI</t>
  </si>
  <si>
    <t>RASUL</t>
  </si>
  <si>
    <t>RENALA</t>
  </si>
  <si>
    <t>FBC LAKHRA</t>
  </si>
  <si>
    <t>NANDIPUR</t>
  </si>
  <si>
    <t>CHITRAL</t>
  </si>
  <si>
    <t>GTPS KOTRI</t>
  </si>
  <si>
    <t>GTPS SHAHDRA</t>
  </si>
  <si>
    <t>TPS QUETTA</t>
  </si>
  <si>
    <t>GTPS PANJGUR</t>
  </si>
  <si>
    <t>WAPDA</t>
  </si>
  <si>
    <t>Water</t>
  </si>
  <si>
    <t>Nuclear</t>
  </si>
  <si>
    <t>TPS PASNI</t>
  </si>
  <si>
    <t>yes</t>
  </si>
  <si>
    <t>no</t>
  </si>
  <si>
    <t>Plant Efficiency</t>
  </si>
  <si>
    <t>Hydel</t>
  </si>
  <si>
    <t xml:space="preserve">Thermal </t>
  </si>
  <si>
    <t>Installed 
Capacity MW</t>
  </si>
  <si>
    <t>Electricity 
Generation MWh</t>
  </si>
  <si>
    <t>Diesel Engine</t>
  </si>
  <si>
    <t>http://www.wapda.gov.pk/htmls/pgeneration-salient.html</t>
  </si>
  <si>
    <t>http://www.ppib.gov.pk/N_commissioned_ipps.htm</t>
  </si>
  <si>
    <t>http://www.jpcl.com.pk/plant-information.html</t>
  </si>
  <si>
    <t>http://www.investinpakistan.pk/pdf/Power.pdf</t>
  </si>
  <si>
    <t>http://en.wikipedia.org/wiki/Chashma_Nuclear_Power_Complex</t>
  </si>
  <si>
    <t>N/A</t>
  </si>
  <si>
    <t>Build Margin WAPDA</t>
  </si>
  <si>
    <t>BM Emission factor</t>
  </si>
  <si>
    <t>Weighting factor OM</t>
  </si>
  <si>
    <t>Weighting factor BM</t>
  </si>
  <si>
    <t>Net Electricty from latest 20%</t>
  </si>
  <si>
    <t>Source for Electricity Generation</t>
  </si>
  <si>
    <t>Commission
 Date</t>
  </si>
  <si>
    <t>Source for Commission Date</t>
  </si>
  <si>
    <t>Official data of electricity generation 
available?</t>
  </si>
  <si>
    <t>Thermal</t>
  </si>
  <si>
    <t>Foundation Power</t>
  </si>
  <si>
    <t>Halmore Power</t>
  </si>
  <si>
    <t>CHASNUPP-I</t>
  </si>
  <si>
    <t>CHASNUPP-II</t>
  </si>
  <si>
    <t>HSD</t>
  </si>
  <si>
    <t>Reciprocant Engines</t>
  </si>
  <si>
    <t>Combined cycle</t>
  </si>
  <si>
    <t>Combined Cycle</t>
  </si>
  <si>
    <t>Power Generation by the latest Power Plants providing 20% of the total power per year to the WAPDA Grid in Year 2010-11</t>
  </si>
  <si>
    <t>WAPDA Grid Operation Margin 2009-10</t>
  </si>
  <si>
    <t>All input data taken from the 2010 Pakistan Energy Yearbook, except plant efficiencies derived from the Tool to determine the grid emission factor of an electricity system</t>
  </si>
  <si>
    <t>Power Generation by Power Plants connected to the Karachi Grid in Year 2009-10</t>
  </si>
  <si>
    <t>WAPDA Grid Operation Margin 2010-11</t>
  </si>
  <si>
    <t>Power Generation by Power Plants connected to the Karachi Grid in Year 2010-11</t>
  </si>
  <si>
    <t>Pakistan Energy Yearbook 2011</t>
  </si>
  <si>
    <t>Calculated as difference of total consumption minus KESC consumption from Pakistan Energy Yearbook 2011</t>
  </si>
  <si>
    <t>All input data taken from the 2011 Pakistan Energy Yearbook, except plant efficiencies derived from the Tool to determine the grid emission factor of an electricity system</t>
  </si>
  <si>
    <t>WAPDA grid generated</t>
  </si>
  <si>
    <t>Low-cost/must-run share of total grid</t>
  </si>
  <si>
    <t>Aux consumption WAPDA Thermal</t>
  </si>
  <si>
    <t>Aux consumption WAPDA IPPs</t>
  </si>
  <si>
    <t>Pakistan Energy Yearbook 2010 Table 5.11</t>
  </si>
  <si>
    <t>Pakistan Energy Yearbook 2011 Table 5.11</t>
  </si>
  <si>
    <t>Pakistan Energy Yearbook 2009 Table 5.11</t>
  </si>
  <si>
    <t>WAPDA grid net electricity without low-cost/must-run</t>
  </si>
  <si>
    <t>WAPDA Grid Operation Margin 2011-12</t>
    <phoneticPr fontId="1" type="noConversion"/>
  </si>
  <si>
    <t>TPS Bin Quasim</t>
    <phoneticPr fontId="1" type="noConversion"/>
  </si>
  <si>
    <t>TPS Bin Quasim II</t>
    <phoneticPr fontId="1" type="noConversion"/>
  </si>
  <si>
    <t>TPS Bin Quasim ii</t>
    <phoneticPr fontId="1" type="noConversion"/>
  </si>
  <si>
    <t>All input data taken from the 2012 Pakistan Energy Yearbook (Table 5.11), except plant efficiencies derived from the Tool to determine the grid emission factor of an electricity system</t>
    <phoneticPr fontId="1" type="noConversion"/>
  </si>
  <si>
    <t>Power Generation by Power Plants connected to the Karachi Grid in Year 2011-12</t>
    <phoneticPr fontId="1" type="noConversion"/>
  </si>
  <si>
    <t>Pakistan Energy Yearbook 2012</t>
    <phoneticPr fontId="1" type="noConversion"/>
  </si>
  <si>
    <t>Pakistan Energy Yearbook 2012</t>
    <phoneticPr fontId="1" type="noConversion"/>
  </si>
  <si>
    <t>Pakistan Energy Yearbook 2012, Table 5.4</t>
    <phoneticPr fontId="1" type="noConversion"/>
  </si>
  <si>
    <t>Calculated as difference of total consumption minus KESC consumption from Pakistan Energy Yearbook 2012</t>
    <phoneticPr fontId="1" type="noConversion"/>
  </si>
  <si>
    <t>Calculated as difference of total consumption minus KESC consumption from Pakistan Energy Yearbook 2012</t>
    <phoneticPr fontId="1" type="noConversion"/>
  </si>
  <si>
    <t>Pakistan Energy Yearbook 2012 Table 5.11</t>
    <phoneticPr fontId="1" type="noConversion"/>
  </si>
  <si>
    <t>KANUPP</t>
    <phoneticPr fontId="1" type="noConversion"/>
  </si>
  <si>
    <t>KKHP</t>
    <phoneticPr fontId="1" type="noConversion"/>
  </si>
  <si>
    <t>Jinnah</t>
    <phoneticPr fontId="1" type="noConversion"/>
  </si>
  <si>
    <t>AKHP</t>
    <phoneticPr fontId="1" type="noConversion"/>
  </si>
  <si>
    <t>Liberty Power Tech</t>
    <phoneticPr fontId="1" type="noConversion"/>
  </si>
  <si>
    <t>Nuclear</t>
    <phoneticPr fontId="1" type="noConversion"/>
  </si>
  <si>
    <t>Hydel</t>
    <phoneticPr fontId="1" type="noConversion"/>
  </si>
  <si>
    <t>EYB2013</t>
    <phoneticPr fontId="1" type="noConversion"/>
  </si>
  <si>
    <t>SAPPHIRE ELECTRIC</t>
    <phoneticPr fontId="1" type="noConversion"/>
  </si>
  <si>
    <t>NISHAT CHUNIAN Power</t>
    <phoneticPr fontId="1" type="noConversion"/>
  </si>
  <si>
    <t>TPS GUDDU (Unit 1-4)</t>
    <phoneticPr fontId="1" type="noConversion"/>
  </si>
  <si>
    <t>http://www.ppib.gov.pk/N_commissioned_ipps.htm
http://www.ppib.gov.pk/N_halmore.htm</t>
    <phoneticPr fontId="1" type="noConversion"/>
  </si>
  <si>
    <t>http://www.ppib.gov.pk/N_lpt.htm</t>
    <phoneticPr fontId="1" type="noConversion"/>
  </si>
  <si>
    <t>http://www.wapda.gov.pk/htmls/pgeneration-salient.html</t>
    <phoneticPr fontId="1" type="noConversion"/>
  </si>
  <si>
    <t xml:space="preserve">FOUNDATION POWER </t>
    <phoneticPr fontId="1" type="noConversion"/>
  </si>
  <si>
    <t>Hub Power, Narowal</t>
    <phoneticPr fontId="1" type="noConversion"/>
  </si>
  <si>
    <t>Liberty Power Tech</t>
    <phoneticPr fontId="1" type="noConversion"/>
  </si>
  <si>
    <t>NISHAT POWER LTD</t>
    <phoneticPr fontId="1" type="noConversion"/>
  </si>
  <si>
    <t>NISHAT POWER</t>
    <phoneticPr fontId="1" type="noConversion"/>
  </si>
  <si>
    <t>SAIF POWER</t>
    <phoneticPr fontId="1" type="noConversion"/>
  </si>
  <si>
    <t>Jinnah</t>
    <phoneticPr fontId="1" type="noConversion"/>
  </si>
  <si>
    <t>AKHP</t>
    <phoneticPr fontId="1" type="noConversion"/>
  </si>
  <si>
    <t>KKHP</t>
    <phoneticPr fontId="1" type="noConversion"/>
  </si>
  <si>
    <t>BM 2012-13</t>
    <phoneticPr fontId="1" type="noConversion"/>
  </si>
  <si>
    <t>HSD:</t>
    <phoneticPr fontId="1" type="noConversion"/>
  </si>
  <si>
    <t>EF of HSD</t>
    <phoneticPr fontId="1" type="noConversion"/>
  </si>
  <si>
    <t>Total El. Gen 2012-13 MWh</t>
    <phoneticPr fontId="1" type="noConversion"/>
  </si>
  <si>
    <t>Emission from HSD</t>
    <phoneticPr fontId="1" type="noConversion"/>
  </si>
  <si>
    <t>plants to be included in the BM 2012-13 calculation</t>
    <phoneticPr fontId="1" type="noConversion"/>
  </si>
  <si>
    <t>Total El. Gen 2012-13 MWh</t>
    <phoneticPr fontId="1" type="noConversion"/>
  </si>
  <si>
    <t>All input data taken from the 2013 Pakistan Energy Yearbook, except plant efficiencies derived from the Tool to determine the grid emission factor of an electricity system</t>
    <phoneticPr fontId="1" type="noConversion"/>
  </si>
  <si>
    <t>2012/13</t>
    <phoneticPr fontId="1" type="noConversion"/>
  </si>
  <si>
    <r>
      <t>Auxiliary Consumption</t>
    </r>
    <r>
      <rPr>
        <b/>
        <vertAlign val="superscript"/>
        <sz val="12"/>
        <rFont val="Times New Roman"/>
        <family val="1"/>
      </rPr>
      <t>1</t>
    </r>
  </si>
  <si>
    <r>
      <t>Gross</t>
    </r>
    <r>
      <rPr>
        <b/>
        <vertAlign val="superscript"/>
        <sz val="12"/>
        <rFont val="Times New Roman"/>
        <family val="1"/>
      </rPr>
      <t>1</t>
    </r>
  </si>
  <si>
    <r>
      <t>Auxiliary Consumption</t>
    </r>
    <r>
      <rPr>
        <b/>
        <vertAlign val="superscript"/>
        <sz val="11"/>
        <rFont val="Times New Roman"/>
        <family val="1"/>
      </rPr>
      <t>1</t>
    </r>
  </si>
  <si>
    <r>
      <t>Gross</t>
    </r>
    <r>
      <rPr>
        <b/>
        <vertAlign val="superscript"/>
        <sz val="11"/>
        <rFont val="Times New Roman"/>
        <family val="1"/>
      </rPr>
      <t>1</t>
    </r>
  </si>
  <si>
    <r>
      <t>Efficiency</t>
    </r>
    <r>
      <rPr>
        <b/>
        <vertAlign val="superscript"/>
        <sz val="11"/>
        <rFont val="Times New Roman"/>
        <family val="1"/>
      </rPr>
      <t>2</t>
    </r>
  </si>
  <si>
    <t>Year 2013</t>
    <phoneticPr fontId="1" type="noConversion"/>
  </si>
  <si>
    <t>Year 2012</t>
    <phoneticPr fontId="1" type="noConversion"/>
  </si>
  <si>
    <t>Emissions from FO</t>
    <phoneticPr fontId="1" type="noConversion"/>
  </si>
  <si>
    <t>FO</t>
  </si>
  <si>
    <t>FO</t>
    <phoneticPr fontId="1" type="noConversion"/>
  </si>
  <si>
    <t>EF of FO</t>
  </si>
  <si>
    <t>EF of FO</t>
    <phoneticPr fontId="1" type="noConversion"/>
  </si>
  <si>
    <t>Total emissions from FO</t>
  </si>
  <si>
    <t>Total emissions from FO</t>
    <phoneticPr fontId="1" type="noConversion"/>
  </si>
  <si>
    <t>FO consumption for thermal electricity generation in Pakistan</t>
  </si>
  <si>
    <t>FO consumption for thermal electricity generation in Pakistan</t>
    <phoneticPr fontId="1" type="noConversion"/>
  </si>
  <si>
    <t>FO consumption by WAPDA grid</t>
  </si>
  <si>
    <t>FO consumption by WAPDA grid</t>
    <phoneticPr fontId="1" type="noConversion"/>
  </si>
  <si>
    <t>EF of FO</t>
    <phoneticPr fontId="1" type="noConversion"/>
  </si>
  <si>
    <t>FO:</t>
  </si>
  <si>
    <t>FO:</t>
    <phoneticPr fontId="1" type="noConversion"/>
  </si>
  <si>
    <t>http://wapda.gov.pk/vision2025/htmls_vision2025/ji nnahhydropower.html</t>
    <phoneticPr fontId="1" type="noConversion"/>
  </si>
  <si>
    <t>Pakistan energy yearbook 2012, Appendix: 7.4</t>
    <phoneticPr fontId="1" type="noConversion"/>
  </si>
  <si>
    <t>Pakistan energy yearbook 2011, Appendix: 7.4</t>
    <phoneticPr fontId="1" type="noConversion"/>
  </si>
  <si>
    <t>Pakistan energy yearbook 2010, Appendix: 7.4</t>
    <phoneticPr fontId="1" type="noConversion"/>
  </si>
  <si>
    <t>Pakistan energy yearbook 2009, Appendix: 7.4</t>
    <phoneticPr fontId="1" type="noConversion"/>
  </si>
  <si>
    <t>Average</t>
    <phoneticPr fontId="1" type="noConversion"/>
  </si>
  <si>
    <t>2013/14</t>
  </si>
  <si>
    <t>NEW JABBAN</t>
  </si>
  <si>
    <t>GOMAL ZAM</t>
  </si>
  <si>
    <t>TPS GUDDU (Unit 5-13)</t>
  </si>
  <si>
    <t>UCH-II POWER</t>
  </si>
  <si>
    <t>Year 2014</t>
  </si>
  <si>
    <t>TPS GUDDU (Unit 1-4)</t>
  </si>
  <si>
    <t>Before 2001</t>
  </si>
  <si>
    <t>Before 2000</t>
  </si>
  <si>
    <t>Baseline Emissions</t>
  </si>
  <si>
    <t>tCO2/MWh</t>
  </si>
  <si>
    <t>Leakage</t>
  </si>
  <si>
    <t>Emission Reductions</t>
  </si>
  <si>
    <t>EYB2015</t>
  </si>
  <si>
    <t>SAPPHIRE ELECTRIC</t>
  </si>
  <si>
    <t>Year 2015</t>
  </si>
  <si>
    <t>DKHP</t>
  </si>
  <si>
    <t>CCPP Nandipur</t>
  </si>
  <si>
    <t>Year 2016</t>
  </si>
  <si>
    <t>EYB2016</t>
  </si>
  <si>
    <t>WAPDA Grid Operation Margin 2018 (2016-17)</t>
  </si>
  <si>
    <t>Pakistan Energy Yearbook 2017 Table 5.11</t>
  </si>
  <si>
    <t>Pakistan Energy Yearbook 2017</t>
  </si>
  <si>
    <t>Pakistan Energy Yearbook 2017, Table 5.4</t>
  </si>
  <si>
    <t>Calculated as difference of total consumption minus KESC consumption from Pakistan Energy Yearbook 2017</t>
  </si>
  <si>
    <t>Power Generation by Power Plants connected to the Karachi Grid in Year 2016-17</t>
  </si>
  <si>
    <t>All input data taken from the 2017 Pakistan Energy Yearbook (Table 5.11), except plant efficiencies derived from the Tool to determine the grid emission factor of an electricity system</t>
  </si>
  <si>
    <t>Pakistan energy yearbook 2017, Appendix: 7.4 (p136)</t>
  </si>
  <si>
    <t>CHASNUPP-III</t>
  </si>
  <si>
    <t>Year 2017</t>
  </si>
  <si>
    <t>EYB2017</t>
  </si>
  <si>
    <t>Haveli Bahdur Shah PP</t>
  </si>
  <si>
    <t>Quaid-e-Azam Thermal PP</t>
  </si>
  <si>
    <t>Sahiwal Coal Fire Plant</t>
  </si>
  <si>
    <t>Devis Energen</t>
  </si>
  <si>
    <t>EYB2018</t>
  </si>
  <si>
    <t>EYB2019</t>
  </si>
  <si>
    <t>Coal</t>
  </si>
  <si>
    <t>Super Critical</t>
  </si>
  <si>
    <t>http://cpec.gov.pk/project-details/2</t>
  </si>
  <si>
    <t>Coal:</t>
  </si>
  <si>
    <t>Emissions from Coal</t>
  </si>
  <si>
    <t>IPCC, V.2, Chapter 2, Table 2.2</t>
  </si>
  <si>
    <t>WAPDA Grid Operation Margin 2019 (2017-18)</t>
  </si>
  <si>
    <t>Pakistan Energy Yearbook 2018 Table 5.11</t>
  </si>
  <si>
    <t>Pakistan energy yearbook 2018, Appendix: 7.4 (p136)</t>
  </si>
  <si>
    <t>Pakistan Energy Yearbook 2018</t>
  </si>
  <si>
    <t>Pakistan Energy Yearbook 2018, Table 5.4</t>
  </si>
  <si>
    <t>Power Generation by Power Plants connected to the Karachi Grid in Year 2017-18</t>
  </si>
  <si>
    <t>All input data taken from the 2018 Pakistan Energy Yearbook (Table 5.11), except plant efficiencies derived from the Tool to determine the grid emission factor of an electricity system</t>
  </si>
  <si>
    <t>CHASNUPP-IV</t>
  </si>
  <si>
    <t>Year 2018</t>
  </si>
  <si>
    <t>Baloki</t>
  </si>
  <si>
    <t>Gulf Power Gen</t>
  </si>
  <si>
    <t>Port Qasim</t>
  </si>
  <si>
    <t>Reshman</t>
  </si>
  <si>
    <t>Pakistan Energy Yearbook 2019 Table 5.11</t>
  </si>
  <si>
    <t>Pakistan energy yearbook 2019, Appendix: 7.4 (p136)</t>
  </si>
  <si>
    <t>Pakistan Energy Yearbook 2019</t>
  </si>
  <si>
    <t>Pakistan Energy Yearbook 2019, Table 5.4</t>
  </si>
  <si>
    <t>Calculated as difference of total consumption minus KESC consumption from Pakistan Energy Yearbook 2019</t>
  </si>
  <si>
    <t>WAPDA Grid Operation Margin 2020 (2018-19)</t>
  </si>
  <si>
    <t>Power Generation by Power Plants connected to the Karachi Grid in Year 2018-19</t>
  </si>
  <si>
    <t>All input data taken from the 2019 Pakistan Energy Yearbook (Table 5.11), except plant efficiencies derived from the Tool to determine the grid emission factor of an electricity system</t>
  </si>
  <si>
    <t>BM 2018-19</t>
  </si>
  <si>
    <t>Total El. Gen 2018-19 MWh</t>
  </si>
  <si>
    <t>http://cpec.gov.pk/project-details/1</t>
  </si>
  <si>
    <t>T-4th</t>
  </si>
  <si>
    <t>Golen Gol</t>
  </si>
  <si>
    <t>Year 2019</t>
  </si>
  <si>
    <t>Power Generation by the latest Power Plants providing 20% of the total power per year to the WAPDA Grid in Year 2018-19</t>
  </si>
  <si>
    <t>plants to be included in the BM 2020 calculation</t>
  </si>
  <si>
    <t>All input data taken from the 2019 Pakistan Energy Yearbook, except plant efficiencies derived from the Tool to calculate the emission factor for an electricity system</t>
  </si>
  <si>
    <t>Calculated as difference of total consumption minus KESC consumption from Pakistan Energy Yearbook 2018</t>
  </si>
  <si>
    <t>Grid emission factor of the WAPDA Grid 2020</t>
  </si>
  <si>
    <t>Combined Margin 
WAPDA 2020</t>
  </si>
  <si>
    <t>Grid Emission Factor 2020</t>
  </si>
  <si>
    <t>Annual average over the crediting period</t>
  </si>
  <si>
    <t>Total number of crediting years</t>
  </si>
  <si>
    <r>
      <t>(t CO</t>
    </r>
    <r>
      <rPr>
        <b/>
        <vertAlign val="subscript"/>
        <sz val="11"/>
        <color theme="1"/>
        <rFont val="Times New Roman Bold"/>
      </rPr>
      <t>2</t>
    </r>
    <r>
      <rPr>
        <b/>
        <sz val="11"/>
        <color theme="1"/>
        <rFont val="Arial"/>
        <family val="2"/>
      </rPr>
      <t>e)</t>
    </r>
  </si>
  <si>
    <t>Emission reductions</t>
  </si>
  <si>
    <t>Project emissions</t>
  </si>
  <si>
    <t>Baseline emissions</t>
  </si>
  <si>
    <t>Year</t>
  </si>
  <si>
    <t>ER in the crediting period</t>
  </si>
  <si>
    <t>Calculated according to tool</t>
  </si>
  <si>
    <t>Net Electricity supplied to the grid</t>
  </si>
  <si>
    <t>EX-ANTE CALCULATION</t>
  </si>
  <si>
    <t>All input data taken from the 2016 Pakistan Energy Yearbook (Table 5.11), except plant efficiencies derived from the Tool to determine the grid emission factor of an electricity system</t>
  </si>
  <si>
    <t>Power Generation by Power Plants connected to the Karachi Grid in Year 2015-16</t>
  </si>
  <si>
    <t>Calculated as difference of total consumption minus KESC consumption from Pakistan Energy Yearbook 2016</t>
  </si>
  <si>
    <t>Pakistan Energy Yearbook 2016, Table 5.4</t>
  </si>
  <si>
    <t>Pakistan Energy Yearbook 2016</t>
  </si>
  <si>
    <t>Pakistan energy yearbook 2016, Appendix: 7.4 (p129)</t>
  </si>
  <si>
    <t>Pakistan Energy Yearbook 2016 Table 5.11</t>
  </si>
  <si>
    <t>WAPDA Grid Operation Margin 2017 (2015-16)</t>
  </si>
  <si>
    <t>All input data taken from the 2015 Pakistan Energy Yearbook (Table 5.11), except plant efficiencies derived from the Tool to determine the grid emission factor of an electricity system</t>
  </si>
  <si>
    <t>Power Generation by Power Plants connected to the Karachi Grid in Year 2014-15</t>
  </si>
  <si>
    <t>Calculated as difference of total consumption minus KESC consumption from Pakistan Energy Yearbook 2015</t>
  </si>
  <si>
    <t>Pakistan Energy Yearbook 2015, Table 5.4</t>
  </si>
  <si>
    <t>Pakistan Energy Yearbook 2015</t>
  </si>
  <si>
    <t>Pakistan energy yearbook 2015, Appendix: 7.4 (p145)</t>
  </si>
  <si>
    <t>Pakistan Energy Yearbook 2015 Table 5.11</t>
  </si>
  <si>
    <r>
      <t>WAPDA Grid Operation Margin 201</t>
    </r>
    <r>
      <rPr>
        <b/>
        <sz val="16"/>
        <rFont val="Times New Roman"/>
        <family val="1"/>
      </rPr>
      <t>4-15</t>
    </r>
  </si>
  <si>
    <t>02/08/2019-31/12/2019</t>
  </si>
  <si>
    <t>01/01/2020-31/12/2020</t>
  </si>
  <si>
    <t>01/01/2021-31/12/2021</t>
  </si>
  <si>
    <t>01/01/2022-31/12/2022</t>
  </si>
  <si>
    <t>01/01/2023-31/12/2023</t>
  </si>
  <si>
    <t>01/01/2024-01/08/2024</t>
  </si>
  <si>
    <t>Sapphire 49.5 MW Wind Farm Project</t>
  </si>
  <si>
    <t>Title of Project</t>
  </si>
  <si>
    <t xml:space="preserve">Time of First Submission Date </t>
  </si>
  <si>
    <t>03/08/2021</t>
  </si>
  <si>
    <t>Version</t>
  </si>
  <si>
    <t>Date</t>
  </si>
  <si>
    <t>05/12/2021</t>
  </si>
  <si>
    <t>Project developer</t>
  </si>
  <si>
    <t xml:space="preserve">Sapphire Wind Power Co. Ltd.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</si>
</sst>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&quot;$&quot;#,##0_);\(&quot;$&quot;#,##0\)"/>
    <numFmt numFmtId="166" formatCode="_(* #,##0.000_);_(* \(#,##0.000\);_(* &quot;-&quot;??_);_(@_)"/>
    <numFmt numFmtId="167" formatCode="_(* #,##0_);_(* \(#,##0\);_(* &quot;-&quot;??_);_(@_)"/>
    <numFmt numFmtId="168" formatCode="_(* #,##0.00000_);_(* \(#,##0.00000\);_(* &quot;-&quot;??_);_(@_)"/>
    <numFmt numFmtId="169" formatCode="#,##0.0"/>
    <numFmt numFmtId="170" formatCode="0.0%"/>
    <numFmt numFmtId="171" formatCode="yyyy/m/d;@"/>
    <numFmt numFmtId="172" formatCode="_ * #,##0.0000_ ;_ * \-#,##0.0000_ ;_ * &quot;-&quot;????_ ;_ @_ "/>
    <numFmt numFmtId="173" formatCode="0.00000"/>
    <numFmt numFmtId="174" formatCode="0.0000_);\(0.0000\)"/>
    <numFmt numFmtId="175" formatCode="0.00_);\(0.00\)"/>
  </numFmts>
  <fonts count="95">
    <font>
      <sz val="10"/>
      <name val="Arial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0"/>
      <color theme="10"/>
      <name val="Arial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3F3F76"/>
      <name val="Times New Roman"/>
      <family val="1"/>
    </font>
    <font>
      <b/>
      <sz val="10"/>
      <color rgb="FFFA7D0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0"/>
      <color rgb="FFDD0806"/>
      <name val="Times New Roman"/>
      <family val="1"/>
    </font>
    <font>
      <b/>
      <sz val="15"/>
      <color theme="3"/>
      <name val="Times New Roman"/>
      <family val="1"/>
    </font>
    <font>
      <b/>
      <sz val="13"/>
      <color theme="3"/>
      <name val="Times New Roman"/>
      <family val="1"/>
    </font>
    <font>
      <b/>
      <sz val="11"/>
      <color theme="3"/>
      <name val="Times New Roman"/>
      <family val="1"/>
    </font>
    <font>
      <sz val="12"/>
      <color rgb="FFFA7D00"/>
      <name val="Times New Roman"/>
      <family val="1"/>
    </font>
    <font>
      <i/>
      <sz val="12"/>
      <color rgb="FF7F7F7F"/>
      <name val="Times New Roman"/>
      <family val="1"/>
    </font>
    <font>
      <b/>
      <sz val="12"/>
      <color rgb="FF3F3F3F"/>
      <name val="Times New Roman"/>
      <family val="1"/>
    </font>
    <font>
      <b/>
      <sz val="16"/>
      <name val="Times New Roman"/>
      <family val="1"/>
    </font>
    <font>
      <sz val="12"/>
      <color rgb="FF3F3F76"/>
      <name val="Times New Roman"/>
      <family val="1"/>
    </font>
    <font>
      <b/>
      <sz val="12"/>
      <color rgb="FFFA7D00"/>
      <name val="Times New Roman"/>
      <family val="1"/>
    </font>
    <font>
      <sz val="9"/>
      <name val="Times New Roman"/>
      <family val="1"/>
    </font>
    <font>
      <sz val="11"/>
      <color rgb="FF00000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u/>
      <sz val="11"/>
      <color rgb="FF000000"/>
      <name val="Times New Roman"/>
      <family val="1"/>
    </font>
    <font>
      <vertAlign val="superscript"/>
      <sz val="11"/>
      <name val="Times New Roman"/>
      <family val="1"/>
    </font>
    <font>
      <sz val="11"/>
      <color rgb="FFDD0806"/>
      <name val="Times New Roman"/>
      <family val="1"/>
    </font>
    <font>
      <vertAlign val="superscript"/>
      <sz val="12"/>
      <name val="Times New Roman"/>
      <family val="1"/>
    </font>
    <font>
      <b/>
      <u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indexed="10"/>
      <name val="Times New Roman"/>
      <family val="1"/>
    </font>
    <font>
      <i/>
      <sz val="11"/>
      <color rgb="FFFF0000"/>
      <name val="Times New Roman"/>
      <family val="1"/>
    </font>
    <font>
      <vertAlign val="superscript"/>
      <sz val="10"/>
      <color indexed="10"/>
      <name val="Times New Roman"/>
      <family val="1"/>
    </font>
    <font>
      <vertAlign val="superscript"/>
      <sz val="10"/>
      <name val="Times New Roman"/>
      <family val="1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8"/>
      <color rgb="FF00000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i/>
      <sz val="12"/>
      <color rgb="FF7F7F7F"/>
      <name val="Times New Roman"/>
      <family val="1"/>
    </font>
    <font>
      <b/>
      <sz val="14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Times New Roman Bold"/>
    </font>
    <font>
      <sz val="16"/>
      <color theme="1"/>
      <name val="Arial"/>
      <family val="2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FF"/>
        <bgColor rgb="FF000000"/>
      </patternFill>
    </fill>
    <fill>
      <patternFill patternType="solid">
        <fgColor rgb="FFFFDE9B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  <fill>
      <patternFill patternType="solid">
        <fgColor rgb="FFFFDE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ck">
        <color auto="1"/>
      </right>
      <top/>
      <bottom style="thick">
        <color theme="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theme="4" tint="0.499984740745262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theme="4" tint="0.39997558519241921"/>
      </bottom>
      <diagonal/>
    </border>
    <border>
      <left/>
      <right style="thick">
        <color auto="1"/>
      </right>
      <top/>
      <bottom style="medium">
        <color theme="4" tint="0.3999755851924192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54">
    <xf numFmtId="0" fontId="0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5" fillId="5" borderId="23" applyNumberFormat="0" applyAlignment="0" applyProtection="0"/>
    <xf numFmtId="0" fontId="6" fillId="6" borderId="24" applyNumberFormat="0" applyAlignment="0" applyProtection="0"/>
    <xf numFmtId="0" fontId="7" fillId="6" borderId="23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7" applyNumberFormat="0" applyFill="0" applyAlignment="0" applyProtection="0"/>
    <xf numFmtId="0" fontId="12" fillId="0" borderId="28" applyNumberFormat="0" applyFill="0" applyAlignment="0" applyProtection="0"/>
    <xf numFmtId="0" fontId="13" fillId="0" borderId="29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3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59">
    <xf numFmtId="0" fontId="0" fillId="0" borderId="0" xfId="0"/>
    <xf numFmtId="0" fontId="20" fillId="3" borderId="11" xfId="0" applyFont="1" applyFill="1" applyBorder="1" applyAlignment="1">
      <alignment horizontal="center" vertical="center"/>
    </xf>
    <xf numFmtId="171" fontId="20" fillId="3" borderId="1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 wrapText="1"/>
    </xf>
    <xf numFmtId="0" fontId="21" fillId="0" borderId="0" xfId="0" applyFont="1"/>
    <xf numFmtId="43" fontId="21" fillId="0" borderId="0" xfId="0" applyNumberFormat="1" applyFont="1" applyFill="1" applyBorder="1"/>
    <xf numFmtId="0" fontId="20" fillId="0" borderId="0" xfId="0" applyFont="1" applyBorder="1" applyAlignment="1">
      <alignment vertical="center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/>
    </xf>
    <xf numFmtId="0" fontId="21" fillId="0" borderId="0" xfId="0" applyFont="1" applyFill="1"/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Border="1"/>
    <xf numFmtId="0" fontId="20" fillId="24" borderId="9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171" fontId="20" fillId="0" borderId="5" xfId="0" applyNumberFormat="1" applyFont="1" applyFill="1" applyBorder="1" applyAlignment="1">
      <alignment horizontal="right" vertical="center"/>
    </xf>
    <xf numFmtId="171" fontId="20" fillId="0" borderId="5" xfId="0" applyNumberFormat="1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4" fontId="20" fillId="0" borderId="5" xfId="0" applyNumberFormat="1" applyFont="1" applyFill="1" applyBorder="1" applyAlignment="1">
      <alignment vertical="center"/>
    </xf>
    <xf numFmtId="4" fontId="20" fillId="0" borderId="5" xfId="0" applyNumberFormat="1" applyFont="1" applyFill="1" applyBorder="1" applyAlignment="1">
      <alignment horizontal="left" vertical="center"/>
    </xf>
    <xf numFmtId="0" fontId="20" fillId="18" borderId="17" xfId="0" applyFont="1" applyFill="1" applyBorder="1" applyAlignment="1">
      <alignment horizontal="center" vertical="center"/>
    </xf>
    <xf numFmtId="10" fontId="21" fillId="27" borderId="0" xfId="690" applyNumberFormat="1" applyFont="1" applyFill="1"/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7" borderId="14" xfId="0" applyFont="1" applyFill="1" applyBorder="1" applyAlignment="1">
      <alignment vertical="center"/>
    </xf>
    <xf numFmtId="0" fontId="22" fillId="7" borderId="31" xfId="0" applyFont="1" applyFill="1" applyBorder="1" applyAlignment="1">
      <alignment vertical="center"/>
    </xf>
    <xf numFmtId="0" fontId="20" fillId="24" borderId="15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71" fontId="20" fillId="0" borderId="0" xfId="0" applyNumberFormat="1" applyFont="1" applyFill="1" applyBorder="1" applyAlignment="1">
      <alignment horizontal="right" vertical="center"/>
    </xf>
    <xf numFmtId="171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4" fontId="20" fillId="0" borderId="0" xfId="0" applyNumberFormat="1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left" vertical="center"/>
    </xf>
    <xf numFmtId="0" fontId="20" fillId="18" borderId="21" xfId="0" applyFont="1" applyFill="1" applyBorder="1" applyAlignment="1">
      <alignment horizontal="center" vertical="center"/>
    </xf>
    <xf numFmtId="0" fontId="20" fillId="18" borderId="15" xfId="0" applyFont="1" applyFill="1" applyBorder="1" applyAlignment="1">
      <alignment vertical="center"/>
    </xf>
    <xf numFmtId="171" fontId="20" fillId="0" borderId="0" xfId="0" applyNumberFormat="1" applyFont="1" applyFill="1" applyBorder="1" applyAlignment="1">
      <alignment horizontal="left" vertical="center" wrapText="1"/>
    </xf>
    <xf numFmtId="4" fontId="20" fillId="4" borderId="0" xfId="0" applyNumberFormat="1" applyFont="1" applyFill="1" applyBorder="1" applyAlignment="1">
      <alignment vertical="center"/>
    </xf>
    <xf numFmtId="4" fontId="20" fillId="4" borderId="0" xfId="0" applyNumberFormat="1" applyFont="1" applyFill="1" applyBorder="1" applyAlignment="1">
      <alignment horizontal="left" vertical="center"/>
    </xf>
    <xf numFmtId="0" fontId="20" fillId="19" borderId="21" xfId="0" applyFont="1" applyFill="1" applyBorder="1" applyAlignment="1">
      <alignment horizontal="center" vertical="center"/>
    </xf>
    <xf numFmtId="0" fontId="21" fillId="27" borderId="0" xfId="0" applyFont="1" applyFill="1"/>
    <xf numFmtId="0" fontId="20" fillId="0" borderId="40" xfId="0" applyFont="1" applyFill="1" applyBorder="1" applyAlignment="1">
      <alignment vertical="center"/>
    </xf>
    <xf numFmtId="0" fontId="21" fillId="0" borderId="41" xfId="0" applyFont="1" applyBorder="1"/>
    <xf numFmtId="4" fontId="20" fillId="0" borderId="41" xfId="0" applyNumberFormat="1" applyFont="1" applyFill="1" applyBorder="1" applyAlignment="1">
      <alignment vertical="center"/>
    </xf>
    <xf numFmtId="0" fontId="21" fillId="0" borderId="42" xfId="0" applyFont="1" applyBorder="1"/>
    <xf numFmtId="10" fontId="25" fillId="27" borderId="0" xfId="690" applyNumberFormat="1" applyFont="1" applyFill="1"/>
    <xf numFmtId="0" fontId="21" fillId="0" borderId="0" xfId="0" applyFont="1" applyBorder="1" applyAlignment="1">
      <alignment vertical="center"/>
    </xf>
    <xf numFmtId="0" fontId="21" fillId="0" borderId="46" xfId="9" applyFont="1" applyFill="1" applyBorder="1"/>
    <xf numFmtId="0" fontId="21" fillId="0" borderId="0" xfId="0" applyFont="1" applyFill="1" applyBorder="1"/>
    <xf numFmtId="0" fontId="21" fillId="0" borderId="0" xfId="9" applyFont="1" applyFill="1" applyBorder="1"/>
    <xf numFmtId="0" fontId="21" fillId="0" borderId="0" xfId="0" applyFont="1" applyFill="1" applyBorder="1" applyAlignment="1">
      <alignment vertical="center"/>
    </xf>
    <xf numFmtId="0" fontId="21" fillId="0" borderId="35" xfId="0" applyFont="1" applyFill="1" applyBorder="1" applyAlignment="1">
      <alignment vertical="center"/>
    </xf>
    <xf numFmtId="171" fontId="20" fillId="0" borderId="0" xfId="0" applyNumberFormat="1" applyFont="1" applyFill="1" applyBorder="1" applyAlignment="1">
      <alignment vertical="center"/>
    </xf>
    <xf numFmtId="3" fontId="20" fillId="4" borderId="0" xfId="0" applyNumberFormat="1" applyFont="1" applyFill="1" applyBorder="1" applyAlignment="1">
      <alignment vertical="center"/>
    </xf>
    <xf numFmtId="0" fontId="20" fillId="21" borderId="15" xfId="0" applyFont="1" applyFill="1" applyBorder="1" applyAlignment="1">
      <alignment vertical="center"/>
    </xf>
    <xf numFmtId="0" fontId="21" fillId="0" borderId="46" xfId="0" applyFont="1" applyBorder="1"/>
    <xf numFmtId="0" fontId="26" fillId="0" borderId="0" xfId="0" applyFont="1" applyFill="1" applyBorder="1" applyAlignment="1">
      <alignment vertical="center"/>
    </xf>
    <xf numFmtId="43" fontId="21" fillId="0" borderId="0" xfId="5" applyNumberFormat="1" applyFont="1" applyFill="1" applyBorder="1"/>
    <xf numFmtId="0" fontId="21" fillId="0" borderId="35" xfId="9" applyFont="1" applyFill="1" applyBorder="1"/>
    <xf numFmtId="2" fontId="21" fillId="0" borderId="0" xfId="6" applyNumberFormat="1" applyFont="1" applyFill="1" applyBorder="1"/>
    <xf numFmtId="171" fontId="27" fillId="0" borderId="0" xfId="684" applyNumberFormat="1" applyFont="1" applyFill="1" applyBorder="1" applyAlignment="1" applyProtection="1">
      <alignment horizontal="left" vertical="center"/>
    </xf>
    <xf numFmtId="0" fontId="21" fillId="0" borderId="35" xfId="0" applyFont="1" applyBorder="1"/>
    <xf numFmtId="10" fontId="21" fillId="0" borderId="0" xfId="0" applyNumberFormat="1" applyFont="1"/>
    <xf numFmtId="10" fontId="21" fillId="0" borderId="0" xfId="690" applyNumberFormat="1" applyFont="1"/>
    <xf numFmtId="0" fontId="28" fillId="26" borderId="45" xfId="9" applyFont="1" applyFill="1" applyBorder="1"/>
    <xf numFmtId="0" fontId="28" fillId="26" borderId="38" xfId="0" applyFont="1" applyFill="1" applyBorder="1"/>
    <xf numFmtId="173" fontId="28" fillId="26" borderId="38" xfId="6" applyNumberFormat="1" applyFont="1" applyFill="1" applyBorder="1"/>
    <xf numFmtId="0" fontId="28" fillId="26" borderId="38" xfId="9" applyFont="1" applyFill="1" applyBorder="1"/>
    <xf numFmtId="0" fontId="21" fillId="26" borderId="38" xfId="9" applyFont="1" applyFill="1" applyBorder="1"/>
    <xf numFmtId="0" fontId="21" fillId="0" borderId="38" xfId="0" applyFont="1" applyBorder="1"/>
    <xf numFmtId="0" fontId="21" fillId="0" borderId="37" xfId="0" applyFont="1" applyBorder="1"/>
    <xf numFmtId="0" fontId="29" fillId="0" borderId="0" xfId="9" applyFont="1" applyFill="1" applyBorder="1"/>
    <xf numFmtId="0" fontId="29" fillId="0" borderId="0" xfId="0" applyFont="1" applyFill="1" applyBorder="1"/>
    <xf numFmtId="172" fontId="29" fillId="0" borderId="0" xfId="0" applyNumberFormat="1" applyFont="1" applyFill="1" applyBorder="1"/>
    <xf numFmtId="43" fontId="21" fillId="0" borderId="0" xfId="8" applyNumberFormat="1" applyFont="1" applyFill="1" applyBorder="1"/>
    <xf numFmtId="0" fontId="21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22" fillId="7" borderId="8" xfId="0" applyFont="1" applyFill="1" applyBorder="1" applyAlignment="1">
      <alignment vertical="center"/>
    </xf>
    <xf numFmtId="0" fontId="22" fillId="7" borderId="12" xfId="0" applyFont="1" applyFill="1" applyBorder="1" applyAlignment="1">
      <alignment vertical="center"/>
    </xf>
    <xf numFmtId="0" fontId="22" fillId="7" borderId="20" xfId="0" applyFont="1" applyFill="1" applyBorder="1" applyAlignment="1">
      <alignment vertical="center"/>
    </xf>
    <xf numFmtId="4" fontId="20" fillId="4" borderId="0" xfId="0" applyNumberFormat="1" applyFont="1" applyFill="1" applyBorder="1" applyAlignment="1">
      <alignment horizontal="right" vertical="center"/>
    </xf>
    <xf numFmtId="0" fontId="29" fillId="9" borderId="31" xfId="0" applyFont="1" applyFill="1" applyBorder="1" applyAlignment="1">
      <alignment horizontal="center" vertical="center" wrapText="1"/>
    </xf>
    <xf numFmtId="0" fontId="29" fillId="9" borderId="0" xfId="0" applyFont="1" applyFill="1" applyBorder="1" applyAlignment="1">
      <alignment horizontal="center" vertical="center"/>
    </xf>
    <xf numFmtId="3" fontId="29" fillId="9" borderId="13" xfId="0" applyNumberFormat="1" applyFont="1" applyFill="1" applyBorder="1" applyAlignment="1">
      <alignment horizontal="center" vertical="center"/>
    </xf>
    <xf numFmtId="0" fontId="31" fillId="9" borderId="14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/>
    </xf>
    <xf numFmtId="0" fontId="31" fillId="9" borderId="14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 vertical="center" wrapText="1"/>
    </xf>
    <xf numFmtId="0" fontId="31" fillId="9" borderId="19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 vertical="center"/>
    </xf>
    <xf numFmtId="3" fontId="29" fillId="9" borderId="1" xfId="0" applyNumberFormat="1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vertical="center"/>
    </xf>
    <xf numFmtId="3" fontId="33" fillId="7" borderId="0" xfId="0" applyNumberFormat="1" applyFont="1" applyFill="1" applyBorder="1" applyAlignment="1">
      <alignment vertical="center"/>
    </xf>
    <xf numFmtId="0" fontId="22" fillId="23" borderId="4" xfId="0" applyFont="1" applyFill="1" applyBorder="1" applyAlignment="1">
      <alignment horizontal="center" vertical="center"/>
    </xf>
    <xf numFmtId="0" fontId="22" fillId="11" borderId="12" xfId="0" applyFont="1" applyFill="1" applyBorder="1" applyAlignment="1">
      <alignment horizontal="center" vertical="center"/>
    </xf>
    <xf numFmtId="4" fontId="24" fillId="6" borderId="23" xfId="8" applyNumberFormat="1" applyFont="1" applyBorder="1" applyAlignment="1">
      <alignment vertical="center"/>
    </xf>
    <xf numFmtId="4" fontId="23" fillId="5" borderId="23" xfId="6" applyNumberFormat="1" applyFont="1" applyBorder="1" applyAlignment="1">
      <alignment vertical="center"/>
    </xf>
    <xf numFmtId="10" fontId="23" fillId="21" borderId="23" xfId="6" applyNumberFormat="1" applyFont="1" applyFill="1" applyBorder="1" applyAlignment="1">
      <alignment vertical="center"/>
    </xf>
    <xf numFmtId="169" fontId="24" fillId="6" borderId="23" xfId="8" applyNumberFormat="1" applyFont="1" applyBorder="1" applyAlignment="1">
      <alignment vertical="center"/>
    </xf>
    <xf numFmtId="0" fontId="22" fillId="11" borderId="1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2" fillId="7" borderId="0" xfId="0" applyFont="1" applyFill="1" applyBorder="1" applyAlignment="1">
      <alignment vertical="center"/>
    </xf>
    <xf numFmtId="0" fontId="22" fillId="20" borderId="4" xfId="0" applyFont="1" applyFill="1" applyBorder="1" applyAlignment="1">
      <alignment horizontal="center" vertical="center"/>
    </xf>
    <xf numFmtId="10" fontId="23" fillId="5" borderId="23" xfId="6" applyNumberFormat="1" applyFont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22" fillId="20" borderId="1" xfId="0" applyFont="1" applyFill="1" applyBorder="1" applyAlignment="1">
      <alignment horizontal="center" vertical="center"/>
    </xf>
    <xf numFmtId="43" fontId="20" fillId="0" borderId="0" xfId="0" applyNumberFormat="1" applyFont="1" applyAlignment="1">
      <alignment vertical="center"/>
    </xf>
    <xf numFmtId="171" fontId="20" fillId="4" borderId="0" xfId="0" applyNumberFormat="1" applyFont="1" applyFill="1" applyBorder="1" applyAlignment="1">
      <alignment horizontal="right" vertical="center"/>
    </xf>
    <xf numFmtId="171" fontId="20" fillId="4" borderId="0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21" borderId="10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171" fontId="20" fillId="0" borderId="16" xfId="0" applyNumberFormat="1" applyFont="1" applyFill="1" applyBorder="1" applyAlignment="1">
      <alignment horizontal="right" vertical="center"/>
    </xf>
    <xf numFmtId="171" fontId="20" fillId="0" borderId="16" xfId="0" applyNumberFormat="1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left" vertical="center"/>
    </xf>
    <xf numFmtId="4" fontId="20" fillId="0" borderId="16" xfId="0" applyNumberFormat="1" applyFont="1" applyFill="1" applyBorder="1" applyAlignment="1">
      <alignment vertical="center"/>
    </xf>
    <xf numFmtId="4" fontId="20" fillId="0" borderId="16" xfId="0" applyNumberFormat="1" applyFont="1" applyFill="1" applyBorder="1" applyAlignment="1">
      <alignment horizontal="left" vertical="center"/>
    </xf>
    <xf numFmtId="0" fontId="20" fillId="18" borderId="22" xfId="0" applyFont="1" applyFill="1" applyBorder="1" applyAlignment="1">
      <alignment horizontal="center" vertical="center"/>
    </xf>
    <xf numFmtId="0" fontId="21" fillId="0" borderId="14" xfId="0" applyFont="1" applyBorder="1"/>
    <xf numFmtId="0" fontId="21" fillId="0" borderId="31" xfId="0" applyFont="1" applyBorder="1"/>
    <xf numFmtId="0" fontId="20" fillId="18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171" fontId="20" fillId="0" borderId="0" xfId="0" applyNumberFormat="1" applyFont="1" applyFill="1" applyAlignment="1">
      <alignment vertical="center"/>
    </xf>
    <xf numFmtId="171" fontId="20" fillId="0" borderId="0" xfId="0" applyNumberFormat="1" applyFont="1" applyFill="1" applyAlignment="1">
      <alignment horizontal="left" vertical="top"/>
    </xf>
    <xf numFmtId="0" fontId="20" fillId="18" borderId="47" xfId="0" applyFont="1" applyFill="1" applyBorder="1" applyAlignment="1">
      <alignment horizontal="left" vertical="center"/>
    </xf>
    <xf numFmtId="0" fontId="20" fillId="18" borderId="48" xfId="0" applyFont="1" applyFill="1" applyBorder="1" applyAlignment="1">
      <alignment vertical="center"/>
    </xf>
    <xf numFmtId="3" fontId="20" fillId="18" borderId="49" xfId="0" applyNumberFormat="1" applyFont="1" applyFill="1" applyBorder="1" applyAlignment="1">
      <alignment vertical="center"/>
    </xf>
    <xf numFmtId="3" fontId="20" fillId="0" borderId="0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2" fillId="22" borderId="4" xfId="0" applyFont="1" applyFill="1" applyBorder="1" applyAlignment="1">
      <alignment horizontal="center" vertical="center"/>
    </xf>
    <xf numFmtId="171" fontId="20" fillId="0" borderId="0" xfId="0" applyNumberFormat="1" applyFont="1" applyAlignment="1">
      <alignment vertical="center"/>
    </xf>
    <xf numFmtId="171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22" fillId="11" borderId="0" xfId="0" applyFont="1" applyFill="1" applyBorder="1" applyAlignment="1">
      <alignment horizontal="left" vertical="center" wrapText="1"/>
    </xf>
    <xf numFmtId="4" fontId="31" fillId="7" borderId="0" xfId="0" applyNumberFormat="1" applyFont="1" applyFill="1" applyBorder="1" applyAlignment="1">
      <alignment horizontal="right" vertical="center"/>
    </xf>
    <xf numFmtId="0" fontId="31" fillId="7" borderId="0" xfId="0" applyFont="1" applyFill="1" applyBorder="1" applyAlignment="1">
      <alignment horizontal="right" vertical="center"/>
    </xf>
    <xf numFmtId="0" fontId="22" fillId="7" borderId="6" xfId="0" applyFont="1" applyFill="1" applyBorder="1" applyAlignment="1">
      <alignment vertical="center"/>
    </xf>
    <xf numFmtId="0" fontId="22" fillId="7" borderId="2" xfId="0" applyFont="1" applyFill="1" applyBorder="1" applyAlignment="1">
      <alignment vertical="center"/>
    </xf>
    <xf numFmtId="0" fontId="22" fillId="7" borderId="19" xfId="0" applyFont="1" applyFill="1" applyBorder="1" applyAlignment="1">
      <alignment vertical="center"/>
    </xf>
    <xf numFmtId="171" fontId="20" fillId="0" borderId="0" xfId="0" applyNumberFormat="1" applyFont="1" applyBorder="1" applyAlignment="1">
      <alignment horizontal="right" vertical="center"/>
    </xf>
    <xf numFmtId="171" fontId="20" fillId="0" borderId="0" xfId="0" applyNumberFormat="1" applyFont="1" applyBorder="1" applyAlignment="1">
      <alignment horizontal="left" vertical="top"/>
    </xf>
    <xf numFmtId="171" fontId="21" fillId="0" borderId="0" xfId="0" applyNumberFormat="1" applyFont="1" applyAlignment="1">
      <alignment vertical="center"/>
    </xf>
    <xf numFmtId="171" fontId="21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171" fontId="21" fillId="0" borderId="0" xfId="0" applyNumberFormat="1" applyFont="1"/>
    <xf numFmtId="0" fontId="34" fillId="0" borderId="27" xfId="322" applyFont="1"/>
    <xf numFmtId="0" fontId="34" fillId="0" borderId="34" xfId="322" applyFont="1" applyBorder="1"/>
    <xf numFmtId="0" fontId="35" fillId="0" borderId="28" xfId="323" applyFont="1"/>
    <xf numFmtId="0" fontId="35" fillId="0" borderId="36" xfId="323" applyFont="1" applyBorder="1"/>
    <xf numFmtId="0" fontId="36" fillId="0" borderId="29" xfId="324" applyFont="1"/>
    <xf numFmtId="0" fontId="36" fillId="0" borderId="0" xfId="325" applyFont="1"/>
    <xf numFmtId="167" fontId="37" fillId="0" borderId="30" xfId="326" applyNumberFormat="1" applyFont="1"/>
    <xf numFmtId="166" fontId="38" fillId="0" borderId="0" xfId="9" applyNumberFormat="1" applyFont="1"/>
    <xf numFmtId="168" fontId="37" fillId="0" borderId="30" xfId="326" applyNumberFormat="1" applyFont="1"/>
    <xf numFmtId="0" fontId="21" fillId="3" borderId="11" xfId="0" applyFont="1" applyFill="1" applyBorder="1"/>
    <xf numFmtId="174" fontId="39" fillId="6" borderId="24" xfId="7" applyNumberFormat="1" applyFont="1"/>
    <xf numFmtId="0" fontId="38" fillId="0" borderId="29" xfId="9" applyFont="1" applyBorder="1"/>
    <xf numFmtId="0" fontId="21" fillId="25" borderId="11" xfId="0" applyFont="1" applyFill="1" applyBorder="1"/>
    <xf numFmtId="175" fontId="37" fillId="0" borderId="0" xfId="326" applyNumberFormat="1" applyFont="1" applyBorder="1"/>
    <xf numFmtId="0" fontId="36" fillId="0" borderId="38" xfId="325" applyFont="1" applyBorder="1"/>
    <xf numFmtId="175" fontId="37" fillId="0" borderId="38" xfId="326" applyNumberFormat="1" applyFont="1" applyBorder="1"/>
    <xf numFmtId="0" fontId="21" fillId="0" borderId="40" xfId="0" applyFont="1" applyFill="1" applyBorder="1"/>
    <xf numFmtId="0" fontId="21" fillId="0" borderId="41" xfId="0" applyFont="1" applyFill="1" applyBorder="1"/>
    <xf numFmtId="0" fontId="21" fillId="0" borderId="42" xfId="0" applyFont="1" applyFill="1" applyBorder="1"/>
    <xf numFmtId="0" fontId="36" fillId="0" borderId="29" xfId="324" applyFont="1" applyBorder="1"/>
    <xf numFmtId="174" fontId="39" fillId="6" borderId="39" xfId="7" applyNumberFormat="1" applyFont="1" applyBorder="1" applyAlignment="1">
      <alignment horizontal="center" vertical="center"/>
    </xf>
    <xf numFmtId="0" fontId="38" fillId="0" borderId="44" xfId="9" applyFont="1" applyBorder="1"/>
    <xf numFmtId="0" fontId="21" fillId="0" borderId="45" xfId="0" applyFont="1" applyFill="1" applyBorder="1"/>
    <xf numFmtId="0" fontId="21" fillId="0" borderId="38" xfId="0" applyFont="1" applyFill="1" applyBorder="1"/>
    <xf numFmtId="0" fontId="21" fillId="0" borderId="37" xfId="0" applyFont="1" applyFill="1" applyBorder="1"/>
    <xf numFmtId="0" fontId="40" fillId="0" borderId="0" xfId="0" applyFont="1" applyBorder="1" applyAlignme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38" fillId="0" borderId="0" xfId="9" applyFont="1"/>
    <xf numFmtId="167" fontId="41" fillId="5" borderId="23" xfId="6" applyNumberFormat="1" applyFont="1"/>
    <xf numFmtId="0" fontId="38" fillId="0" borderId="9" xfId="9" applyFont="1" applyBorder="1"/>
    <xf numFmtId="0" fontId="21" fillId="0" borderId="5" xfId="0" applyFont="1" applyBorder="1"/>
    <xf numFmtId="167" fontId="42" fillId="6" borderId="25" xfId="5" applyNumberFormat="1" applyFont="1" applyFill="1" applyBorder="1"/>
    <xf numFmtId="0" fontId="38" fillId="0" borderId="17" xfId="9" applyFont="1" applyBorder="1"/>
    <xf numFmtId="3" fontId="37" fillId="0" borderId="30" xfId="326" applyNumberFormat="1" applyFont="1"/>
    <xf numFmtId="0" fontId="38" fillId="0" borderId="15" xfId="9" applyFont="1" applyBorder="1"/>
    <xf numFmtId="167" fontId="42" fillId="6" borderId="23" xfId="8" applyNumberFormat="1" applyFont="1"/>
    <xf numFmtId="0" fontId="38" fillId="0" borderId="21" xfId="9" applyFont="1" applyBorder="1"/>
    <xf numFmtId="167" fontId="42" fillId="6" borderId="33" xfId="5" applyNumberFormat="1" applyFont="1" applyFill="1" applyBorder="1"/>
    <xf numFmtId="167" fontId="42" fillId="6" borderId="23" xfId="5" applyNumberFormat="1" applyFont="1" applyFill="1" applyBorder="1"/>
    <xf numFmtId="0" fontId="21" fillId="0" borderId="15" xfId="0" applyFont="1" applyBorder="1"/>
    <xf numFmtId="0" fontId="21" fillId="0" borderId="21" xfId="0" applyFont="1" applyBorder="1"/>
    <xf numFmtId="0" fontId="42" fillId="6" borderId="23" xfId="8" applyFont="1"/>
    <xf numFmtId="0" fontId="38" fillId="0" borderId="10" xfId="9" applyFont="1" applyBorder="1"/>
    <xf numFmtId="0" fontId="21" fillId="0" borderId="16" xfId="0" applyFont="1" applyBorder="1"/>
    <xf numFmtId="166" fontId="39" fillId="6" borderId="26" xfId="7" applyNumberFormat="1" applyFont="1" applyBorder="1"/>
    <xf numFmtId="0" fontId="38" fillId="0" borderId="22" xfId="9" applyFont="1" applyBorder="1"/>
    <xf numFmtId="43" fontId="41" fillId="5" borderId="23" xfId="6" applyNumberFormat="1" applyFont="1"/>
    <xf numFmtId="0" fontId="38" fillId="0" borderId="0" xfId="9" applyFont="1" applyBorder="1"/>
    <xf numFmtId="166" fontId="39" fillId="6" borderId="0" xfId="7" applyNumberFormat="1" applyFont="1" applyBorder="1"/>
    <xf numFmtId="43" fontId="42" fillId="6" borderId="23" xfId="8" applyNumberFormat="1" applyFont="1"/>
    <xf numFmtId="168" fontId="41" fillId="5" borderId="23" xfId="6" applyNumberFormat="1" applyFont="1"/>
    <xf numFmtId="43" fontId="43" fillId="0" borderId="0" xfId="5" applyNumberFormat="1" applyFont="1" applyBorder="1" applyAlignment="1">
      <alignment horizontal="center" vertical="center" wrapText="1"/>
    </xf>
    <xf numFmtId="2" fontId="41" fillId="5" borderId="23" xfId="6" applyNumberFormat="1" applyFont="1"/>
    <xf numFmtId="0" fontId="38" fillId="0" borderId="0" xfId="9" applyFont="1" applyFill="1" applyBorder="1"/>
    <xf numFmtId="3" fontId="41" fillId="5" borderId="23" xfId="6" applyNumberFormat="1" applyFont="1"/>
    <xf numFmtId="0" fontId="38" fillId="0" borderId="0" xfId="0" applyFont="1"/>
    <xf numFmtId="3" fontId="42" fillId="6" borderId="23" xfId="8" applyNumberFormat="1" applyFont="1"/>
    <xf numFmtId="0" fontId="44" fillId="7" borderId="9" xfId="0" applyFont="1" applyFill="1" applyBorder="1"/>
    <xf numFmtId="0" fontId="44" fillId="7" borderId="5" xfId="0" applyFont="1" applyFill="1" applyBorder="1"/>
    <xf numFmtId="0" fontId="44" fillId="7" borderId="17" xfId="0" applyFont="1" applyFill="1" applyBorder="1"/>
    <xf numFmtId="0" fontId="44" fillId="7" borderId="15" xfId="0" applyFont="1" applyFill="1" applyBorder="1"/>
    <xf numFmtId="0" fontId="44" fillId="7" borderId="21" xfId="0" applyFont="1" applyFill="1" applyBorder="1"/>
    <xf numFmtId="0" fontId="46" fillId="9" borderId="31" xfId="0" applyFont="1" applyFill="1" applyBorder="1" applyAlignment="1">
      <alignment horizontal="center" wrapText="1"/>
    </xf>
    <xf numFmtId="0" fontId="46" fillId="9" borderId="14" xfId="0" applyFont="1" applyFill="1" applyBorder="1" applyAlignment="1">
      <alignment horizontal="center" wrapText="1"/>
    </xf>
    <xf numFmtId="0" fontId="48" fillId="9" borderId="31" xfId="0" applyFont="1" applyFill="1" applyBorder="1" applyAlignment="1">
      <alignment horizontal="center" wrapText="1"/>
    </xf>
    <xf numFmtId="0" fontId="46" fillId="9" borderId="0" xfId="0" applyFont="1" applyFill="1" applyAlignment="1">
      <alignment horizontal="center"/>
    </xf>
    <xf numFmtId="0" fontId="46" fillId="9" borderId="31" xfId="0" applyFont="1" applyFill="1" applyBorder="1" applyAlignment="1">
      <alignment horizontal="center"/>
    </xf>
    <xf numFmtId="0" fontId="51" fillId="7" borderId="0" xfId="0" applyFont="1" applyFill="1"/>
    <xf numFmtId="0" fontId="52" fillId="7" borderId="0" xfId="0" applyFont="1" applyFill="1" applyAlignment="1">
      <alignment horizontal="left"/>
    </xf>
    <xf numFmtId="0" fontId="30" fillId="7" borderId="13" xfId="0" applyFont="1" applyFill="1" applyBorder="1" applyAlignment="1">
      <alignment horizontal="center"/>
    </xf>
    <xf numFmtId="0" fontId="30" fillId="7" borderId="0" xfId="0" applyFont="1" applyFill="1" applyAlignment="1">
      <alignment horizontal="center"/>
    </xf>
    <xf numFmtId="0" fontId="53" fillId="7" borderId="14" xfId="0" applyFont="1" applyFill="1" applyBorder="1"/>
    <xf numFmtId="0" fontId="53" fillId="7" borderId="31" xfId="0" applyFont="1" applyFill="1" applyBorder="1"/>
    <xf numFmtId="0" fontId="53" fillId="7" borderId="0" xfId="0" applyFont="1" applyFill="1"/>
    <xf numFmtId="0" fontId="44" fillId="7" borderId="13" xfId="0" applyFont="1" applyFill="1" applyBorder="1"/>
    <xf numFmtId="3" fontId="53" fillId="7" borderId="0" xfId="0" applyNumberFormat="1" applyFont="1" applyFill="1"/>
    <xf numFmtId="0" fontId="48" fillId="11" borderId="4" xfId="0" applyFont="1" applyFill="1" applyBorder="1" applyAlignment="1">
      <alignment horizontal="center"/>
    </xf>
    <xf numFmtId="0" fontId="48" fillId="11" borderId="12" xfId="0" applyFont="1" applyFill="1" applyBorder="1" applyAlignment="1">
      <alignment horizontal="center"/>
    </xf>
    <xf numFmtId="4" fontId="42" fillId="6" borderId="23" xfId="8" applyNumberFormat="1" applyFont="1"/>
    <xf numFmtId="4" fontId="41" fillId="5" borderId="23" xfId="6" applyNumberFormat="1" applyFont="1"/>
    <xf numFmtId="10" fontId="41" fillId="5" borderId="23" xfId="6" applyNumberFormat="1" applyFont="1"/>
    <xf numFmtId="169" fontId="42" fillId="6" borderId="23" xfId="8" applyNumberFormat="1" applyFont="1"/>
    <xf numFmtId="166" fontId="21" fillId="0" borderId="0" xfId="0" applyNumberFormat="1" applyFont="1"/>
    <xf numFmtId="0" fontId="48" fillId="11" borderId="1" xfId="0" applyFont="1" applyFill="1" applyBorder="1" applyAlignment="1">
      <alignment horizontal="center"/>
    </xf>
    <xf numFmtId="0" fontId="48" fillId="11" borderId="2" xfId="0" applyFont="1" applyFill="1" applyBorder="1" applyAlignment="1">
      <alignment horizontal="center"/>
    </xf>
    <xf numFmtId="0" fontId="48" fillId="7" borderId="0" xfId="0" applyFont="1" applyFill="1"/>
    <xf numFmtId="0" fontId="48" fillId="11" borderId="13" xfId="0" applyFont="1" applyFill="1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44" fillId="11" borderId="14" xfId="0" applyFont="1" applyFill="1" applyBorder="1"/>
    <xf numFmtId="0" fontId="44" fillId="11" borderId="31" xfId="0" applyFont="1" applyFill="1" applyBorder="1"/>
    <xf numFmtId="0" fontId="44" fillId="11" borderId="0" xfId="0" applyFont="1" applyFill="1"/>
    <xf numFmtId="10" fontId="30" fillId="11" borderId="13" xfId="0" applyNumberFormat="1" applyFont="1" applyFill="1" applyBorder="1"/>
    <xf numFmtId="0" fontId="48" fillId="7" borderId="0" xfId="0" applyFont="1" applyFill="1" applyAlignment="1">
      <alignment horizontal="right"/>
    </xf>
    <xf numFmtId="4" fontId="44" fillId="11" borderId="31" xfId="0" applyNumberFormat="1" applyFont="1" applyFill="1" applyBorder="1"/>
    <xf numFmtId="4" fontId="44" fillId="11" borderId="0" xfId="0" applyNumberFormat="1" applyFont="1" applyFill="1"/>
    <xf numFmtId="169" fontId="44" fillId="11" borderId="0" xfId="0" applyNumberFormat="1" applyFont="1" applyFill="1"/>
    <xf numFmtId="0" fontId="54" fillId="10" borderId="12" xfId="0" applyFont="1" applyFill="1" applyBorder="1" applyAlignment="1">
      <alignment horizontal="left"/>
    </xf>
    <xf numFmtId="0" fontId="54" fillId="10" borderId="2" xfId="0" applyFont="1" applyFill="1" applyBorder="1" applyAlignment="1">
      <alignment horizontal="left"/>
    </xf>
    <xf numFmtId="0" fontId="48" fillId="0" borderId="0" xfId="0" applyFont="1" applyBorder="1" applyAlignment="1">
      <alignment horizontal="left" vertical="center" wrapText="1"/>
    </xf>
    <xf numFmtId="0" fontId="48" fillId="2" borderId="0" xfId="0" applyFont="1" applyFill="1" applyBorder="1" applyAlignment="1">
      <alignment horizontal="left" vertical="center" wrapText="1"/>
    </xf>
    <xf numFmtId="0" fontId="48" fillId="11" borderId="0" xfId="0" applyFont="1" applyFill="1" applyBorder="1" applyAlignment="1">
      <alignment horizontal="center"/>
    </xf>
    <xf numFmtId="0" fontId="41" fillId="12" borderId="32" xfId="6" applyFont="1" applyFill="1" applyBorder="1" applyAlignment="1">
      <alignment horizontal="center" vertical="center"/>
    </xf>
    <xf numFmtId="4" fontId="42" fillId="12" borderId="32" xfId="8" applyNumberFormat="1" applyFont="1" applyFill="1" applyBorder="1"/>
    <xf numFmtId="4" fontId="41" fillId="12" borderId="32" xfId="6" applyNumberFormat="1" applyFont="1" applyFill="1" applyBorder="1"/>
    <xf numFmtId="10" fontId="41" fillId="12" borderId="32" xfId="6" applyNumberFormat="1" applyFont="1" applyFill="1" applyBorder="1"/>
    <xf numFmtId="169" fontId="42" fillId="12" borderId="32" xfId="8" applyNumberFormat="1" applyFont="1" applyFill="1" applyBorder="1"/>
    <xf numFmtId="0" fontId="55" fillId="7" borderId="0" xfId="0" applyFont="1" applyFill="1"/>
    <xf numFmtId="0" fontId="48" fillId="11" borderId="7" xfId="0" applyFont="1" applyFill="1" applyBorder="1"/>
    <xf numFmtId="0" fontId="48" fillId="11" borderId="3" xfId="0" applyFont="1" applyFill="1" applyBorder="1"/>
    <xf numFmtId="0" fontId="48" fillId="11" borderId="11" xfId="0" applyFont="1" applyFill="1" applyBorder="1" applyAlignment="1">
      <alignment horizontal="center"/>
    </xf>
    <xf numFmtId="0" fontId="48" fillId="11" borderId="3" xfId="0" applyFont="1" applyFill="1" applyBorder="1" applyAlignment="1">
      <alignment horizontal="center"/>
    </xf>
    <xf numFmtId="0" fontId="44" fillId="11" borderId="7" xfId="0" applyFont="1" applyFill="1" applyBorder="1"/>
    <xf numFmtId="0" fontId="56" fillId="11" borderId="0" xfId="0" applyFont="1" applyFill="1" applyAlignment="1">
      <alignment horizontal="right"/>
    </xf>
    <xf numFmtId="0" fontId="48" fillId="11" borderId="0" xfId="0" applyFont="1" applyFill="1"/>
    <xf numFmtId="0" fontId="30" fillId="11" borderId="13" xfId="0" applyFont="1" applyFill="1" applyBorder="1"/>
    <xf numFmtId="0" fontId="48" fillId="11" borderId="7" xfId="0" applyFont="1" applyFill="1" applyBorder="1" applyAlignment="1">
      <alignment horizontal="left"/>
    </xf>
    <xf numFmtId="0" fontId="44" fillId="7" borderId="0" xfId="0" applyFont="1" applyFill="1"/>
    <xf numFmtId="0" fontId="44" fillId="7" borderId="1" xfId="0" applyFont="1" applyFill="1" applyBorder="1"/>
    <xf numFmtId="0" fontId="44" fillId="7" borderId="6" xfId="0" applyFont="1" applyFill="1" applyBorder="1"/>
    <xf numFmtId="4" fontId="44" fillId="7" borderId="19" xfId="0" applyNumberFormat="1" applyFont="1" applyFill="1" applyBorder="1"/>
    <xf numFmtId="3" fontId="57" fillId="7" borderId="0" xfId="0" applyNumberFormat="1" applyFont="1" applyFill="1"/>
    <xf numFmtId="4" fontId="58" fillId="7" borderId="0" xfId="0" applyNumberFormat="1" applyFont="1" applyFill="1" applyAlignment="1">
      <alignment horizontal="right"/>
    </xf>
    <xf numFmtId="0" fontId="58" fillId="7" borderId="0" xfId="0" applyFont="1" applyFill="1" applyAlignment="1">
      <alignment horizontal="right"/>
    </xf>
    <xf numFmtId="0" fontId="44" fillId="7" borderId="10" xfId="0" applyFont="1" applyFill="1" applyBorder="1"/>
    <xf numFmtId="0" fontId="44" fillId="7" borderId="16" xfId="0" applyFont="1" applyFill="1" applyBorder="1"/>
    <xf numFmtId="0" fontId="44" fillId="7" borderId="22" xfId="0" applyFont="1" applyFill="1" applyBorder="1"/>
    <xf numFmtId="167" fontId="21" fillId="0" borderId="0" xfId="0" applyNumberFormat="1" applyFont="1"/>
    <xf numFmtId="0" fontId="42" fillId="10" borderId="23" xfId="0" applyFont="1" applyFill="1" applyBorder="1"/>
    <xf numFmtId="169" fontId="44" fillId="7" borderId="0" xfId="0" applyNumberFormat="1" applyFont="1" applyFill="1"/>
    <xf numFmtId="0" fontId="21" fillId="2" borderId="9" xfId="0" applyFont="1" applyFill="1" applyBorder="1"/>
    <xf numFmtId="0" fontId="21" fillId="2" borderId="5" xfId="0" applyFont="1" applyFill="1" applyBorder="1"/>
    <xf numFmtId="0" fontId="21" fillId="2" borderId="17" xfId="0" applyFont="1" applyFill="1" applyBorder="1"/>
    <xf numFmtId="0" fontId="21" fillId="2" borderId="15" xfId="0" applyFont="1" applyFill="1" applyBorder="1"/>
    <xf numFmtId="0" fontId="45" fillId="13" borderId="7" xfId="0" applyFont="1" applyFill="1" applyBorder="1"/>
    <xf numFmtId="0" fontId="45" fillId="13" borderId="3" xfId="0" applyFont="1" applyFill="1" applyBorder="1" applyAlignment="1">
      <alignment horizontal="center"/>
    </xf>
    <xf numFmtId="0" fontId="45" fillId="13" borderId="3" xfId="0" applyFont="1" applyFill="1" applyBorder="1"/>
    <xf numFmtId="0" fontId="45" fillId="13" borderId="18" xfId="0" applyFont="1" applyFill="1" applyBorder="1"/>
    <xf numFmtId="0" fontId="21" fillId="2" borderId="21" xfId="0" applyFont="1" applyFill="1" applyBorder="1"/>
    <xf numFmtId="0" fontId="59" fillId="14" borderId="14" xfId="0" applyFont="1" applyFill="1" applyBorder="1"/>
    <xf numFmtId="0" fontId="59" fillId="14" borderId="0" xfId="0" applyFont="1" applyFill="1" applyBorder="1" applyAlignment="1">
      <alignment horizontal="center"/>
    </xf>
    <xf numFmtId="0" fontId="59" fillId="14" borderId="13" xfId="0" applyFont="1" applyFill="1" applyBorder="1" applyAlignment="1">
      <alignment horizontal="center"/>
    </xf>
    <xf numFmtId="0" fontId="59" fillId="14" borderId="31" xfId="0" applyFont="1" applyFill="1" applyBorder="1" applyAlignment="1">
      <alignment horizontal="center"/>
    </xf>
    <xf numFmtId="0" fontId="30" fillId="14" borderId="13" xfId="0" applyFont="1" applyFill="1" applyBorder="1" applyAlignment="1">
      <alignment horizontal="center"/>
    </xf>
    <xf numFmtId="0" fontId="30" fillId="14" borderId="0" xfId="0" applyFont="1" applyFill="1" applyBorder="1" applyAlignment="1">
      <alignment horizontal="center"/>
    </xf>
    <xf numFmtId="0" fontId="59" fillId="14" borderId="14" xfId="0" applyFont="1" applyFill="1" applyBorder="1" applyAlignment="1">
      <alignment horizontal="center"/>
    </xf>
    <xf numFmtId="0" fontId="21" fillId="14" borderId="14" xfId="0" applyFont="1" applyFill="1" applyBorder="1"/>
    <xf numFmtId="0" fontId="21" fillId="14" borderId="0" xfId="0" applyFont="1" applyFill="1" applyBorder="1"/>
    <xf numFmtId="0" fontId="61" fillId="14" borderId="13" xfId="0" applyFont="1" applyFill="1" applyBorder="1" applyAlignment="1">
      <alignment horizontal="center"/>
    </xf>
    <xf numFmtId="0" fontId="21" fillId="14" borderId="0" xfId="0" applyFont="1" applyFill="1" applyBorder="1" applyAlignment="1">
      <alignment horizontal="center"/>
    </xf>
    <xf numFmtId="0" fontId="62" fillId="14" borderId="31" xfId="0" applyFont="1" applyFill="1" applyBorder="1" applyAlignment="1">
      <alignment horizontal="right"/>
    </xf>
    <xf numFmtId="0" fontId="21" fillId="14" borderId="13" xfId="0" applyFont="1" applyFill="1" applyBorder="1"/>
    <xf numFmtId="0" fontId="21" fillId="14" borderId="31" xfId="0" applyFont="1" applyFill="1" applyBorder="1" applyAlignment="1">
      <alignment horizontal="center"/>
    </xf>
    <xf numFmtId="0" fontId="21" fillId="14" borderId="6" xfId="0" applyFont="1" applyFill="1" applyBorder="1"/>
    <xf numFmtId="0" fontId="21" fillId="14" borderId="2" xfId="0" applyFont="1" applyFill="1" applyBorder="1"/>
    <xf numFmtId="0" fontId="21" fillId="14" borderId="1" xfId="0" applyFont="1" applyFill="1" applyBorder="1" applyAlignment="1">
      <alignment horizontal="center"/>
    </xf>
    <xf numFmtId="0" fontId="21" fillId="14" borderId="2" xfId="0" applyFont="1" applyFill="1" applyBorder="1" applyAlignment="1">
      <alignment horizontal="center"/>
    </xf>
    <xf numFmtId="0" fontId="21" fillId="14" borderId="1" xfId="0" applyFont="1" applyFill="1" applyBorder="1"/>
    <xf numFmtId="3" fontId="30" fillId="14" borderId="19" xfId="0" applyNumberFormat="1" applyFont="1" applyFill="1" applyBorder="1" applyAlignment="1">
      <alignment horizontal="center"/>
    </xf>
    <xf numFmtId="0" fontId="63" fillId="2" borderId="0" xfId="0" applyFont="1" applyFill="1" applyBorder="1"/>
    <xf numFmtId="0" fontId="52" fillId="2" borderId="0" xfId="0" applyFont="1" applyFill="1" applyBorder="1" applyAlignment="1">
      <alignment horizontal="left"/>
    </xf>
    <xf numFmtId="0" fontId="30" fillId="2" borderId="13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64" fillId="2" borderId="14" xfId="0" applyFont="1" applyFill="1" applyBorder="1"/>
    <xf numFmtId="0" fontId="64" fillId="2" borderId="31" xfId="0" applyFont="1" applyFill="1" applyBorder="1"/>
    <xf numFmtId="0" fontId="64" fillId="2" borderId="0" xfId="0" applyFont="1" applyFill="1" applyBorder="1"/>
    <xf numFmtId="0" fontId="21" fillId="2" borderId="13" xfId="0" applyFont="1" applyFill="1" applyBorder="1"/>
    <xf numFmtId="3" fontId="64" fillId="2" borderId="0" xfId="0" applyNumberFormat="1" applyFont="1" applyFill="1" applyBorder="1"/>
    <xf numFmtId="0" fontId="21" fillId="16" borderId="4" xfId="0" applyFont="1" applyFill="1" applyBorder="1" applyAlignment="1">
      <alignment horizontal="center"/>
    </xf>
    <xf numFmtId="0" fontId="21" fillId="16" borderId="12" xfId="0" applyFont="1" applyFill="1" applyBorder="1" applyAlignment="1">
      <alignment horizontal="center"/>
    </xf>
    <xf numFmtId="4" fontId="21" fillId="16" borderId="20" xfId="0" applyNumberFormat="1" applyFont="1" applyFill="1" applyBorder="1"/>
    <xf numFmtId="4" fontId="21" fillId="16" borderId="12" xfId="0" applyNumberFormat="1" applyFont="1" applyFill="1" applyBorder="1"/>
    <xf numFmtId="169" fontId="21" fillId="16" borderId="20" xfId="0" applyNumberFormat="1" applyFont="1" applyFill="1" applyBorder="1"/>
    <xf numFmtId="0" fontId="21" fillId="15" borderId="0" xfId="0" applyFont="1" applyFill="1" applyBorder="1"/>
    <xf numFmtId="0" fontId="21" fillId="15" borderId="13" xfId="0" applyFont="1" applyFill="1" applyBorder="1" applyAlignment="1">
      <alignment horizontal="center"/>
    </xf>
    <xf numFmtId="0" fontId="21" fillId="15" borderId="0" xfId="0" applyFont="1" applyFill="1" applyBorder="1" applyAlignment="1">
      <alignment horizontal="center"/>
    </xf>
    <xf numFmtId="0" fontId="21" fillId="15" borderId="31" xfId="0" applyFont="1" applyFill="1" applyBorder="1"/>
    <xf numFmtId="0" fontId="21" fillId="15" borderId="2" xfId="0" applyFont="1" applyFill="1" applyBorder="1"/>
    <xf numFmtId="0" fontId="21" fillId="17" borderId="1" xfId="0" applyFont="1" applyFill="1" applyBorder="1" applyAlignment="1">
      <alignment horizontal="center"/>
    </xf>
    <xf numFmtId="0" fontId="21" fillId="17" borderId="2" xfId="0" applyFont="1" applyFill="1" applyBorder="1" applyAlignment="1">
      <alignment horizontal="center"/>
    </xf>
    <xf numFmtId="4" fontId="21" fillId="17" borderId="19" xfId="0" applyNumberFormat="1" applyFont="1" applyFill="1" applyBorder="1"/>
    <xf numFmtId="4" fontId="21" fillId="17" borderId="2" xfId="0" applyNumberFormat="1" applyFont="1" applyFill="1" applyBorder="1"/>
    <xf numFmtId="169" fontId="21" fillId="17" borderId="19" xfId="0" applyNumberFormat="1" applyFont="1" applyFill="1" applyBorder="1"/>
    <xf numFmtId="0" fontId="21" fillId="2" borderId="0" xfId="0" applyFont="1" applyFill="1" applyBorder="1"/>
    <xf numFmtId="0" fontId="21" fillId="2" borderId="13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1" fillId="2" borderId="14" xfId="0" applyFont="1" applyFill="1" applyBorder="1"/>
    <xf numFmtId="0" fontId="21" fillId="2" borderId="31" xfId="0" applyFont="1" applyFill="1" applyBorder="1"/>
    <xf numFmtId="0" fontId="30" fillId="2" borderId="13" xfId="0" applyFont="1" applyFill="1" applyBorder="1"/>
    <xf numFmtId="0" fontId="21" fillId="2" borderId="2" xfId="0" applyFont="1" applyFill="1" applyBorder="1"/>
    <xf numFmtId="0" fontId="21" fillId="2" borderId="0" xfId="0" applyFont="1" applyFill="1" applyBorder="1" applyAlignment="1">
      <alignment horizontal="right"/>
    </xf>
    <xf numFmtId="4" fontId="21" fillId="2" borderId="31" xfId="0" applyNumberFormat="1" applyFont="1" applyFill="1" applyBorder="1"/>
    <xf numFmtId="4" fontId="21" fillId="2" borderId="0" xfId="0" applyNumberFormat="1" applyFont="1" applyFill="1" applyBorder="1"/>
    <xf numFmtId="169" fontId="21" fillId="2" borderId="0" xfId="0" applyNumberFormat="1" applyFont="1" applyFill="1" applyBorder="1"/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2" borderId="12" xfId="0" applyFont="1" applyFill="1" applyBorder="1"/>
    <xf numFmtId="0" fontId="21" fillId="16" borderId="7" xfId="0" applyFont="1" applyFill="1" applyBorder="1"/>
    <xf numFmtId="0" fontId="21" fillId="16" borderId="3" xfId="0" applyFont="1" applyFill="1" applyBorder="1"/>
    <xf numFmtId="0" fontId="21" fillId="16" borderId="11" xfId="0" applyFont="1" applyFill="1" applyBorder="1" applyAlignment="1">
      <alignment horizontal="center"/>
    </xf>
    <xf numFmtId="0" fontId="21" fillId="16" borderId="3" xfId="0" applyFont="1" applyFill="1" applyBorder="1" applyAlignment="1">
      <alignment horizontal="center"/>
    </xf>
    <xf numFmtId="4" fontId="21" fillId="16" borderId="18" xfId="0" applyNumberFormat="1" applyFont="1" applyFill="1" applyBorder="1"/>
    <xf numFmtId="4" fontId="21" fillId="16" borderId="3" xfId="0" applyNumberFormat="1" applyFont="1" applyFill="1" applyBorder="1"/>
    <xf numFmtId="170" fontId="30" fillId="16" borderId="11" xfId="0" applyNumberFormat="1" applyFont="1" applyFill="1" applyBorder="1"/>
    <xf numFmtId="169" fontId="21" fillId="16" borderId="18" xfId="0" applyNumberFormat="1" applyFont="1" applyFill="1" applyBorder="1"/>
    <xf numFmtId="0" fontId="65" fillId="2" borderId="0" xfId="0" applyFont="1" applyFill="1" applyBorder="1" applyAlignment="1">
      <alignment horizontal="right"/>
    </xf>
    <xf numFmtId="0" fontId="21" fillId="16" borderId="7" xfId="0" applyFont="1" applyFill="1" applyBorder="1" applyAlignment="1">
      <alignment horizontal="right"/>
    </xf>
    <xf numFmtId="0" fontId="21" fillId="2" borderId="1" xfId="0" applyFont="1" applyFill="1" applyBorder="1"/>
    <xf numFmtId="0" fontId="21" fillId="2" borderId="6" xfId="0" applyFont="1" applyFill="1" applyBorder="1"/>
    <xf numFmtId="4" fontId="21" fillId="2" borderId="19" xfId="0" applyNumberFormat="1" applyFont="1" applyFill="1" applyBorder="1"/>
    <xf numFmtId="3" fontId="61" fillId="2" borderId="0" xfId="0" applyNumberFormat="1" applyFont="1" applyFill="1" applyBorder="1"/>
    <xf numFmtId="4" fontId="61" fillId="2" borderId="0" xfId="0" applyNumberFormat="1" applyFont="1" applyFill="1" applyBorder="1" applyAlignment="1">
      <alignment horizontal="right"/>
    </xf>
    <xf numFmtId="3" fontId="61" fillId="2" borderId="0" xfId="0" applyNumberFormat="1" applyFont="1" applyFill="1" applyBorder="1" applyAlignment="1">
      <alignment horizontal="right"/>
    </xf>
    <xf numFmtId="0" fontId="21" fillId="2" borderId="0" xfId="0" applyFont="1" applyFill="1"/>
    <xf numFmtId="0" fontId="61" fillId="2" borderId="0" xfId="0" applyFont="1" applyFill="1" applyBorder="1" applyAlignment="1">
      <alignment horizontal="right"/>
    </xf>
    <xf numFmtId="0" fontId="21" fillId="2" borderId="10" xfId="0" applyFont="1" applyFill="1" applyBorder="1"/>
    <xf numFmtId="0" fontId="21" fillId="2" borderId="16" xfId="0" applyFont="1" applyFill="1" applyBorder="1"/>
    <xf numFmtId="0" fontId="21" fillId="2" borderId="22" xfId="0" applyFont="1" applyFill="1" applyBorder="1"/>
    <xf numFmtId="0" fontId="48" fillId="7" borderId="0" xfId="0" applyFont="1" applyFill="1" applyBorder="1" applyAlignment="1">
      <alignment horizontal="left" vertical="center" wrapText="1"/>
    </xf>
    <xf numFmtId="0" fontId="41" fillId="5" borderId="23" xfId="6" applyFont="1" applyAlignment="1">
      <alignment horizontal="center" vertical="center"/>
    </xf>
    <xf numFmtId="0" fontId="21" fillId="2" borderId="8" xfId="0" applyFont="1" applyFill="1" applyBorder="1" applyAlignment="1">
      <alignment horizontal="center" vertical="center" wrapText="1"/>
    </xf>
    <xf numFmtId="0" fontId="21" fillId="15" borderId="8" xfId="0" applyFont="1" applyFill="1" applyBorder="1" applyAlignment="1">
      <alignment horizontal="center" vertical="center" wrapText="1"/>
    </xf>
    <xf numFmtId="10" fontId="21" fillId="0" borderId="11" xfId="690" applyNumberFormat="1" applyFont="1" applyBorder="1"/>
    <xf numFmtId="0" fontId="66" fillId="15" borderId="12" xfId="0" applyFont="1" applyFill="1" applyBorder="1" applyAlignment="1">
      <alignment horizontal="left"/>
    </xf>
    <xf numFmtId="170" fontId="21" fillId="16" borderId="4" xfId="0" applyNumberFormat="1" applyFont="1" applyFill="1" applyBorder="1"/>
    <xf numFmtId="0" fontId="21" fillId="15" borderId="13" xfId="0" applyFont="1" applyFill="1" applyBorder="1"/>
    <xf numFmtId="170" fontId="21" fillId="17" borderId="1" xfId="0" applyNumberFormat="1" applyFont="1" applyFill="1" applyBorder="1"/>
    <xf numFmtId="170" fontId="21" fillId="2" borderId="13" xfId="0" applyNumberFormat="1" applyFont="1" applyFill="1" applyBorder="1"/>
    <xf numFmtId="0" fontId="67" fillId="15" borderId="12" xfId="0" applyFont="1" applyFill="1" applyBorder="1" applyAlignment="1">
      <alignment horizontal="left"/>
    </xf>
    <xf numFmtId="0" fontId="67" fillId="15" borderId="2" xfId="0" applyFont="1" applyFill="1" applyBorder="1" applyAlignment="1">
      <alignment horizontal="left"/>
    </xf>
    <xf numFmtId="0" fontId="22" fillId="7" borderId="15" xfId="0" applyFont="1" applyFill="1" applyBorder="1"/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center"/>
    </xf>
    <xf numFmtId="0" fontId="23" fillId="12" borderId="32" xfId="6" applyFont="1" applyFill="1" applyBorder="1" applyAlignment="1">
      <alignment horizontal="center" vertical="center"/>
    </xf>
    <xf numFmtId="4" fontId="24" fillId="12" borderId="32" xfId="8" applyNumberFormat="1" applyFont="1" applyFill="1" applyBorder="1"/>
    <xf numFmtId="4" fontId="23" fillId="12" borderId="32" xfId="6" applyNumberFormat="1" applyFont="1" applyFill="1" applyBorder="1"/>
    <xf numFmtId="10" fontId="23" fillId="12" borderId="32" xfId="6" applyNumberFormat="1" applyFont="1" applyFill="1" applyBorder="1"/>
    <xf numFmtId="169" fontId="24" fillId="12" borderId="32" xfId="8" applyNumberFormat="1" applyFont="1" applyFill="1" applyBorder="1"/>
    <xf numFmtId="0" fontId="22" fillId="7" borderId="21" xfId="0" applyFont="1" applyFill="1" applyBorder="1"/>
    <xf numFmtId="0" fontId="22" fillId="11" borderId="4" xfId="0" applyFont="1" applyFill="1" applyBorder="1" applyAlignment="1">
      <alignment horizontal="center"/>
    </xf>
    <xf numFmtId="0" fontId="22" fillId="11" borderId="12" xfId="0" applyFont="1" applyFill="1" applyBorder="1" applyAlignment="1">
      <alignment horizontal="center"/>
    </xf>
    <xf numFmtId="4" fontId="24" fillId="6" borderId="23" xfId="8" applyNumberFormat="1" applyFont="1"/>
    <xf numFmtId="4" fontId="23" fillId="5" borderId="23" xfId="6" applyNumberFormat="1" applyFont="1"/>
    <xf numFmtId="10" fontId="23" fillId="5" borderId="23" xfId="6" applyNumberFormat="1" applyFont="1"/>
    <xf numFmtId="169" fontId="24" fillId="6" borderId="23" xfId="8" applyNumberFormat="1" applyFont="1"/>
    <xf numFmtId="0" fontId="22" fillId="11" borderId="1" xfId="0" applyFont="1" applyFill="1" applyBorder="1" applyAlignment="1">
      <alignment horizontal="center"/>
    </xf>
    <xf numFmtId="0" fontId="22" fillId="11" borderId="2" xfId="0" applyFont="1" applyFill="1" applyBorder="1" applyAlignment="1">
      <alignment horizontal="center"/>
    </xf>
    <xf numFmtId="0" fontId="22" fillId="7" borderId="0" xfId="0" applyFont="1" applyFill="1" applyBorder="1" applyAlignment="1">
      <alignment horizontal="left" vertical="center" wrapText="1"/>
    </xf>
    <xf numFmtId="0" fontId="22" fillId="11" borderId="13" xfId="0" applyFont="1" applyFill="1" applyBorder="1" applyAlignment="1">
      <alignment horizontal="center"/>
    </xf>
    <xf numFmtId="0" fontId="23" fillId="5" borderId="23" xfId="6" applyFont="1" applyAlignment="1">
      <alignment horizontal="center" vertical="center"/>
    </xf>
    <xf numFmtId="0" fontId="66" fillId="2" borderId="12" xfId="0" applyFont="1" applyFill="1" applyBorder="1" applyAlignment="1">
      <alignment horizontal="left"/>
    </xf>
    <xf numFmtId="0" fontId="68" fillId="0" borderId="27" xfId="322" applyFont="1"/>
    <xf numFmtId="0" fontId="69" fillId="0" borderId="43" xfId="324" applyFont="1" applyBorder="1" applyAlignment="1">
      <alignment wrapText="1"/>
    </xf>
    <xf numFmtId="0" fontId="71" fillId="26" borderId="45" xfId="9" applyFont="1" applyFill="1" applyBorder="1"/>
    <xf numFmtId="0" fontId="29" fillId="9" borderId="31" xfId="0" applyFont="1" applyFill="1" applyBorder="1" applyAlignment="1">
      <alignment horizontal="center" vertical="center" wrapText="1"/>
    </xf>
    <xf numFmtId="3" fontId="61" fillId="2" borderId="0" xfId="0" applyNumberFormat="1" applyFont="1" applyFill="1"/>
    <xf numFmtId="0" fontId="61" fillId="2" borderId="0" xfId="0" applyFont="1" applyFill="1" applyAlignment="1">
      <alignment horizontal="right"/>
    </xf>
    <xf numFmtId="4" fontId="21" fillId="2" borderId="0" xfId="0" applyNumberFormat="1" applyFont="1" applyFill="1"/>
    <xf numFmtId="3" fontId="61" fillId="2" borderId="0" xfId="0" applyNumberFormat="1" applyFont="1" applyFill="1" applyAlignment="1">
      <alignment horizontal="right"/>
    </xf>
    <xf numFmtId="4" fontId="61" fillId="2" borderId="0" xfId="0" applyNumberFormat="1" applyFont="1" applyFill="1" applyAlignment="1">
      <alignment horizontal="right"/>
    </xf>
    <xf numFmtId="169" fontId="21" fillId="2" borderId="0" xfId="0" applyNumberFormat="1" applyFont="1" applyFill="1"/>
    <xf numFmtId="0" fontId="21" fillId="2" borderId="0" xfId="0" applyFont="1" applyFill="1" applyAlignment="1">
      <alignment horizontal="center"/>
    </xf>
    <xf numFmtId="0" fontId="65" fillId="2" borderId="0" xfId="0" applyFont="1" applyFill="1" applyAlignment="1">
      <alignment horizontal="right"/>
    </xf>
    <xf numFmtId="0" fontId="63" fillId="2" borderId="0" xfId="0" applyFont="1" applyFill="1"/>
    <xf numFmtId="0" fontId="22" fillId="11" borderId="0" xfId="0" applyFont="1" applyFill="1" applyAlignment="1">
      <alignment horizontal="center"/>
    </xf>
    <xf numFmtId="0" fontId="22" fillId="2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1" fillId="15" borderId="0" xfId="0" applyFont="1" applyFill="1"/>
    <xf numFmtId="0" fontId="21" fillId="15" borderId="0" xfId="0" applyFont="1" applyFill="1" applyAlignment="1">
      <alignment horizontal="center"/>
    </xf>
    <xf numFmtId="0" fontId="21" fillId="2" borderId="0" xfId="0" applyFont="1" applyFill="1" applyAlignment="1">
      <alignment horizontal="right"/>
    </xf>
    <xf numFmtId="3" fontId="64" fillId="2" borderId="0" xfId="0" applyNumberFormat="1" applyFont="1" applyFill="1"/>
    <xf numFmtId="0" fontId="64" fillId="2" borderId="0" xfId="0" applyFont="1" applyFill="1"/>
    <xf numFmtId="0" fontId="30" fillId="2" borderId="0" xfId="0" applyFont="1" applyFill="1" applyAlignment="1">
      <alignment horizontal="center"/>
    </xf>
    <xf numFmtId="0" fontId="52" fillId="2" borderId="0" xfId="0" applyFont="1" applyFill="1" applyAlignment="1">
      <alignment horizontal="left"/>
    </xf>
    <xf numFmtId="0" fontId="21" fillId="14" borderId="0" xfId="0" applyFont="1" applyFill="1"/>
    <xf numFmtId="0" fontId="21" fillId="14" borderId="0" xfId="0" applyFont="1" applyFill="1" applyAlignment="1">
      <alignment horizontal="center"/>
    </xf>
    <xf numFmtId="0" fontId="59" fillId="14" borderId="0" xfId="0" applyFont="1" applyFill="1" applyAlignment="1">
      <alignment horizontal="center"/>
    </xf>
    <xf numFmtId="0" fontId="30" fillId="14" borderId="0" xfId="0" applyFont="1" applyFill="1" applyAlignment="1">
      <alignment horizontal="center"/>
    </xf>
    <xf numFmtId="43" fontId="43" fillId="0" borderId="0" xfId="5" applyFont="1" applyBorder="1" applyAlignment="1">
      <alignment horizontal="center" vertical="center" wrapText="1"/>
    </xf>
    <xf numFmtId="10" fontId="42" fillId="10" borderId="23" xfId="690" applyNumberFormat="1" applyFont="1" applyFill="1" applyBorder="1"/>
    <xf numFmtId="0" fontId="40" fillId="0" borderId="0" xfId="0" applyFont="1"/>
    <xf numFmtId="171" fontId="20" fillId="0" borderId="0" xfId="0" applyNumberFormat="1" applyFont="1" applyAlignment="1">
      <alignment horizontal="right" vertical="center"/>
    </xf>
    <xf numFmtId="169" fontId="24" fillId="6" borderId="23" xfId="8" applyNumberFormat="1" applyFont="1" applyAlignment="1">
      <alignment vertical="center"/>
    </xf>
    <xf numFmtId="0" fontId="31" fillId="7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4" fontId="31" fillId="7" borderId="0" xfId="0" applyNumberFormat="1" applyFont="1" applyFill="1" applyAlignment="1">
      <alignment horizontal="right" vertical="center"/>
    </xf>
    <xf numFmtId="10" fontId="23" fillId="5" borderId="23" xfId="6" applyNumberFormat="1" applyFont="1" applyAlignment="1">
      <alignment vertical="center"/>
    </xf>
    <xf numFmtId="4" fontId="24" fillId="6" borderId="23" xfId="8" applyNumberFormat="1" applyFont="1" applyAlignment="1">
      <alignment vertical="center"/>
    </xf>
    <xf numFmtId="4" fontId="23" fillId="5" borderId="23" xfId="6" applyNumberFormat="1" applyFont="1" applyAlignment="1">
      <alignment vertical="center"/>
    </xf>
    <xf numFmtId="3" fontId="33" fillId="7" borderId="0" xfId="0" applyNumberFormat="1" applyFont="1" applyFill="1" applyAlignment="1">
      <alignment vertical="center"/>
    </xf>
    <xf numFmtId="0" fontId="33" fillId="7" borderId="0" xfId="0" applyFont="1" applyFill="1" applyAlignment="1">
      <alignment vertical="center"/>
    </xf>
    <xf numFmtId="0" fontId="32" fillId="7" borderId="0" xfId="0" applyFont="1" applyFill="1" applyAlignment="1">
      <alignment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vertical="center"/>
    </xf>
    <xf numFmtId="4" fontId="20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171" fontId="20" fillId="0" borderId="0" xfId="0" applyNumberFormat="1" applyFont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4" fontId="20" fillId="0" borderId="16" xfId="0" applyNumberFormat="1" applyFont="1" applyBorder="1" applyAlignment="1">
      <alignment horizontal="left" vertical="center"/>
    </xf>
    <xf numFmtId="4" fontId="20" fillId="0" borderId="16" xfId="0" applyNumberFormat="1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horizontal="left" vertical="center"/>
    </xf>
    <xf numFmtId="171" fontId="20" fillId="0" borderId="16" xfId="0" applyNumberFormat="1" applyFont="1" applyBorder="1" applyAlignment="1">
      <alignment horizontal="left" vertical="center"/>
    </xf>
    <xf numFmtId="171" fontId="20" fillId="0" borderId="16" xfId="0" applyNumberFormat="1" applyFont="1" applyBorder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20" fillId="4" borderId="0" xfId="0" applyFont="1" applyFill="1" applyAlignment="1">
      <alignment vertical="center"/>
    </xf>
    <xf numFmtId="10" fontId="23" fillId="21" borderId="23" xfId="6" applyNumberFormat="1" applyFont="1" applyFill="1" applyAlignment="1">
      <alignment vertical="center"/>
    </xf>
    <xf numFmtId="0" fontId="29" fillId="9" borderId="0" xfId="0" applyFont="1" applyFill="1" applyAlignment="1">
      <alignment horizontal="center" vertical="center"/>
    </xf>
    <xf numFmtId="172" fontId="29" fillId="0" borderId="0" xfId="0" applyNumberFormat="1" applyFont="1"/>
    <xf numFmtId="0" fontId="29" fillId="0" borderId="0" xfId="0" applyFont="1"/>
    <xf numFmtId="43" fontId="21" fillId="0" borderId="0" xfId="0" applyNumberFormat="1" applyFont="1"/>
    <xf numFmtId="0" fontId="21" fillId="0" borderId="35" xfId="0" applyFont="1" applyBorder="1" applyAlignment="1">
      <alignment vertical="center"/>
    </xf>
    <xf numFmtId="43" fontId="21" fillId="0" borderId="0" xfId="5" applyFont="1" applyFill="1" applyBorder="1"/>
    <xf numFmtId="0" fontId="26" fillId="0" borderId="0" xfId="0" applyFont="1" applyAlignment="1">
      <alignment vertical="center"/>
    </xf>
    <xf numFmtId="4" fontId="20" fillId="0" borderId="41" xfId="0" applyNumberFormat="1" applyFont="1" applyBorder="1" applyAlignment="1">
      <alignment vertical="center"/>
    </xf>
    <xf numFmtId="171" fontId="20" fillId="0" borderId="0" xfId="0" applyNumberFormat="1" applyFont="1" applyAlignment="1">
      <alignment horizontal="left" vertical="center" wrapText="1"/>
    </xf>
    <xf numFmtId="10" fontId="21" fillId="27" borderId="5" xfId="690" applyNumberFormat="1" applyFont="1" applyFill="1" applyBorder="1"/>
    <xf numFmtId="0" fontId="20" fillId="0" borderId="0" xfId="0" applyFont="1" applyAlignment="1">
      <alignment horizontal="center" vertical="center" wrapText="1"/>
    </xf>
    <xf numFmtId="171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vertical="center"/>
    </xf>
    <xf numFmtId="10" fontId="21" fillId="27" borderId="0" xfId="690" applyNumberFormat="1" applyFont="1" applyFill="1" applyBorder="1"/>
    <xf numFmtId="43" fontId="21" fillId="0" borderId="5" xfId="5" applyNumberFormat="1" applyFont="1" applyBorder="1"/>
    <xf numFmtId="0" fontId="79" fillId="18" borderId="47" xfId="0" applyFont="1" applyFill="1" applyBorder="1" applyAlignment="1">
      <alignment horizontal="left" vertical="center"/>
    </xf>
    <xf numFmtId="0" fontId="83" fillId="10" borderId="8" xfId="0" applyFont="1" applyFill="1" applyBorder="1" applyAlignment="1">
      <alignment horizontal="left" vertical="center" wrapText="1"/>
    </xf>
    <xf numFmtId="0" fontId="70" fillId="0" borderId="0" xfId="0" applyFont="1"/>
    <xf numFmtId="0" fontId="84" fillId="0" borderId="0" xfId="9" applyFont="1"/>
    <xf numFmtId="0" fontId="85" fillId="13" borderId="7" xfId="0" applyFont="1" applyFill="1" applyBorder="1"/>
    <xf numFmtId="0" fontId="82" fillId="0" borderId="0" xfId="0" applyFont="1"/>
    <xf numFmtId="0" fontId="79" fillId="3" borderId="11" xfId="0" applyFont="1" applyFill="1" applyBorder="1" applyAlignment="1">
      <alignment horizontal="center" vertical="center" wrapText="1"/>
    </xf>
    <xf numFmtId="0" fontId="20" fillId="18" borderId="0" xfId="0" applyFont="1" applyFill="1" applyBorder="1" applyAlignment="1">
      <alignment vertical="center"/>
    </xf>
    <xf numFmtId="0" fontId="82" fillId="0" borderId="0" xfId="0" applyFont="1" applyBorder="1"/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/>
    </xf>
    <xf numFmtId="43" fontId="21" fillId="0" borderId="0" xfId="5" applyNumberFormat="1" applyFont="1" applyBorder="1"/>
    <xf numFmtId="171" fontId="79" fillId="0" borderId="5" xfId="0" applyNumberFormat="1" applyFont="1" applyBorder="1" applyAlignment="1">
      <alignment horizontal="right" vertical="center"/>
    </xf>
    <xf numFmtId="0" fontId="82" fillId="0" borderId="5" xfId="0" applyFont="1" applyBorder="1" applyAlignment="1">
      <alignment horizontal="left" vertical="top"/>
    </xf>
    <xf numFmtId="0" fontId="82" fillId="0" borderId="5" xfId="0" applyFont="1" applyBorder="1" applyAlignment="1">
      <alignment horizontal="left"/>
    </xf>
    <xf numFmtId="43" fontId="82" fillId="0" borderId="5" xfId="0" applyNumberFormat="1" applyFont="1" applyBorder="1"/>
    <xf numFmtId="0" fontId="20" fillId="21" borderId="0" xfId="0" applyFont="1" applyFill="1" applyBorder="1" applyAlignment="1">
      <alignment vertical="center"/>
    </xf>
    <xf numFmtId="171" fontId="79" fillId="0" borderId="0" xfId="0" applyNumberFormat="1" applyFont="1" applyBorder="1" applyAlignment="1">
      <alignment horizontal="right" vertical="center"/>
    </xf>
    <xf numFmtId="0" fontId="82" fillId="0" borderId="0" xfId="0" applyFont="1" applyBorder="1" applyAlignment="1">
      <alignment horizontal="left" vertical="top"/>
    </xf>
    <xf numFmtId="0" fontId="82" fillId="0" borderId="0" xfId="0" applyFont="1" applyBorder="1" applyAlignment="1">
      <alignment horizontal="left"/>
    </xf>
    <xf numFmtId="43" fontId="82" fillId="0" borderId="0" xfId="0" applyNumberFormat="1" applyFont="1" applyBorder="1"/>
    <xf numFmtId="0" fontId="79" fillId="18" borderId="0" xfId="0" applyFont="1" applyFill="1" applyBorder="1" applyAlignment="1">
      <alignment vertical="center"/>
    </xf>
    <xf numFmtId="0" fontId="22" fillId="11" borderId="0" xfId="0" applyFont="1" applyFill="1" applyBorder="1" applyAlignment="1">
      <alignment horizontal="center" vertical="center"/>
    </xf>
    <xf numFmtId="0" fontId="79" fillId="0" borderId="40" xfId="0" applyFont="1" applyBorder="1" applyAlignment="1">
      <alignment vertical="center"/>
    </xf>
    <xf numFmtId="171" fontId="17" fillId="0" borderId="0" xfId="684" applyNumberFormat="1" applyAlignment="1" applyProtection="1">
      <alignment horizontal="left" vertical="center"/>
    </xf>
    <xf numFmtId="0" fontId="22" fillId="11" borderId="13" xfId="0" applyFont="1" applyFill="1" applyBorder="1" applyAlignment="1">
      <alignment horizontal="center" vertical="center"/>
    </xf>
    <xf numFmtId="4" fontId="24" fillId="6" borderId="50" xfId="8" applyNumberFormat="1" applyFont="1" applyBorder="1" applyAlignment="1">
      <alignment vertical="center"/>
    </xf>
    <xf numFmtId="4" fontId="23" fillId="5" borderId="50" xfId="6" applyNumberFormat="1" applyFont="1" applyBorder="1" applyAlignment="1">
      <alignment vertical="center"/>
    </xf>
    <xf numFmtId="10" fontId="23" fillId="21" borderId="50" xfId="6" applyNumberFormat="1" applyFont="1" applyFill="1" applyBorder="1" applyAlignment="1">
      <alignment vertical="center"/>
    </xf>
    <xf numFmtId="169" fontId="24" fillId="6" borderId="50" xfId="8" applyNumberFormat="1" applyFont="1" applyBorder="1" applyAlignment="1">
      <alignment vertical="center"/>
    </xf>
    <xf numFmtId="0" fontId="22" fillId="23" borderId="13" xfId="0" applyFont="1" applyFill="1" applyBorder="1" applyAlignment="1">
      <alignment horizontal="center" vertical="center"/>
    </xf>
    <xf numFmtId="4" fontId="24" fillId="6" borderId="33" xfId="8" applyNumberFormat="1" applyFont="1" applyBorder="1" applyAlignment="1">
      <alignment vertical="center"/>
    </xf>
    <xf numFmtId="4" fontId="23" fillId="5" borderId="33" xfId="6" applyNumberFormat="1" applyFont="1" applyBorder="1" applyAlignment="1">
      <alignment vertical="center"/>
    </xf>
    <xf numFmtId="10" fontId="23" fillId="21" borderId="33" xfId="6" applyNumberFormat="1" applyFont="1" applyFill="1" applyBorder="1" applyAlignment="1">
      <alignment vertical="center"/>
    </xf>
    <xf numFmtId="169" fontId="24" fillId="6" borderId="33" xfId="8" applyNumberFormat="1" applyFont="1" applyBorder="1" applyAlignment="1">
      <alignment vertical="center"/>
    </xf>
    <xf numFmtId="0" fontId="78" fillId="20" borderId="4" xfId="0" applyFont="1" applyFill="1" applyBorder="1" applyAlignment="1">
      <alignment horizontal="center" vertical="center"/>
    </xf>
    <xf numFmtId="0" fontId="86" fillId="7" borderId="0" xfId="0" applyFont="1" applyFill="1" applyAlignment="1">
      <alignment horizontal="right" vertical="center"/>
    </xf>
    <xf numFmtId="0" fontId="82" fillId="0" borderId="46" xfId="9" applyFont="1" applyFill="1" applyBorder="1"/>
    <xf numFmtId="0" fontId="82" fillId="0" borderId="0" xfId="9" applyFont="1" applyFill="1" applyBorder="1"/>
    <xf numFmtId="0" fontId="82" fillId="0" borderId="41" xfId="0" applyFont="1" applyBorder="1"/>
    <xf numFmtId="0" fontId="82" fillId="15" borderId="13" xfId="0" applyFont="1" applyFill="1" applyBorder="1" applyAlignment="1">
      <alignment horizontal="center"/>
    </xf>
    <xf numFmtId="0" fontId="82" fillId="15" borderId="0" xfId="0" applyFont="1" applyFill="1" applyAlignment="1">
      <alignment horizontal="center"/>
    </xf>
    <xf numFmtId="0" fontId="82" fillId="16" borderId="4" xfId="0" applyFont="1" applyFill="1" applyBorder="1" applyAlignment="1">
      <alignment horizontal="center"/>
    </xf>
    <xf numFmtId="0" fontId="79" fillId="18" borderId="21" xfId="0" applyFont="1" applyFill="1" applyBorder="1" applyAlignment="1">
      <alignment horizontal="center" vertical="center"/>
    </xf>
    <xf numFmtId="171" fontId="82" fillId="0" borderId="5" xfId="0" applyNumberFormat="1" applyFont="1" applyBorder="1" applyAlignment="1">
      <alignment horizontal="left" vertical="center"/>
    </xf>
    <xf numFmtId="171" fontId="82" fillId="0" borderId="0" xfId="0" applyNumberFormat="1" applyFont="1" applyBorder="1" applyAlignment="1">
      <alignment horizontal="left" vertical="center"/>
    </xf>
    <xf numFmtId="0" fontId="82" fillId="0" borderId="0" xfId="0" applyFont="1" applyAlignment="1">
      <alignment vertical="center"/>
    </xf>
    <xf numFmtId="0" fontId="82" fillId="0" borderId="0" xfId="0" applyFont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83" fillId="10" borderId="20" xfId="0" applyFont="1" applyFill="1" applyBorder="1" applyAlignment="1">
      <alignment horizontal="left" vertical="center" wrapText="1"/>
    </xf>
    <xf numFmtId="0" fontId="83" fillId="10" borderId="6" xfId="0" applyFont="1" applyFill="1" applyBorder="1" applyAlignment="1">
      <alignment horizontal="left" vertical="center" wrapText="1"/>
    </xf>
    <xf numFmtId="0" fontId="83" fillId="10" borderId="19" xfId="0" applyFont="1" applyFill="1" applyBorder="1" applyAlignment="1">
      <alignment horizontal="left" vertical="center" wrapText="1"/>
    </xf>
    <xf numFmtId="43" fontId="82" fillId="0" borderId="0" xfId="0" applyNumberFormat="1" applyFont="1" applyBorder="1" applyAlignment="1">
      <alignment vertical="center"/>
    </xf>
    <xf numFmtId="0" fontId="4" fillId="0" borderId="0" xfId="3"/>
    <xf numFmtId="3" fontId="87" fillId="0" borderId="53" xfId="3" applyNumberFormat="1" applyFont="1" applyBorder="1" applyAlignment="1">
      <alignment horizontal="justify" vertical="center" wrapText="1"/>
    </xf>
    <xf numFmtId="0" fontId="88" fillId="0" borderId="54" xfId="3" applyFont="1" applyBorder="1" applyAlignment="1">
      <alignment horizontal="left" vertical="center" wrapText="1"/>
    </xf>
    <xf numFmtId="0" fontId="88" fillId="28" borderId="56" xfId="3" applyFont="1" applyFill="1" applyBorder="1" applyAlignment="1">
      <alignment horizontal="justify" vertical="center" wrapText="1"/>
    </xf>
    <xf numFmtId="3" fontId="87" fillId="0" borderId="55" xfId="3" applyNumberFormat="1" applyFont="1" applyBorder="1" applyAlignment="1">
      <alignment horizontal="justify" vertical="center" wrapText="1"/>
    </xf>
    <xf numFmtId="0" fontId="87" fillId="0" borderId="11" xfId="3" applyFont="1" applyBorder="1" applyAlignment="1">
      <alignment horizontal="justify" vertical="center" wrapText="1"/>
    </xf>
    <xf numFmtId="3" fontId="87" fillId="0" borderId="11" xfId="3" applyNumberFormat="1" applyFont="1" applyBorder="1" applyAlignment="1">
      <alignment horizontal="justify" vertical="center" wrapText="1"/>
    </xf>
    <xf numFmtId="0" fontId="87" fillId="0" borderId="56" xfId="3" applyFont="1" applyBorder="1" applyAlignment="1">
      <alignment horizontal="justify" vertical="center" wrapText="1"/>
    </xf>
    <xf numFmtId="0" fontId="88" fillId="28" borderId="55" xfId="3" applyFont="1" applyFill="1" applyBorder="1" applyAlignment="1">
      <alignment horizontal="center" vertical="center" wrapText="1"/>
    </xf>
    <xf numFmtId="0" fontId="88" fillId="28" borderId="11" xfId="3" applyFont="1" applyFill="1" applyBorder="1" applyAlignment="1">
      <alignment horizontal="center" vertical="center" wrapText="1"/>
    </xf>
    <xf numFmtId="0" fontId="88" fillId="28" borderId="57" xfId="3" applyFont="1" applyFill="1" applyBorder="1" applyAlignment="1">
      <alignment horizontal="center" vertical="center" wrapText="1"/>
    </xf>
    <xf numFmtId="0" fontId="88" fillId="28" borderId="58" xfId="3" applyFont="1" applyFill="1" applyBorder="1" applyAlignment="1">
      <alignment horizontal="center" vertical="center" wrapText="1"/>
    </xf>
    <xf numFmtId="0" fontId="87" fillId="0" borderId="0" xfId="3" applyFont="1"/>
    <xf numFmtId="0" fontId="87" fillId="0" borderId="18" xfId="3" applyFont="1" applyBorder="1"/>
    <xf numFmtId="0" fontId="87" fillId="26" borderId="3" xfId="3" applyFont="1" applyFill="1" applyBorder="1"/>
    <xf numFmtId="3" fontId="87" fillId="26" borderId="3" xfId="3" applyNumberFormat="1" applyFont="1" applyFill="1" applyBorder="1"/>
    <xf numFmtId="0" fontId="87" fillId="26" borderId="7" xfId="3" applyFont="1" applyFill="1" applyBorder="1"/>
    <xf numFmtId="0" fontId="87" fillId="0" borderId="31" xfId="3" applyFont="1" applyBorder="1"/>
    <xf numFmtId="0" fontId="87" fillId="0" borderId="14" xfId="3" applyFont="1" applyBorder="1"/>
    <xf numFmtId="3" fontId="87" fillId="0" borderId="0" xfId="3" applyNumberFormat="1" applyFont="1"/>
    <xf numFmtId="0" fontId="87" fillId="0" borderId="20" xfId="3" applyFont="1" applyBorder="1"/>
    <xf numFmtId="0" fontId="87" fillId="3" borderId="12" xfId="3" applyFont="1" applyFill="1" applyBorder="1"/>
    <xf numFmtId="0" fontId="87" fillId="3" borderId="8" xfId="3" applyFont="1" applyFill="1" applyBorder="1"/>
    <xf numFmtId="14" fontId="4" fillId="0" borderId="0" xfId="3" applyNumberFormat="1"/>
    <xf numFmtId="2" fontId="4" fillId="0" borderId="0" xfId="3" applyNumberFormat="1"/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94" fillId="29" borderId="11" xfId="0" applyFont="1" applyFill="1" applyBorder="1" applyAlignment="1">
      <alignment vertical="center" wrapText="1"/>
    </xf>
    <xf numFmtId="0" fontId="90" fillId="0" borderId="0" xfId="3" applyFont="1" applyAlignment="1">
      <alignment horizontal="center" vertical="top"/>
    </xf>
    <xf numFmtId="0" fontId="88" fillId="28" borderId="59" xfId="3" applyFont="1" applyFill="1" applyBorder="1" applyAlignment="1">
      <alignment horizontal="center" vertical="center" wrapText="1"/>
    </xf>
    <xf numFmtId="0" fontId="88" fillId="28" borderId="56" xfId="3" applyFont="1" applyFill="1" applyBorder="1" applyAlignment="1">
      <alignment horizontal="center" vertical="center" wrapText="1"/>
    </xf>
    <xf numFmtId="0" fontId="87" fillId="0" borderId="11" xfId="3" applyFont="1" applyBorder="1" applyAlignment="1">
      <alignment horizontal="justify" vertical="center" wrapText="1"/>
    </xf>
    <xf numFmtId="0" fontId="87" fillId="0" borderId="55" xfId="3" applyFont="1" applyBorder="1" applyAlignment="1">
      <alignment horizontal="justify" vertical="center" wrapText="1"/>
    </xf>
    <xf numFmtId="0" fontId="29" fillId="18" borderId="11" xfId="0" applyFont="1" applyFill="1" applyBorder="1" applyAlignment="1">
      <alignment horizontal="left" vertical="top" wrapText="1"/>
    </xf>
    <xf numFmtId="0" fontId="45" fillId="8" borderId="7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18" xfId="0" applyFont="1" applyFill="1" applyBorder="1" applyAlignment="1">
      <alignment horizontal="center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14" xfId="0" applyFont="1" applyFill="1" applyBorder="1" applyAlignment="1">
      <alignment horizontal="center" vertical="center"/>
    </xf>
    <xf numFmtId="0" fontId="46" fillId="9" borderId="31" xfId="0" applyFont="1" applyFill="1" applyBorder="1" applyAlignment="1">
      <alignment horizontal="center" vertical="center"/>
    </xf>
    <xf numFmtId="0" fontId="46" fillId="9" borderId="6" xfId="0" applyFont="1" applyFill="1" applyBorder="1" applyAlignment="1">
      <alignment horizontal="center" vertical="center"/>
    </xf>
    <xf numFmtId="0" fontId="46" fillId="9" borderId="19" xfId="0" applyFont="1" applyFill="1" applyBorder="1" applyAlignment="1">
      <alignment horizontal="center" vertical="center"/>
    </xf>
    <xf numFmtId="0" fontId="46" fillId="9" borderId="4" xfId="0" applyFont="1" applyFill="1" applyBorder="1" applyAlignment="1">
      <alignment horizontal="center" vertical="center"/>
    </xf>
    <xf numFmtId="0" fontId="46" fillId="9" borderId="13" xfId="0" applyFont="1" applyFill="1" applyBorder="1" applyAlignment="1">
      <alignment horizontal="center" vertical="center"/>
    </xf>
    <xf numFmtId="0" fontId="46" fillId="9" borderId="1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20" xfId="0" applyFont="1" applyFill="1" applyBorder="1" applyAlignment="1">
      <alignment horizontal="center" vertical="center" wrapText="1"/>
    </xf>
    <xf numFmtId="0" fontId="46" fillId="9" borderId="4" xfId="0" applyFont="1" applyFill="1" applyBorder="1" applyAlignment="1">
      <alignment horizontal="center" vertical="center" wrapText="1"/>
    </xf>
    <xf numFmtId="0" fontId="46" fillId="9" borderId="13" xfId="0" applyFont="1" applyFill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 wrapText="1"/>
    </xf>
    <xf numFmtId="0" fontId="49" fillId="9" borderId="14" xfId="0" applyFont="1" applyFill="1" applyBorder="1" applyAlignment="1">
      <alignment horizontal="center" vertical="center" wrapText="1"/>
    </xf>
    <xf numFmtId="0" fontId="49" fillId="9" borderId="6" xfId="0" applyFont="1" applyFill="1" applyBorder="1" applyAlignment="1">
      <alignment horizontal="center" vertical="center" wrapText="1"/>
    </xf>
    <xf numFmtId="0" fontId="49" fillId="9" borderId="0" xfId="0" applyFont="1" applyFill="1" applyBorder="1" applyAlignment="1">
      <alignment horizontal="center" vertical="center"/>
    </xf>
    <xf numFmtId="0" fontId="49" fillId="9" borderId="2" xfId="0" applyFont="1" applyFill="1" applyBorder="1" applyAlignment="1">
      <alignment horizontal="center" vertical="center"/>
    </xf>
    <xf numFmtId="0" fontId="49" fillId="9" borderId="14" xfId="0" applyFont="1" applyFill="1" applyBorder="1" applyAlignment="1">
      <alignment horizontal="center" vertical="center"/>
    </xf>
    <xf numFmtId="0" fontId="49" fillId="9" borderId="6" xfId="0" applyFont="1" applyFill="1" applyBorder="1" applyAlignment="1">
      <alignment horizontal="center" vertical="center"/>
    </xf>
    <xf numFmtId="3" fontId="50" fillId="9" borderId="13" xfId="0" applyNumberFormat="1" applyFont="1" applyFill="1" applyBorder="1" applyAlignment="1">
      <alignment horizontal="center" vertical="center"/>
    </xf>
    <xf numFmtId="3" fontId="50" fillId="9" borderId="1" xfId="0" applyNumberFormat="1" applyFont="1" applyFill="1" applyBorder="1" applyAlignment="1">
      <alignment horizontal="center" vertical="center"/>
    </xf>
    <xf numFmtId="0" fontId="48" fillId="7" borderId="8" xfId="0" applyFont="1" applyFill="1" applyBorder="1" applyAlignment="1">
      <alignment horizontal="left" vertical="center" wrapText="1"/>
    </xf>
    <xf numFmtId="0" fontId="48" fillId="7" borderId="20" xfId="0" applyFont="1" applyFill="1" applyBorder="1" applyAlignment="1">
      <alignment horizontal="left" vertical="center" wrapText="1"/>
    </xf>
    <xf numFmtId="0" fontId="48" fillId="7" borderId="6" xfId="0" applyFont="1" applyFill="1" applyBorder="1" applyAlignment="1">
      <alignment horizontal="left" vertical="center" wrapText="1"/>
    </xf>
    <xf numFmtId="0" fontId="48" fillId="7" borderId="19" xfId="0" applyFont="1" applyFill="1" applyBorder="1" applyAlignment="1">
      <alignment horizontal="left" vertical="center" wrapText="1"/>
    </xf>
    <xf numFmtId="0" fontId="41" fillId="5" borderId="23" xfId="6" applyFont="1" applyAlignment="1">
      <alignment horizontal="center" vertical="center"/>
    </xf>
    <xf numFmtId="0" fontId="48" fillId="10" borderId="8" xfId="0" applyFont="1" applyFill="1" applyBorder="1" applyAlignment="1">
      <alignment horizontal="left" vertical="center" wrapText="1"/>
    </xf>
    <xf numFmtId="0" fontId="48" fillId="10" borderId="20" xfId="0" applyFont="1" applyFill="1" applyBorder="1" applyAlignment="1">
      <alignment horizontal="left" vertical="center" wrapText="1"/>
    </xf>
    <xf numFmtId="0" fontId="48" fillId="10" borderId="6" xfId="0" applyFont="1" applyFill="1" applyBorder="1" applyAlignment="1">
      <alignment horizontal="left" vertical="center" wrapText="1"/>
    </xf>
    <xf numFmtId="0" fontId="48" fillId="10" borderId="19" xfId="0" applyFont="1" applyFill="1" applyBorder="1" applyAlignment="1">
      <alignment horizontal="left" vertical="center" wrapText="1"/>
    </xf>
    <xf numFmtId="0" fontId="22" fillId="7" borderId="8" xfId="0" applyFont="1" applyFill="1" applyBorder="1" applyAlignment="1">
      <alignment horizontal="left" vertical="center" wrapText="1"/>
    </xf>
    <xf numFmtId="0" fontId="22" fillId="7" borderId="20" xfId="0" applyFont="1" applyFill="1" applyBorder="1" applyAlignment="1">
      <alignment horizontal="left" vertical="center" wrapText="1"/>
    </xf>
    <xf numFmtId="0" fontId="22" fillId="7" borderId="6" xfId="0" applyFont="1" applyFill="1" applyBorder="1" applyAlignment="1">
      <alignment horizontal="left" vertical="center" wrapText="1"/>
    </xf>
    <xf numFmtId="0" fontId="22" fillId="7" borderId="19" xfId="0" applyFont="1" applyFill="1" applyBorder="1" applyAlignment="1">
      <alignment horizontal="left" vertical="center" wrapText="1"/>
    </xf>
    <xf numFmtId="0" fontId="23" fillId="5" borderId="23" xfId="6" applyFont="1" applyAlignment="1">
      <alignment horizontal="center" vertical="center"/>
    </xf>
    <xf numFmtId="0" fontId="30" fillId="14" borderId="6" xfId="0" applyFont="1" applyFill="1" applyBorder="1" applyAlignment="1">
      <alignment horizontal="center"/>
    </xf>
    <xf numFmtId="0" fontId="30" fillId="14" borderId="19" xfId="0" applyFont="1" applyFill="1" applyBorder="1" applyAlignment="1">
      <alignment horizontal="center"/>
    </xf>
    <xf numFmtId="0" fontId="59" fillId="14" borderId="8" xfId="0" applyFont="1" applyFill="1" applyBorder="1" applyAlignment="1">
      <alignment horizontal="center"/>
    </xf>
    <xf numFmtId="0" fontId="59" fillId="14" borderId="20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 vertical="center"/>
    </xf>
    <xf numFmtId="0" fontId="21" fillId="15" borderId="6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59" fillId="14" borderId="8" xfId="0" applyFont="1" applyFill="1" applyBorder="1" applyAlignment="1">
      <alignment horizontal="center" wrapText="1"/>
    </xf>
    <xf numFmtId="0" fontId="59" fillId="14" borderId="20" xfId="0" applyFont="1" applyFill="1" applyBorder="1" applyAlignment="1">
      <alignment horizontal="center" wrapText="1"/>
    </xf>
    <xf numFmtId="0" fontId="59" fillId="14" borderId="14" xfId="0" applyFont="1" applyFill="1" applyBorder="1" applyAlignment="1">
      <alignment horizontal="center" wrapText="1"/>
    </xf>
    <xf numFmtId="0" fontId="59" fillId="14" borderId="31" xfId="0" applyFont="1" applyFill="1" applyBorder="1" applyAlignment="1">
      <alignment horizontal="center" wrapText="1"/>
    </xf>
    <xf numFmtId="0" fontId="21" fillId="15" borderId="8" xfId="0" applyFont="1" applyFill="1" applyBorder="1" applyAlignment="1">
      <alignment horizontal="center" vertical="center" wrapText="1"/>
    </xf>
    <xf numFmtId="0" fontId="21" fillId="15" borderId="14" xfId="0" applyFont="1" applyFill="1" applyBorder="1" applyAlignment="1">
      <alignment horizontal="center" vertical="center" wrapText="1"/>
    </xf>
    <xf numFmtId="0" fontId="21" fillId="15" borderId="6" xfId="0" applyFont="1" applyFill="1" applyBorder="1" applyAlignment="1">
      <alignment horizontal="center" vertical="center" wrapText="1"/>
    </xf>
    <xf numFmtId="0" fontId="21" fillId="15" borderId="14" xfId="0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left" vertical="center" wrapText="1"/>
    </xf>
    <xf numFmtId="0" fontId="22" fillId="10" borderId="20" xfId="0" applyFont="1" applyFill="1" applyBorder="1" applyAlignment="1">
      <alignment horizontal="left" vertical="center" wrapText="1"/>
    </xf>
    <xf numFmtId="0" fontId="22" fillId="10" borderId="6" xfId="0" applyFont="1" applyFill="1" applyBorder="1" applyAlignment="1">
      <alignment horizontal="left" vertical="center" wrapText="1"/>
    </xf>
    <xf numFmtId="0" fontId="22" fillId="10" borderId="19" xfId="0" applyFont="1" applyFill="1" applyBorder="1" applyAlignment="1">
      <alignment horizontal="left" vertical="center" wrapText="1"/>
    </xf>
    <xf numFmtId="0" fontId="23" fillId="21" borderId="23" xfId="6" applyFont="1" applyFill="1" applyBorder="1" applyAlignment="1">
      <alignment horizontal="center" vertical="center"/>
    </xf>
    <xf numFmtId="0" fontId="25" fillId="10" borderId="8" xfId="0" applyFont="1" applyFill="1" applyBorder="1" applyAlignment="1">
      <alignment horizontal="left" vertical="center" wrapText="1"/>
    </xf>
    <xf numFmtId="0" fontId="25" fillId="10" borderId="20" xfId="0" applyFont="1" applyFill="1" applyBorder="1" applyAlignment="1">
      <alignment horizontal="left" vertical="center" wrapText="1"/>
    </xf>
    <xf numFmtId="0" fontId="25" fillId="10" borderId="6" xfId="0" applyFont="1" applyFill="1" applyBorder="1" applyAlignment="1">
      <alignment horizontal="left" vertical="center" wrapText="1"/>
    </xf>
    <xf numFmtId="0" fontId="25" fillId="10" borderId="19" xfId="0" applyFont="1" applyFill="1" applyBorder="1" applyAlignment="1">
      <alignment horizontal="left" vertical="center" wrapText="1"/>
    </xf>
    <xf numFmtId="2" fontId="23" fillId="21" borderId="23" xfId="6" applyNumberFormat="1" applyFont="1" applyFill="1" applyBorder="1" applyAlignment="1">
      <alignment horizontal="center" vertical="center"/>
    </xf>
    <xf numFmtId="0" fontId="29" fillId="8" borderId="7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29" fillId="8" borderId="18" xfId="0" applyFont="1" applyFill="1" applyBorder="1" applyAlignment="1">
      <alignment horizontal="center" vertical="center" wrapText="1"/>
    </xf>
    <xf numFmtId="0" fontId="29" fillId="9" borderId="8" xfId="0" applyFont="1" applyFill="1" applyBorder="1" applyAlignment="1">
      <alignment horizontal="center" vertical="center"/>
    </xf>
    <xf numFmtId="0" fontId="29" fillId="9" borderId="20" xfId="0" applyFont="1" applyFill="1" applyBorder="1" applyAlignment="1">
      <alignment horizontal="center" vertical="center"/>
    </xf>
    <xf numFmtId="0" fontId="29" fillId="9" borderId="14" xfId="0" applyFont="1" applyFill="1" applyBorder="1" applyAlignment="1">
      <alignment horizontal="center" vertical="center"/>
    </xf>
    <xf numFmtId="0" fontId="29" fillId="9" borderId="31" xfId="0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horizontal="center" vertical="center"/>
    </xf>
    <xf numFmtId="0" fontId="29" fillId="9" borderId="19" xfId="0" applyFont="1" applyFill="1" applyBorder="1" applyAlignment="1">
      <alignment horizontal="center" vertical="center"/>
    </xf>
    <xf numFmtId="0" fontId="29" fillId="9" borderId="4" xfId="0" applyFont="1" applyFill="1" applyBorder="1" applyAlignment="1">
      <alignment horizontal="center" vertical="center"/>
    </xf>
    <xf numFmtId="0" fontId="29" fillId="9" borderId="13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29" fillId="9" borderId="8" xfId="0" applyFont="1" applyFill="1" applyBorder="1" applyAlignment="1">
      <alignment horizontal="center" vertical="center" wrapText="1"/>
    </xf>
    <xf numFmtId="0" fontId="29" fillId="9" borderId="20" xfId="0" applyFont="1" applyFill="1" applyBorder="1" applyAlignment="1">
      <alignment horizontal="center" vertical="center" wrapText="1"/>
    </xf>
    <xf numFmtId="0" fontId="29" fillId="9" borderId="14" xfId="0" applyFont="1" applyFill="1" applyBorder="1" applyAlignment="1">
      <alignment horizontal="center" vertical="center" wrapText="1"/>
    </xf>
    <xf numFmtId="0" fontId="29" fillId="9" borderId="31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29" fillId="9" borderId="13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2" fontId="23" fillId="21" borderId="50" xfId="6" applyNumberFormat="1" applyFont="1" applyFill="1" applyBorder="1" applyAlignment="1">
      <alignment horizontal="center" vertical="center"/>
    </xf>
    <xf numFmtId="2" fontId="23" fillId="21" borderId="33" xfId="6" applyNumberFormat="1" applyFont="1" applyFill="1" applyBorder="1" applyAlignment="1">
      <alignment horizontal="center" vertical="center"/>
    </xf>
    <xf numFmtId="0" fontId="80" fillId="8" borderId="7" xfId="0" applyFont="1" applyFill="1" applyBorder="1" applyAlignment="1">
      <alignment horizontal="center" vertical="center" wrapText="1"/>
    </xf>
    <xf numFmtId="0" fontId="80" fillId="8" borderId="3" xfId="0" applyFont="1" applyFill="1" applyBorder="1" applyAlignment="1">
      <alignment horizontal="center" vertical="center" wrapText="1"/>
    </xf>
    <xf numFmtId="0" fontId="80" fillId="8" borderId="18" xfId="0" applyFont="1" applyFill="1" applyBorder="1" applyAlignment="1">
      <alignment horizontal="center" vertical="center" wrapText="1"/>
    </xf>
    <xf numFmtId="0" fontId="83" fillId="10" borderId="8" xfId="0" applyFont="1" applyFill="1" applyBorder="1" applyAlignment="1">
      <alignment horizontal="left" vertical="center" wrapText="1"/>
    </xf>
    <xf numFmtId="0" fontId="25" fillId="10" borderId="14" xfId="0" applyFont="1" applyFill="1" applyBorder="1" applyAlignment="1">
      <alignment horizontal="left" vertical="center" wrapText="1"/>
    </xf>
    <xf numFmtId="0" fontId="25" fillId="10" borderId="31" xfId="0" applyFont="1" applyFill="1" applyBorder="1" applyAlignment="1">
      <alignment horizontal="left" vertical="center" wrapText="1"/>
    </xf>
    <xf numFmtId="2" fontId="23" fillId="21" borderId="51" xfId="6" applyNumberFormat="1" applyFont="1" applyFill="1" applyBorder="1" applyAlignment="1">
      <alignment horizontal="center" vertical="center"/>
    </xf>
    <xf numFmtId="0" fontId="83" fillId="10" borderId="14" xfId="0" applyFont="1" applyFill="1" applyBorder="1" applyAlignment="1">
      <alignment horizontal="left" vertical="center" wrapText="1"/>
    </xf>
    <xf numFmtId="2" fontId="23" fillId="21" borderId="52" xfId="6" applyNumberFormat="1" applyFont="1" applyFill="1" applyBorder="1" applyAlignment="1">
      <alignment horizontal="center" vertical="center"/>
    </xf>
    <xf numFmtId="0" fontId="83" fillId="10" borderId="20" xfId="0" applyFont="1" applyFill="1" applyBorder="1" applyAlignment="1">
      <alignment horizontal="left" vertical="center" wrapText="1"/>
    </xf>
    <xf numFmtId="0" fontId="83" fillId="10" borderId="6" xfId="0" applyFont="1" applyFill="1" applyBorder="1" applyAlignment="1">
      <alignment horizontal="left" vertical="center" wrapText="1"/>
    </xf>
    <xf numFmtId="0" fontId="83" fillId="10" borderId="19" xfId="0" applyFont="1" applyFill="1" applyBorder="1" applyAlignment="1">
      <alignment horizontal="left" vertical="center" wrapText="1"/>
    </xf>
    <xf numFmtId="0" fontId="23" fillId="21" borderId="50" xfId="6" applyFont="1" applyFill="1" applyBorder="1" applyAlignment="1">
      <alignment horizontal="center" vertical="center"/>
    </xf>
    <xf numFmtId="0" fontId="23" fillId="21" borderId="33" xfId="6" applyFont="1" applyFill="1" applyBorder="1" applyAlignment="1">
      <alignment horizontal="center" vertical="center"/>
    </xf>
  </cellXfs>
  <cellStyles count="754">
    <cellStyle name="Calculation" xfId="8" builtinId="22"/>
    <cellStyle name="Comma" xfId="5" builtinId="3"/>
    <cellStyle name="Comma 2" xfId="1" xr:uid="{00000000-0005-0000-0000-000000000000}"/>
    <cellStyle name="Comma 3" xfId="2" xr:uid="{00000000-0005-0000-0000-000001000000}"/>
    <cellStyle name="Explanatory Text" xfId="9" builtinId="53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Heading 1" xfId="322" builtinId="16"/>
    <cellStyle name="Heading 2" xfId="323" builtinId="17"/>
    <cellStyle name="Heading 3" xfId="324" builtinId="18"/>
    <cellStyle name="Heading 4" xfId="325" builtinId="19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684" builtinId="8"/>
    <cellStyle name="Hyperlink 2" xfId="744" xr:uid="{00000000-0005-0000-0000-000002000000}"/>
    <cellStyle name="Input" xfId="6" builtinId="20"/>
    <cellStyle name="Linked Cell" xfId="326" builtinId="24"/>
    <cellStyle name="Normal" xfId="0" builtinId="0"/>
    <cellStyle name="Normal 2" xfId="3" xr:uid="{00000000-0005-0000-0000-000003000000}"/>
    <cellStyle name="Normal 3" xfId="4" xr:uid="{00000000-0005-0000-0000-000004000000}"/>
    <cellStyle name="Normal 5" xfId="579" xr:uid="{00000000-0005-0000-0000-000005000000}"/>
    <cellStyle name="Output" xfId="7" builtinId="21"/>
    <cellStyle name="Percent" xfId="69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pda.gov.pk/htmls/pgeneration-salient.html" TargetMode="External"/><Relationship Id="rId13" Type="http://schemas.openxmlformats.org/officeDocument/2006/relationships/hyperlink" Target="http://www.ppib.gov.pk/N_commissioned_ipps.htm" TargetMode="External"/><Relationship Id="rId18" Type="http://schemas.openxmlformats.org/officeDocument/2006/relationships/hyperlink" Target="http://www.ppib.gov.pk/N_commissioned_ipps.htm" TargetMode="External"/><Relationship Id="rId3" Type="http://schemas.openxmlformats.org/officeDocument/2006/relationships/hyperlink" Target="http://www.wapda.gov.pk/htmls/pgeneration-salient.html" TargetMode="External"/><Relationship Id="rId21" Type="http://schemas.openxmlformats.org/officeDocument/2006/relationships/vmlDrawing" Target="../drawings/vmlDrawing11.vml"/><Relationship Id="rId7" Type="http://schemas.openxmlformats.org/officeDocument/2006/relationships/hyperlink" Target="http://www.wapda.gov.pk/htmls/pgeneration-salient.html" TargetMode="External"/><Relationship Id="rId12" Type="http://schemas.openxmlformats.org/officeDocument/2006/relationships/hyperlink" Target="http://www.investinpakistan.pk/pdf/Power.pdf" TargetMode="External"/><Relationship Id="rId17" Type="http://schemas.openxmlformats.org/officeDocument/2006/relationships/hyperlink" Target="http://www.ppib.gov.pk/N_commissioned_ipps.htm" TargetMode="External"/><Relationship Id="rId2" Type="http://schemas.openxmlformats.org/officeDocument/2006/relationships/hyperlink" Target="http://www.wapda.gov.pk/htmls/pgeneration-salient.html" TargetMode="External"/><Relationship Id="rId16" Type="http://schemas.openxmlformats.org/officeDocument/2006/relationships/hyperlink" Target="http://www.ppib.gov.pk/N_commissioned_ipps.htm" TargetMode="External"/><Relationship Id="rId20" Type="http://schemas.openxmlformats.org/officeDocument/2006/relationships/hyperlink" Target="http://cpec.gov.pk/project-details/1" TargetMode="External"/><Relationship Id="rId1" Type="http://schemas.openxmlformats.org/officeDocument/2006/relationships/hyperlink" Target="http://www.wapda.gov.pk/htmls/pgeneration-salient.html" TargetMode="External"/><Relationship Id="rId6" Type="http://schemas.openxmlformats.org/officeDocument/2006/relationships/hyperlink" Target="http://www.wapda.gov.pk/htmls/pgeneration-salient.html" TargetMode="External"/><Relationship Id="rId11" Type="http://schemas.openxmlformats.org/officeDocument/2006/relationships/hyperlink" Target="http://www.wapda.gov.pk/htmls/pgeneration-salient.html" TargetMode="External"/><Relationship Id="rId5" Type="http://schemas.openxmlformats.org/officeDocument/2006/relationships/hyperlink" Target="http://www.wapda.gov.pk/htmls/pgeneration-salient.html" TargetMode="External"/><Relationship Id="rId15" Type="http://schemas.openxmlformats.org/officeDocument/2006/relationships/hyperlink" Target="http://www.ppib.gov.pk/N_commissioned_ipps.htm" TargetMode="External"/><Relationship Id="rId10" Type="http://schemas.openxmlformats.org/officeDocument/2006/relationships/hyperlink" Target="http://www.wapda.gov.pk/htmls/pgeneration-salient.html" TargetMode="External"/><Relationship Id="rId19" Type="http://schemas.openxmlformats.org/officeDocument/2006/relationships/hyperlink" Target="http://cpec.gov.pk/project-details/2" TargetMode="External"/><Relationship Id="rId4" Type="http://schemas.openxmlformats.org/officeDocument/2006/relationships/hyperlink" Target="http://www.wapda.gov.pk/htmls/pgeneration-salient.html" TargetMode="External"/><Relationship Id="rId9" Type="http://schemas.openxmlformats.org/officeDocument/2006/relationships/hyperlink" Target="http://www.wapda.gov.pk/htmls/pgeneration-salient.html" TargetMode="External"/><Relationship Id="rId14" Type="http://schemas.openxmlformats.org/officeDocument/2006/relationships/hyperlink" Target="http://en.wikipedia.org/wiki/Chashma_Nuclear_Power_Complex" TargetMode="External"/><Relationship Id="rId22" Type="http://schemas.openxmlformats.org/officeDocument/2006/relationships/comments" Target="../comments1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pda.gov.pk/htmls/pgeneration-salient.html" TargetMode="External"/><Relationship Id="rId13" Type="http://schemas.openxmlformats.org/officeDocument/2006/relationships/hyperlink" Target="http://www.ppib.gov.pk/N_commissioned_ipps.htm" TargetMode="External"/><Relationship Id="rId18" Type="http://schemas.openxmlformats.org/officeDocument/2006/relationships/vmlDrawing" Target="../drawings/vmlDrawing5.vml"/><Relationship Id="rId3" Type="http://schemas.openxmlformats.org/officeDocument/2006/relationships/hyperlink" Target="http://www.wapda.gov.pk/htmls/pgeneration-salient.html" TargetMode="External"/><Relationship Id="rId7" Type="http://schemas.openxmlformats.org/officeDocument/2006/relationships/hyperlink" Target="http://www.wapda.gov.pk/htmls/pgeneration-salient.html" TargetMode="External"/><Relationship Id="rId12" Type="http://schemas.openxmlformats.org/officeDocument/2006/relationships/hyperlink" Target="http://www.investinpakistan.pk/pdf/Power.pdf" TargetMode="External"/><Relationship Id="rId17" Type="http://schemas.openxmlformats.org/officeDocument/2006/relationships/hyperlink" Target="http://www.ppib.gov.pk/N_commissioned_ipps.htm" TargetMode="External"/><Relationship Id="rId2" Type="http://schemas.openxmlformats.org/officeDocument/2006/relationships/hyperlink" Target="http://www.wapda.gov.pk/htmls/pgeneration-salient.html" TargetMode="External"/><Relationship Id="rId16" Type="http://schemas.openxmlformats.org/officeDocument/2006/relationships/hyperlink" Target="http://www.ppib.gov.pk/N_commissioned_ipps.htm" TargetMode="External"/><Relationship Id="rId1" Type="http://schemas.openxmlformats.org/officeDocument/2006/relationships/hyperlink" Target="http://www.wapda.gov.pk/htmls/pgeneration-salient.html" TargetMode="External"/><Relationship Id="rId6" Type="http://schemas.openxmlformats.org/officeDocument/2006/relationships/hyperlink" Target="http://www.wapda.gov.pk/htmls/pgeneration-salient.html" TargetMode="External"/><Relationship Id="rId11" Type="http://schemas.openxmlformats.org/officeDocument/2006/relationships/hyperlink" Target="http://www.wapda.gov.pk/htmls/pgeneration-salient.html" TargetMode="External"/><Relationship Id="rId5" Type="http://schemas.openxmlformats.org/officeDocument/2006/relationships/hyperlink" Target="http://www.wapda.gov.pk/htmls/pgeneration-salient.html" TargetMode="External"/><Relationship Id="rId15" Type="http://schemas.openxmlformats.org/officeDocument/2006/relationships/hyperlink" Target="http://www.ppib.gov.pk/N_commissioned_ipps.htm" TargetMode="External"/><Relationship Id="rId10" Type="http://schemas.openxmlformats.org/officeDocument/2006/relationships/hyperlink" Target="http://www.wapda.gov.pk/htmls/pgeneration-salient.html" TargetMode="External"/><Relationship Id="rId19" Type="http://schemas.openxmlformats.org/officeDocument/2006/relationships/comments" Target="../comments5.xml"/><Relationship Id="rId4" Type="http://schemas.openxmlformats.org/officeDocument/2006/relationships/hyperlink" Target="http://www.wapda.gov.pk/htmls/pgeneration-salient.html" TargetMode="External"/><Relationship Id="rId9" Type="http://schemas.openxmlformats.org/officeDocument/2006/relationships/hyperlink" Target="http://www.wapda.gov.pk/htmls/pgeneration-salient.html" TargetMode="External"/><Relationship Id="rId14" Type="http://schemas.openxmlformats.org/officeDocument/2006/relationships/hyperlink" Target="http://en.wikipedia.org/wiki/Chashma_Nuclear_Power_Complex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654B-CBC0-0745-9C46-E063394E4DA2}">
  <dimension ref="C6:D10"/>
  <sheetViews>
    <sheetView tabSelected="1" workbookViewId="0">
      <selection activeCell="F18" sqref="F18"/>
    </sheetView>
  </sheetViews>
  <sheetFormatPr baseColWidth="10" defaultRowHeight="13"/>
  <cols>
    <col min="3" max="3" width="19.33203125" style="549" customWidth="1"/>
    <col min="4" max="4" width="31" style="549" customWidth="1"/>
  </cols>
  <sheetData>
    <row r="6" spans="3:4" ht="14">
      <c r="C6" s="552" t="s">
        <v>359</v>
      </c>
      <c r="D6" s="550" t="s">
        <v>358</v>
      </c>
    </row>
    <row r="7" spans="3:4" ht="28">
      <c r="C7" s="552" t="s">
        <v>360</v>
      </c>
      <c r="D7" s="550" t="s">
        <v>361</v>
      </c>
    </row>
    <row r="8" spans="3:4" ht="14">
      <c r="C8" s="552" t="s">
        <v>365</v>
      </c>
      <c r="D8" s="550" t="s">
        <v>366</v>
      </c>
    </row>
    <row r="9" spans="3:4" ht="14">
      <c r="C9" s="552" t="s">
        <v>362</v>
      </c>
      <c r="D9" s="551">
        <v>2</v>
      </c>
    </row>
    <row r="10" spans="3:4" ht="14">
      <c r="C10" s="552" t="s">
        <v>363</v>
      </c>
      <c r="D10" s="550" t="s">
        <v>364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065B-0C05-B740-A870-902362A44A7C}">
  <dimension ref="A1:N74"/>
  <sheetViews>
    <sheetView zoomScale="67" zoomScaleNormal="150" zoomScalePageLayoutView="150" workbookViewId="0">
      <selection activeCell="L25" sqref="L25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429" t="s">
        <v>343</v>
      </c>
      <c r="B1" s="429"/>
      <c r="C1" s="429"/>
      <c r="D1" s="429"/>
      <c r="E1" s="429"/>
      <c r="F1" s="429"/>
      <c r="G1" s="429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111300</v>
      </c>
      <c r="G3" s="176" t="s">
        <v>1</v>
      </c>
      <c r="I3" s="178" t="s">
        <v>234</v>
      </c>
      <c r="J3" s="179"/>
      <c r="K3" s="180">
        <f>F32*F17</f>
        <v>21933282.175912689</v>
      </c>
      <c r="L3" s="181" t="s">
        <v>9</v>
      </c>
    </row>
    <row r="4" spans="1:12" ht="17" thickBot="1">
      <c r="A4" s="176" t="s">
        <v>53</v>
      </c>
      <c r="B4" s="176"/>
      <c r="F4" s="182">
        <f>SUM(I46:I67)</f>
        <v>11780.35</v>
      </c>
      <c r="G4" s="176" t="s">
        <v>1</v>
      </c>
      <c r="I4" s="183" t="s">
        <v>15</v>
      </c>
      <c r="K4" s="184">
        <f>F33*F18</f>
        <v>945845.21459999995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99519.65</v>
      </c>
      <c r="G5" s="176" t="s">
        <v>1</v>
      </c>
      <c r="I5" s="183" t="s">
        <v>8</v>
      </c>
      <c r="K5" s="186">
        <f>F34*F19</f>
        <v>16897426.760624122</v>
      </c>
      <c r="L5" s="185" t="s">
        <v>9</v>
      </c>
    </row>
    <row r="6" spans="1:12" ht="16">
      <c r="A6" s="176" t="s">
        <v>63</v>
      </c>
      <c r="B6" s="176"/>
      <c r="F6" s="177">
        <v>34633.5</v>
      </c>
      <c r="G6" s="176" t="s">
        <v>1</v>
      </c>
      <c r="I6" s="183" t="s">
        <v>54</v>
      </c>
      <c r="K6" s="187">
        <f>F35*F20</f>
        <v>352924.61958</v>
      </c>
      <c r="L6" s="185" t="s">
        <v>9</v>
      </c>
    </row>
    <row r="7" spans="1:12" ht="16">
      <c r="A7" s="176" t="s">
        <v>64</v>
      </c>
      <c r="B7" s="176"/>
      <c r="F7" s="177">
        <v>4605</v>
      </c>
      <c r="G7" s="176" t="s">
        <v>1</v>
      </c>
      <c r="I7" s="188"/>
      <c r="L7" s="189"/>
    </row>
    <row r="8" spans="1:12" ht="17" thickBot="1">
      <c r="A8" s="176" t="s">
        <v>65</v>
      </c>
      <c r="B8" s="176"/>
      <c r="F8" s="428">
        <f>SUM(F6:F7)/F5</f>
        <v>0.39427891878639043</v>
      </c>
      <c r="G8" s="176"/>
      <c r="I8" s="191" t="s">
        <v>18</v>
      </c>
      <c r="J8" s="192"/>
      <c r="K8" s="193">
        <f>SUM(K3:K6)/F11/1000</f>
        <v>0.69639697556603719</v>
      </c>
      <c r="L8" s="194" t="s">
        <v>10</v>
      </c>
    </row>
    <row r="9" spans="1:12" ht="16">
      <c r="A9" s="176" t="s">
        <v>171</v>
      </c>
      <c r="B9" s="176"/>
      <c r="F9" s="195">
        <v>1166.1600000000001</v>
      </c>
      <c r="G9" s="176" t="s">
        <v>1</v>
      </c>
      <c r="H9" s="176" t="s">
        <v>342</v>
      </c>
      <c r="I9" s="196"/>
      <c r="K9" s="197"/>
      <c r="L9" s="196"/>
    </row>
    <row r="10" spans="1:12" ht="16">
      <c r="A10" s="176" t="s">
        <v>172</v>
      </c>
      <c r="B10" s="176"/>
      <c r="F10" s="195">
        <f>1523.98-20.81-12.61</f>
        <v>1490.5600000000002</v>
      </c>
      <c r="G10" s="176" t="s">
        <v>1</v>
      </c>
      <c r="H10" s="176" t="s">
        <v>342</v>
      </c>
      <c r="I10" s="196"/>
      <c r="K10" s="197"/>
      <c r="L10" s="196"/>
    </row>
    <row r="11" spans="1:12" ht="16">
      <c r="A11" s="176" t="s">
        <v>176</v>
      </c>
      <c r="B11" s="176"/>
      <c r="F11" s="198">
        <f>F5-SUM(F9:F10)-F6-F7</f>
        <v>57624.429999999993</v>
      </c>
      <c r="G11" s="176" t="s">
        <v>1</v>
      </c>
      <c r="H11" s="176"/>
      <c r="I11" s="196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427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341</v>
      </c>
    </row>
    <row r="16" spans="1:12" ht="16">
      <c r="A16" s="176"/>
      <c r="B16" s="176"/>
      <c r="G16" s="202"/>
    </row>
    <row r="17" spans="1:8" ht="16">
      <c r="A17" s="176" t="s">
        <v>232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236</v>
      </c>
      <c r="F22" s="203">
        <v>7288400</v>
      </c>
      <c r="G22" s="202" t="s">
        <v>47</v>
      </c>
      <c r="H22" s="176" t="s">
        <v>340</v>
      </c>
    </row>
    <row r="23" spans="1:8" ht="16">
      <c r="A23" s="176" t="s">
        <v>57</v>
      </c>
      <c r="F23" s="203">
        <v>294755</v>
      </c>
      <c r="G23" s="202" t="s">
        <v>47</v>
      </c>
      <c r="H23" s="176" t="s">
        <v>340</v>
      </c>
    </row>
    <row r="24" spans="1:8" ht="16">
      <c r="A24" s="204" t="s">
        <v>46</v>
      </c>
      <c r="F24" s="203">
        <v>8577146</v>
      </c>
      <c r="G24" s="202" t="s">
        <v>47</v>
      </c>
      <c r="H24" s="176" t="s">
        <v>340</v>
      </c>
    </row>
    <row r="25" spans="1:8" ht="16">
      <c r="A25" s="176" t="s">
        <v>45</v>
      </c>
      <c r="F25" s="203">
        <v>91463</v>
      </c>
      <c r="G25" s="202" t="s">
        <v>47</v>
      </c>
      <c r="H25" s="176" t="s">
        <v>339</v>
      </c>
    </row>
    <row r="27" spans="1:8" ht="16">
      <c r="A27" s="176" t="s">
        <v>236</v>
      </c>
      <c r="F27" s="205">
        <f>F22*$F$15</f>
        <v>322147.28000000003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13028.171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379109.85320000001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4042.6646000000001</v>
      </c>
      <c r="G30" s="202" t="s">
        <v>16</v>
      </c>
      <c r="H30" s="176" t="s">
        <v>52</v>
      </c>
    </row>
    <row r="32" spans="1:8" ht="16">
      <c r="A32" s="204" t="s">
        <v>238</v>
      </c>
      <c r="F32" s="205">
        <f>F27-L70</f>
        <v>290507.04868758528</v>
      </c>
      <c r="G32" s="202" t="s">
        <v>16</v>
      </c>
      <c r="H32" s="176" t="s">
        <v>338</v>
      </c>
    </row>
    <row r="33" spans="1:14" ht="16">
      <c r="A33" s="204" t="s">
        <v>59</v>
      </c>
      <c r="F33" s="205">
        <f>F28</f>
        <v>13028.171</v>
      </c>
      <c r="G33" s="202" t="s">
        <v>16</v>
      </c>
      <c r="H33" s="176" t="s">
        <v>338</v>
      </c>
    </row>
    <row r="34" spans="1:14" ht="16">
      <c r="A34" s="204" t="s">
        <v>50</v>
      </c>
      <c r="F34" s="205">
        <f>F29-L71</f>
        <v>311186.49651241477</v>
      </c>
      <c r="G34" s="202" t="s">
        <v>16</v>
      </c>
      <c r="H34" s="176" t="s">
        <v>338</v>
      </c>
    </row>
    <row r="35" spans="1:14" ht="17" customHeight="1">
      <c r="A35" s="204" t="s">
        <v>49</v>
      </c>
      <c r="F35" s="205">
        <f>F30</f>
        <v>4042.6646000000001</v>
      </c>
      <c r="G35" s="202" t="s">
        <v>16</v>
      </c>
      <c r="H35" s="176" t="s">
        <v>338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282" t="s">
        <v>337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425"/>
      <c r="E39" s="289"/>
      <c r="F39" s="425"/>
      <c r="G39" s="606" t="s">
        <v>223</v>
      </c>
      <c r="H39" s="607"/>
      <c r="I39" s="600" t="s">
        <v>23</v>
      </c>
      <c r="J39" s="601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425"/>
      <c r="E40" s="289" t="s">
        <v>71</v>
      </c>
      <c r="F40" s="425" t="s">
        <v>22</v>
      </c>
      <c r="G40" s="608"/>
      <c r="H40" s="609"/>
      <c r="I40" s="425" t="s">
        <v>224</v>
      </c>
      <c r="J40" s="425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425"/>
      <c r="E41" s="291"/>
      <c r="F41" s="426"/>
      <c r="G41" s="293"/>
      <c r="H41" s="290"/>
      <c r="I41" s="425"/>
      <c r="J41" s="425"/>
      <c r="K41" s="289"/>
      <c r="L41" s="290"/>
      <c r="M41" s="286"/>
    </row>
    <row r="42" spans="1:14" ht="15" customHeight="1">
      <c r="B42" s="281"/>
      <c r="C42" s="287"/>
      <c r="D42" s="426"/>
      <c r="E42" s="291"/>
      <c r="F42" s="426"/>
      <c r="G42" s="293"/>
      <c r="H42" s="290"/>
      <c r="I42" s="425"/>
      <c r="J42" s="425"/>
      <c r="K42" s="289"/>
      <c r="L42" s="290"/>
      <c r="M42" s="286"/>
    </row>
    <row r="43" spans="1:14" ht="14" customHeight="1">
      <c r="B43" s="281"/>
      <c r="C43" s="294"/>
      <c r="D43" s="423"/>
      <c r="E43" s="296" t="s">
        <v>73</v>
      </c>
      <c r="F43" s="424"/>
      <c r="G43" s="294" t="s">
        <v>74</v>
      </c>
      <c r="H43" s="298"/>
      <c r="I43" s="423"/>
      <c r="J43" s="423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598" t="s">
        <v>1</v>
      </c>
      <c r="H44" s="599"/>
      <c r="I44" s="598" t="s">
        <v>1</v>
      </c>
      <c r="J44" s="599"/>
      <c r="K44" s="305"/>
      <c r="L44" s="306" t="s">
        <v>16</v>
      </c>
      <c r="M44" s="286"/>
      <c r="N44" s="231"/>
    </row>
    <row r="45" spans="1:14" ht="15">
      <c r="B45" s="281"/>
      <c r="C45" s="412" t="s">
        <v>28</v>
      </c>
      <c r="D45" s="422"/>
      <c r="E45" s="309"/>
      <c r="F45" s="421"/>
      <c r="G45" s="311"/>
      <c r="H45" s="312"/>
      <c r="I45" s="420"/>
      <c r="J45" s="420"/>
      <c r="K45" s="314"/>
      <c r="L45" s="419"/>
      <c r="M45" s="286"/>
      <c r="N45" s="231"/>
    </row>
    <row r="46" spans="1:14" ht="15">
      <c r="B46" s="281"/>
      <c r="C46" s="610" t="s">
        <v>31</v>
      </c>
      <c r="D46" s="371"/>
      <c r="E46" s="316" t="s">
        <v>230</v>
      </c>
      <c r="F46" s="317" t="s">
        <v>34</v>
      </c>
      <c r="G46" s="602">
        <v>13.91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11"/>
      <c r="D47" s="416"/>
      <c r="E47" s="322"/>
      <c r="F47" s="417"/>
      <c r="G47" s="613"/>
      <c r="H47" s="324"/>
      <c r="I47" s="416"/>
      <c r="J47" s="416"/>
      <c r="K47" s="373"/>
      <c r="L47" s="324"/>
      <c r="M47" s="286"/>
      <c r="N47" s="231"/>
    </row>
    <row r="48" spans="1:14" ht="15" customHeight="1">
      <c r="B48" s="281"/>
      <c r="C48" s="612"/>
      <c r="D48" s="325"/>
      <c r="E48" s="326" t="s">
        <v>0</v>
      </c>
      <c r="F48" s="327" t="s">
        <v>34</v>
      </c>
      <c r="G48" s="603"/>
      <c r="H48" s="328">
        <f>I48/(I48+I46)*G46</f>
        <v>13.91</v>
      </c>
      <c r="I48" s="329">
        <v>499.8</v>
      </c>
      <c r="J48" s="329">
        <f>I48-H48</f>
        <v>485.89</v>
      </c>
      <c r="K48" s="374">
        <v>0.375</v>
      </c>
      <c r="L48" s="330">
        <f>J48/K48*3600/1000</f>
        <v>4664.5439999999999</v>
      </c>
      <c r="M48" s="286"/>
      <c r="N48" s="231"/>
    </row>
    <row r="49" spans="2:14">
      <c r="B49" s="281"/>
      <c r="C49" s="361"/>
      <c r="D49" s="361"/>
      <c r="E49" s="332"/>
      <c r="F49" s="410"/>
      <c r="G49" s="334"/>
      <c r="H49" s="335"/>
      <c r="I49" s="361"/>
      <c r="J49" s="361"/>
      <c r="K49" s="314"/>
      <c r="L49" s="361"/>
      <c r="M49" s="286"/>
      <c r="N49" s="231"/>
    </row>
    <row r="50" spans="2:14">
      <c r="B50" s="281"/>
      <c r="C50" s="418"/>
      <c r="D50" s="361"/>
      <c r="E50" s="332"/>
      <c r="F50" s="410"/>
      <c r="G50" s="334"/>
      <c r="H50" s="339"/>
      <c r="I50" s="406"/>
      <c r="J50" s="406"/>
      <c r="K50" s="375"/>
      <c r="L50" s="409"/>
      <c r="M50" s="286"/>
      <c r="N50" s="231"/>
    </row>
    <row r="51" spans="2:14" ht="15" customHeight="1">
      <c r="B51" s="281"/>
      <c r="C51" s="610" t="s">
        <v>32</v>
      </c>
      <c r="D51" s="376"/>
      <c r="E51" s="316" t="s">
        <v>230</v>
      </c>
      <c r="F51" s="317" t="s">
        <v>30</v>
      </c>
      <c r="G51" s="602">
        <v>12.17</v>
      </c>
      <c r="H51" s="318">
        <f>I51/(I51+I53)*G51</f>
        <v>0</v>
      </c>
      <c r="I51" s="319">
        <v>0</v>
      </c>
      <c r="J51" s="319">
        <f>I51-H51</f>
        <v>0</v>
      </c>
      <c r="K51" s="372">
        <v>0.3</v>
      </c>
      <c r="L51" s="320">
        <f>J51/K51*3600/1000</f>
        <v>0</v>
      </c>
      <c r="M51" s="286"/>
      <c r="N51" s="231"/>
    </row>
    <row r="52" spans="2:14" ht="15" customHeight="1">
      <c r="B52" s="281"/>
      <c r="C52" s="611"/>
      <c r="D52" s="416"/>
      <c r="E52" s="322"/>
      <c r="F52" s="417"/>
      <c r="G52" s="613"/>
      <c r="H52" s="324"/>
      <c r="I52" s="416"/>
      <c r="J52" s="416"/>
      <c r="K52" s="373"/>
      <c r="L52" s="324"/>
      <c r="M52" s="286"/>
      <c r="N52" s="231"/>
    </row>
    <row r="53" spans="2:14" ht="15">
      <c r="B53" s="281"/>
      <c r="C53" s="612"/>
      <c r="D53" s="377"/>
      <c r="E53" s="326" t="s">
        <v>0</v>
      </c>
      <c r="F53" s="327" t="s">
        <v>30</v>
      </c>
      <c r="G53" s="603"/>
      <c r="H53" s="328">
        <f>I53/(I53+I51)*G51</f>
        <v>12.17</v>
      </c>
      <c r="I53" s="329">
        <v>381.75</v>
      </c>
      <c r="J53" s="329">
        <f>I53-H53</f>
        <v>369.58</v>
      </c>
      <c r="K53" s="374">
        <v>0.3</v>
      </c>
      <c r="L53" s="330">
        <f>J53/K53*3600/1000</f>
        <v>4434.96</v>
      </c>
      <c r="M53" s="286"/>
      <c r="N53" s="231"/>
    </row>
    <row r="54" spans="2:14">
      <c r="B54" s="281"/>
      <c r="C54" s="361"/>
      <c r="D54" s="361"/>
      <c r="E54" s="332"/>
      <c r="F54" s="410"/>
      <c r="G54" s="334"/>
      <c r="H54" s="335"/>
      <c r="I54" s="361"/>
      <c r="J54" s="361"/>
      <c r="K54" s="314"/>
      <c r="L54" s="361"/>
      <c r="M54" s="286"/>
      <c r="N54" s="231"/>
    </row>
    <row r="55" spans="2:14" ht="28" customHeight="1">
      <c r="B55" s="281"/>
      <c r="C55" s="604" t="s">
        <v>178</v>
      </c>
      <c r="D55" s="344"/>
      <c r="E55" s="316" t="s">
        <v>230</v>
      </c>
      <c r="F55" s="317" t="s">
        <v>34</v>
      </c>
      <c r="G55" s="602">
        <v>372.14</v>
      </c>
      <c r="H55" s="318">
        <f>I55/(I55+I56)*G55</f>
        <v>218.90090495679851</v>
      </c>
      <c r="I55" s="319">
        <v>2328.3000000000002</v>
      </c>
      <c r="J55" s="319">
        <f>I55-H55</f>
        <v>2109.3990950432017</v>
      </c>
      <c r="K55" s="372">
        <v>0.375</v>
      </c>
      <c r="L55" s="320">
        <f>J55/K55*3600/1000</f>
        <v>20250.231312414737</v>
      </c>
      <c r="M55" s="286"/>
      <c r="N55" s="231"/>
    </row>
    <row r="56" spans="2:14" ht="26" customHeight="1">
      <c r="B56" s="281"/>
      <c r="C56" s="605"/>
      <c r="D56" s="337"/>
      <c r="E56" s="326" t="s">
        <v>0</v>
      </c>
      <c r="F56" s="327" t="s">
        <v>34</v>
      </c>
      <c r="G56" s="603"/>
      <c r="H56" s="328">
        <f>I56/(I56+I55)*G55</f>
        <v>153.23909504320144</v>
      </c>
      <c r="I56" s="329">
        <v>1629.9</v>
      </c>
      <c r="J56" s="329">
        <f>I56-H56</f>
        <v>1476.6609049567987</v>
      </c>
      <c r="K56" s="374">
        <v>0.375</v>
      </c>
      <c r="L56" s="330">
        <f>J56/K56*3600/1000</f>
        <v>14175.944687585268</v>
      </c>
      <c r="M56" s="286"/>
      <c r="N56" s="231"/>
    </row>
    <row r="57" spans="2:14">
      <c r="B57" s="378"/>
      <c r="C57" s="415"/>
      <c r="D57" s="414"/>
      <c r="E57" s="413"/>
      <c r="F57" s="413"/>
      <c r="G57" s="382"/>
      <c r="H57" s="383"/>
      <c r="I57" s="384"/>
      <c r="J57" s="383"/>
      <c r="K57" s="385"/>
      <c r="L57" s="386"/>
      <c r="M57" s="387"/>
      <c r="N57" s="231"/>
    </row>
    <row r="58" spans="2:14">
      <c r="B58" s="378"/>
      <c r="C58" s="593" t="s">
        <v>35</v>
      </c>
      <c r="D58" s="594"/>
      <c r="E58" s="388" t="s">
        <v>230</v>
      </c>
      <c r="F58" s="389" t="s">
        <v>30</v>
      </c>
      <c r="G58" s="602">
        <v>107.93</v>
      </c>
      <c r="H58" s="318">
        <f>I58/(I58+I59)*G58</f>
        <v>0</v>
      </c>
      <c r="I58" s="319">
        <v>0</v>
      </c>
      <c r="J58" s="319">
        <f>I58-H58</f>
        <v>0</v>
      </c>
      <c r="K58" s="372">
        <v>0.6</v>
      </c>
      <c r="L58" s="320">
        <f>J58/K58*3600/1000</f>
        <v>0</v>
      </c>
      <c r="M58" s="387"/>
      <c r="N58" s="231"/>
    </row>
    <row r="59" spans="2:14">
      <c r="B59" s="378"/>
      <c r="C59" s="595"/>
      <c r="D59" s="596"/>
      <c r="E59" s="394" t="s">
        <v>0</v>
      </c>
      <c r="F59" s="395" t="s">
        <v>30</v>
      </c>
      <c r="G59" s="603"/>
      <c r="H59" s="328">
        <f>I59/(I59+I58)*G58</f>
        <v>107.93</v>
      </c>
      <c r="I59" s="329">
        <v>1364.08</v>
      </c>
      <c r="J59" s="329">
        <f>I59-H59</f>
        <v>1256.1499999999999</v>
      </c>
      <c r="K59" s="374">
        <v>0.6</v>
      </c>
      <c r="L59" s="330">
        <f>J59/K59*3600/1000</f>
        <v>7536.8999999999987</v>
      </c>
      <c r="M59" s="387"/>
      <c r="N59" s="231"/>
    </row>
    <row r="60" spans="2:14">
      <c r="B60" s="378"/>
      <c r="C60" s="415"/>
      <c r="D60" s="414"/>
      <c r="E60" s="413"/>
      <c r="F60" s="413"/>
      <c r="G60" s="382"/>
      <c r="H60" s="383"/>
      <c r="I60" s="384"/>
      <c r="J60" s="383"/>
      <c r="K60" s="385"/>
      <c r="L60" s="386"/>
      <c r="M60" s="387"/>
      <c r="N60" s="231"/>
    </row>
    <row r="61" spans="2:14" ht="28" customHeight="1">
      <c r="B61" s="281"/>
      <c r="C61" s="604" t="s">
        <v>179</v>
      </c>
      <c r="D61" s="344"/>
      <c r="E61" s="316" t="s">
        <v>230</v>
      </c>
      <c r="F61" s="317" t="s">
        <v>34</v>
      </c>
      <c r="G61" s="602">
        <v>253.62</v>
      </c>
      <c r="H61" s="318">
        <f>I61/(I61+I62)*G61</f>
        <v>0</v>
      </c>
      <c r="I61" s="319">
        <v>0</v>
      </c>
      <c r="J61" s="319">
        <f>I61-H61</f>
        <v>0</v>
      </c>
      <c r="K61" s="372">
        <v>0.375</v>
      </c>
      <c r="L61" s="320">
        <f>J61/K61*3600/1000</f>
        <v>0</v>
      </c>
      <c r="M61" s="286"/>
      <c r="N61" s="231"/>
    </row>
    <row r="62" spans="2:14" ht="26" customHeight="1">
      <c r="B62" s="281"/>
      <c r="C62" s="605"/>
      <c r="D62" s="337"/>
      <c r="E62" s="326" t="s">
        <v>0</v>
      </c>
      <c r="F62" s="327" t="s">
        <v>34</v>
      </c>
      <c r="G62" s="603"/>
      <c r="H62" s="328">
        <f>I62/(I62+I61)*G61</f>
        <v>253.62</v>
      </c>
      <c r="I62" s="329">
        <v>4119.3500000000004</v>
      </c>
      <c r="J62" s="329">
        <f>I62-H62</f>
        <v>3865.7300000000005</v>
      </c>
      <c r="K62" s="374">
        <v>0.375</v>
      </c>
      <c r="L62" s="330">
        <f>J62/K62*3600/1000</f>
        <v>37111.008000000009</v>
      </c>
      <c r="M62" s="286"/>
      <c r="N62" s="231"/>
    </row>
    <row r="63" spans="2:14" ht="14">
      <c r="B63" s="281"/>
      <c r="C63" s="412" t="s">
        <v>36</v>
      </c>
      <c r="D63" s="361"/>
      <c r="E63" s="332"/>
      <c r="F63" s="410"/>
      <c r="G63" s="334"/>
      <c r="H63" s="335"/>
      <c r="I63" s="361"/>
      <c r="J63" s="361"/>
      <c r="K63" s="336"/>
      <c r="L63" s="361"/>
      <c r="M63" s="286"/>
    </row>
    <row r="64" spans="2:14" ht="14">
      <c r="B64" s="281"/>
      <c r="C64" s="361"/>
      <c r="D64" s="361"/>
      <c r="E64" s="332"/>
      <c r="F64" s="410"/>
      <c r="G64" s="334"/>
      <c r="H64" s="339"/>
      <c r="I64" s="406"/>
      <c r="J64" s="406"/>
      <c r="K64" s="336"/>
      <c r="L64" s="409"/>
      <c r="M64" s="286"/>
    </row>
    <row r="65" spans="2:13" ht="14">
      <c r="B65" s="281"/>
      <c r="C65" s="345" t="s">
        <v>37</v>
      </c>
      <c r="D65" s="346"/>
      <c r="E65" s="347" t="s">
        <v>230</v>
      </c>
      <c r="F65" s="348" t="s">
        <v>38</v>
      </c>
      <c r="G65" s="345"/>
      <c r="H65" s="349">
        <v>20.81</v>
      </c>
      <c r="I65" s="350">
        <v>711.99</v>
      </c>
      <c r="J65" s="350">
        <f>I65-H65</f>
        <v>691.18000000000006</v>
      </c>
      <c r="K65" s="351">
        <v>0.45</v>
      </c>
      <c r="L65" s="352">
        <f>J65/K65*3600/1000</f>
        <v>5529.4400000000005</v>
      </c>
      <c r="M65" s="286"/>
    </row>
    <row r="66" spans="2:13" ht="14">
      <c r="B66" s="281"/>
      <c r="C66" s="411"/>
      <c r="D66" s="361"/>
      <c r="E66" s="332"/>
      <c r="F66" s="410"/>
      <c r="G66" s="334"/>
      <c r="H66" s="339"/>
      <c r="I66" s="406"/>
      <c r="J66" s="406"/>
      <c r="K66" s="336"/>
      <c r="L66" s="409"/>
      <c r="M66" s="286"/>
    </row>
    <row r="67" spans="2:13" ht="14">
      <c r="B67" s="281"/>
      <c r="C67" s="354" t="s">
        <v>39</v>
      </c>
      <c r="D67" s="346"/>
      <c r="E67" s="347" t="s">
        <v>230</v>
      </c>
      <c r="F67" s="348" t="s">
        <v>38</v>
      </c>
      <c r="G67" s="345"/>
      <c r="H67" s="349">
        <v>12.61</v>
      </c>
      <c r="I67" s="350">
        <v>745.18</v>
      </c>
      <c r="J67" s="350">
        <f>I67-H67</f>
        <v>732.56999999999994</v>
      </c>
      <c r="K67" s="351">
        <v>0.45</v>
      </c>
      <c r="L67" s="352">
        <f>J67/K67*3600/1000</f>
        <v>5860.5599999999995</v>
      </c>
      <c r="M67" s="286"/>
    </row>
    <row r="68" spans="2:13" ht="14">
      <c r="B68" s="281"/>
      <c r="C68" s="361"/>
      <c r="D68" s="361"/>
      <c r="E68" s="355"/>
      <c r="F68" s="361"/>
      <c r="G68" s="356"/>
      <c r="H68" s="357"/>
      <c r="I68" s="361"/>
      <c r="J68" s="361"/>
      <c r="K68" s="355"/>
      <c r="L68" s="404"/>
      <c r="M68" s="286"/>
    </row>
    <row r="69" spans="2:13" ht="14">
      <c r="B69" s="281"/>
      <c r="C69" s="361"/>
      <c r="D69" s="361"/>
      <c r="E69" s="361"/>
      <c r="F69" s="361"/>
      <c r="G69" s="361"/>
      <c r="H69" s="361"/>
      <c r="I69" s="408" t="s">
        <v>40</v>
      </c>
      <c r="J69" s="407">
        <f>SUM(J46:J67)</f>
        <v>10987.16</v>
      </c>
      <c r="K69" s="361"/>
      <c r="L69" s="361"/>
      <c r="M69" s="286"/>
    </row>
    <row r="70" spans="2:13" ht="14">
      <c r="B70" s="281"/>
      <c r="C70" s="361"/>
      <c r="D70" s="361"/>
      <c r="E70" s="361"/>
      <c r="F70" s="361"/>
      <c r="G70" s="361"/>
      <c r="H70" s="361"/>
      <c r="I70" s="361"/>
      <c r="J70" s="406"/>
      <c r="K70" s="405" t="s">
        <v>241</v>
      </c>
      <c r="L70" s="404">
        <f>L46+L51+L55+L58+L61+L65+L67</f>
        <v>31640.231312414733</v>
      </c>
      <c r="M70" s="286"/>
    </row>
    <row r="71" spans="2:13" ht="14">
      <c r="B71" s="281"/>
      <c r="C71" s="361"/>
      <c r="D71" s="361"/>
      <c r="E71" s="361"/>
      <c r="F71" s="361"/>
      <c r="G71" s="361"/>
      <c r="H71" s="361"/>
      <c r="I71" s="361"/>
      <c r="J71" s="361"/>
      <c r="K71" s="405" t="s">
        <v>42</v>
      </c>
      <c r="L71" s="404">
        <f>L48+L53+L56+L59+L62</f>
        <v>67923.35668758527</v>
      </c>
      <c r="M71" s="286"/>
    </row>
    <row r="72" spans="2:13" ht="14" thickBot="1">
      <c r="B72" s="363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5"/>
    </row>
    <row r="74" spans="2:13">
      <c r="B74" s="5" t="s">
        <v>336</v>
      </c>
    </row>
  </sheetData>
  <mergeCells count="14">
    <mergeCell ref="G39:H40"/>
    <mergeCell ref="I39:J39"/>
    <mergeCell ref="G44:H44"/>
    <mergeCell ref="I44:J44"/>
    <mergeCell ref="C46:C48"/>
    <mergeCell ref="G46:G48"/>
    <mergeCell ref="C61:C62"/>
    <mergeCell ref="G61:G62"/>
    <mergeCell ref="C51:C53"/>
    <mergeCell ref="G51:G53"/>
    <mergeCell ref="C55:C56"/>
    <mergeCell ref="G55:G56"/>
    <mergeCell ref="C58:D59"/>
    <mergeCell ref="G58:G59"/>
  </mergeCells>
  <pageMargins left="0.75" right="0.75" top="1" bottom="1" header="0.5" footer="0.5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6225-7E03-A94E-BF0A-CC0AC00281E3}">
  <dimension ref="A1:N74"/>
  <sheetViews>
    <sheetView topLeftCell="B1" zoomScale="67" zoomScaleNormal="150" zoomScalePageLayoutView="150" workbookViewId="0">
      <selection activeCell="L15" sqref="L15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473" t="s">
        <v>268</v>
      </c>
      <c r="B1" s="429"/>
      <c r="C1" s="429"/>
      <c r="D1" s="429"/>
      <c r="E1" s="429"/>
      <c r="F1" s="429"/>
      <c r="G1" s="429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123118</v>
      </c>
      <c r="G3" s="176" t="s">
        <v>1</v>
      </c>
      <c r="I3" s="178" t="s">
        <v>234</v>
      </c>
      <c r="J3" s="179"/>
      <c r="K3" s="180">
        <f>F32*F17</f>
        <v>23632087.236090079</v>
      </c>
      <c r="L3" s="181" t="s">
        <v>9</v>
      </c>
    </row>
    <row r="4" spans="1:12" ht="17" thickBot="1">
      <c r="A4" s="176" t="s">
        <v>53</v>
      </c>
      <c r="B4" s="176"/>
      <c r="F4" s="182">
        <f>SUM(I46:I67)</f>
        <v>11826.880000000001</v>
      </c>
      <c r="G4" s="176" t="s">
        <v>1</v>
      </c>
      <c r="I4" s="183" t="s">
        <v>15</v>
      </c>
      <c r="K4" s="184">
        <f>F33*F18</f>
        <v>936494.4217200001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111291.12</v>
      </c>
      <c r="G5" s="176" t="s">
        <v>1</v>
      </c>
      <c r="I5" s="183" t="s">
        <v>8</v>
      </c>
      <c r="K5" s="186">
        <f>F34*F19</f>
        <v>17581724.370412834</v>
      </c>
      <c r="L5" s="185" t="s">
        <v>9</v>
      </c>
    </row>
    <row r="6" spans="1:12" ht="16">
      <c r="A6" s="176" t="s">
        <v>63</v>
      </c>
      <c r="B6" s="176"/>
      <c r="F6" s="177">
        <v>32182.7</v>
      </c>
      <c r="G6" s="176" t="s">
        <v>1</v>
      </c>
      <c r="I6" s="183" t="s">
        <v>54</v>
      </c>
      <c r="K6" s="187">
        <f>F35*F20</f>
        <v>1483982.7561000001</v>
      </c>
      <c r="L6" s="185" t="s">
        <v>9</v>
      </c>
    </row>
    <row r="7" spans="1:12" ht="16">
      <c r="A7" s="176" t="s">
        <v>64</v>
      </c>
      <c r="B7" s="176"/>
      <c r="F7" s="177">
        <v>6999</v>
      </c>
      <c r="G7" s="176" t="s">
        <v>1</v>
      </c>
      <c r="I7" s="188"/>
      <c r="L7" s="189"/>
    </row>
    <row r="8" spans="1:12" ht="17" thickBot="1">
      <c r="A8" s="176" t="s">
        <v>65</v>
      </c>
      <c r="B8" s="176"/>
      <c r="F8" s="428">
        <f>SUM(F6:F7)/F5</f>
        <v>0.35206492665362699</v>
      </c>
      <c r="G8" s="176"/>
      <c r="I8" s="191" t="s">
        <v>18</v>
      </c>
      <c r="J8" s="192"/>
      <c r="K8" s="193">
        <f>SUM(K3:K6)/F11/1000</f>
        <v>0.62926649252839928</v>
      </c>
      <c r="L8" s="194" t="s">
        <v>10</v>
      </c>
    </row>
    <row r="9" spans="1:12" ht="16">
      <c r="A9" s="176" t="s">
        <v>171</v>
      </c>
      <c r="B9" s="176"/>
      <c r="F9" s="195">
        <v>1425.71</v>
      </c>
      <c r="G9" s="176" t="s">
        <v>1</v>
      </c>
      <c r="H9" s="474" t="s">
        <v>269</v>
      </c>
      <c r="I9" s="196"/>
      <c r="K9" s="197"/>
      <c r="L9" s="196"/>
    </row>
    <row r="10" spans="1:12" ht="16">
      <c r="A10" s="176" t="s">
        <v>172</v>
      </c>
      <c r="B10" s="176"/>
      <c r="F10" s="195">
        <f>1377.58-23.01-12.37</f>
        <v>1342.2</v>
      </c>
      <c r="G10" s="176" t="s">
        <v>1</v>
      </c>
      <c r="H10" s="474" t="s">
        <v>269</v>
      </c>
      <c r="I10" s="196"/>
      <c r="K10" s="197"/>
      <c r="L10" s="196"/>
    </row>
    <row r="11" spans="1:12" ht="16">
      <c r="A11" s="176" t="s">
        <v>176</v>
      </c>
      <c r="B11" s="176"/>
      <c r="F11" s="198">
        <f>F5-SUM(F9:F10)-F6-F7</f>
        <v>69341.509999999995</v>
      </c>
      <c r="G11" s="176" t="s">
        <v>1</v>
      </c>
      <c r="H11" s="176"/>
      <c r="I11" s="196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427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474" t="s">
        <v>275</v>
      </c>
    </row>
    <row r="16" spans="1:12" ht="16">
      <c r="A16" s="176"/>
      <c r="B16" s="176"/>
      <c r="G16" s="202"/>
    </row>
    <row r="17" spans="1:8" ht="16">
      <c r="A17" s="176" t="s">
        <v>232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236</v>
      </c>
      <c r="F22" s="203">
        <v>8037139</v>
      </c>
      <c r="G22" s="202" t="s">
        <v>47</v>
      </c>
      <c r="H22" s="474" t="s">
        <v>270</v>
      </c>
    </row>
    <row r="23" spans="1:8" ht="16">
      <c r="A23" s="176" t="s">
        <v>57</v>
      </c>
      <c r="F23" s="203">
        <v>291841</v>
      </c>
      <c r="G23" s="202" t="s">
        <v>47</v>
      </c>
      <c r="H23" s="474" t="s">
        <v>270</v>
      </c>
    </row>
    <row r="24" spans="1:8" ht="16">
      <c r="A24" s="204" t="s">
        <v>46</v>
      </c>
      <c r="F24" s="203">
        <v>8643403</v>
      </c>
      <c r="G24" s="202" t="s">
        <v>47</v>
      </c>
      <c r="H24" s="474" t="s">
        <v>270</v>
      </c>
    </row>
    <row r="25" spans="1:8" ht="16">
      <c r="A25" s="176" t="s">
        <v>45</v>
      </c>
      <c r="F25" s="203">
        <v>384585</v>
      </c>
      <c r="G25" s="202" t="s">
        <v>47</v>
      </c>
      <c r="H25" s="474" t="s">
        <v>271</v>
      </c>
    </row>
    <row r="27" spans="1:8" ht="16">
      <c r="A27" s="176" t="s">
        <v>236</v>
      </c>
      <c r="F27" s="205">
        <f>F22*$F$15</f>
        <v>355241.54380000004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12899.372200000002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382038.41260000004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16998.657000000003</v>
      </c>
      <c r="G30" s="202" t="s">
        <v>16</v>
      </c>
      <c r="H30" s="176" t="s">
        <v>52</v>
      </c>
    </row>
    <row r="32" spans="1:8" ht="16">
      <c r="A32" s="204" t="s">
        <v>238</v>
      </c>
      <c r="F32" s="205">
        <f>F27-L70</f>
        <v>313007.77796145802</v>
      </c>
      <c r="G32" s="202" t="s">
        <v>16</v>
      </c>
      <c r="H32" s="474" t="s">
        <v>272</v>
      </c>
    </row>
    <row r="33" spans="1:14" ht="16">
      <c r="A33" s="204" t="s">
        <v>59</v>
      </c>
      <c r="F33" s="205">
        <f>F28</f>
        <v>12899.372200000002</v>
      </c>
      <c r="G33" s="202" t="s">
        <v>16</v>
      </c>
      <c r="H33" s="474" t="s">
        <v>272</v>
      </c>
    </row>
    <row r="34" spans="1:14" ht="16">
      <c r="A34" s="204" t="s">
        <v>50</v>
      </c>
      <c r="F34" s="205">
        <f>F29-L71</f>
        <v>323788.66243854206</v>
      </c>
      <c r="G34" s="202" t="s">
        <v>16</v>
      </c>
      <c r="H34" s="474" t="s">
        <v>272</v>
      </c>
    </row>
    <row r="35" spans="1:14" ht="17" customHeight="1">
      <c r="A35" s="204" t="s">
        <v>49</v>
      </c>
      <c r="F35" s="205">
        <f>F30</f>
        <v>16998.657000000003</v>
      </c>
      <c r="G35" s="202" t="s">
        <v>16</v>
      </c>
      <c r="H35" s="474" t="s">
        <v>272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475" t="s">
        <v>273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425"/>
      <c r="E39" s="289"/>
      <c r="F39" s="425"/>
      <c r="G39" s="606" t="s">
        <v>223</v>
      </c>
      <c r="H39" s="607"/>
      <c r="I39" s="600" t="s">
        <v>23</v>
      </c>
      <c r="J39" s="601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425"/>
      <c r="E40" s="289" t="s">
        <v>71</v>
      </c>
      <c r="F40" s="425" t="s">
        <v>22</v>
      </c>
      <c r="G40" s="608"/>
      <c r="H40" s="609"/>
      <c r="I40" s="425" t="s">
        <v>224</v>
      </c>
      <c r="J40" s="425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425"/>
      <c r="E41" s="291"/>
      <c r="F41" s="426"/>
      <c r="G41" s="293"/>
      <c r="H41" s="290"/>
      <c r="I41" s="425"/>
      <c r="J41" s="425"/>
      <c r="K41" s="289"/>
      <c r="L41" s="290"/>
      <c r="M41" s="286"/>
    </row>
    <row r="42" spans="1:14" ht="15" customHeight="1">
      <c r="B42" s="281"/>
      <c r="C42" s="287"/>
      <c r="D42" s="426"/>
      <c r="E42" s="291"/>
      <c r="F42" s="426"/>
      <c r="G42" s="293"/>
      <c r="H42" s="290"/>
      <c r="I42" s="425"/>
      <c r="J42" s="425"/>
      <c r="K42" s="289"/>
      <c r="L42" s="290"/>
      <c r="M42" s="286"/>
    </row>
    <row r="43" spans="1:14" ht="14" customHeight="1">
      <c r="B43" s="281"/>
      <c r="C43" s="294"/>
      <c r="D43" s="423"/>
      <c r="E43" s="296" t="s">
        <v>73</v>
      </c>
      <c r="F43" s="424"/>
      <c r="G43" s="294" t="s">
        <v>74</v>
      </c>
      <c r="H43" s="298"/>
      <c r="I43" s="423"/>
      <c r="J43" s="423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598" t="s">
        <v>1</v>
      </c>
      <c r="H44" s="599"/>
      <c r="I44" s="598" t="s">
        <v>1</v>
      </c>
      <c r="J44" s="599"/>
      <c r="K44" s="305"/>
      <c r="L44" s="306" t="s">
        <v>16</v>
      </c>
      <c r="M44" s="286"/>
      <c r="N44" s="231"/>
    </row>
    <row r="45" spans="1:14" ht="15">
      <c r="B45" s="281"/>
      <c r="C45" s="412" t="s">
        <v>28</v>
      </c>
      <c r="D45" s="422"/>
      <c r="E45" s="309"/>
      <c r="F45" s="421"/>
      <c r="G45" s="311"/>
      <c r="H45" s="312"/>
      <c r="I45" s="420"/>
      <c r="J45" s="420"/>
      <c r="K45" s="314"/>
      <c r="L45" s="419"/>
      <c r="M45" s="286"/>
      <c r="N45" s="231"/>
    </row>
    <row r="46" spans="1:14" ht="15">
      <c r="B46" s="281"/>
      <c r="C46" s="610" t="s">
        <v>31</v>
      </c>
      <c r="D46" s="371"/>
      <c r="E46" s="316" t="s">
        <v>230</v>
      </c>
      <c r="F46" s="317" t="s">
        <v>34</v>
      </c>
      <c r="G46" s="602">
        <v>13.62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11"/>
      <c r="D47" s="416"/>
      <c r="E47" s="322"/>
      <c r="F47" s="417"/>
      <c r="G47" s="613"/>
      <c r="H47" s="324"/>
      <c r="I47" s="416"/>
      <c r="J47" s="416"/>
      <c r="K47" s="373"/>
      <c r="L47" s="324"/>
      <c r="M47" s="286"/>
      <c r="N47" s="231"/>
    </row>
    <row r="48" spans="1:14" ht="15" customHeight="1">
      <c r="B48" s="281"/>
      <c r="C48" s="612"/>
      <c r="D48" s="325"/>
      <c r="E48" s="326" t="s">
        <v>0</v>
      </c>
      <c r="F48" s="327" t="s">
        <v>34</v>
      </c>
      <c r="G48" s="603"/>
      <c r="H48" s="328">
        <f>I48/(I48+I46)*G46</f>
        <v>13.62</v>
      </c>
      <c r="I48" s="329">
        <v>499.8</v>
      </c>
      <c r="J48" s="329">
        <f>I48-H48</f>
        <v>486.18</v>
      </c>
      <c r="K48" s="374">
        <v>0.375</v>
      </c>
      <c r="L48" s="330">
        <f>J48/K48*3600/1000</f>
        <v>4667.3280000000004</v>
      </c>
      <c r="M48" s="286"/>
      <c r="N48" s="231"/>
    </row>
    <row r="49" spans="2:14">
      <c r="B49" s="281"/>
      <c r="C49" s="361"/>
      <c r="D49" s="361"/>
      <c r="E49" s="332"/>
      <c r="F49" s="410"/>
      <c r="G49" s="334"/>
      <c r="H49" s="335"/>
      <c r="I49" s="361"/>
      <c r="J49" s="361"/>
      <c r="K49" s="314"/>
      <c r="L49" s="361"/>
      <c r="M49" s="286"/>
      <c r="N49" s="231"/>
    </row>
    <row r="50" spans="2:14">
      <c r="B50" s="281"/>
      <c r="C50" s="418"/>
      <c r="D50" s="361"/>
      <c r="E50" s="332"/>
      <c r="F50" s="410"/>
      <c r="G50" s="334"/>
      <c r="H50" s="339"/>
      <c r="I50" s="406"/>
      <c r="J50" s="406"/>
      <c r="K50" s="375"/>
      <c r="L50" s="409"/>
      <c r="M50" s="286"/>
      <c r="N50" s="231"/>
    </row>
    <row r="51" spans="2:14" ht="15" customHeight="1">
      <c r="B51" s="281"/>
      <c r="C51" s="610" t="s">
        <v>32</v>
      </c>
      <c r="D51" s="376"/>
      <c r="E51" s="316" t="s">
        <v>230</v>
      </c>
      <c r="F51" s="317" t="s">
        <v>30</v>
      </c>
      <c r="G51" s="602">
        <v>13.09</v>
      </c>
      <c r="H51" s="318">
        <f>I51/(I51+I53)*G51</f>
        <v>0</v>
      </c>
      <c r="I51" s="319">
        <v>0</v>
      </c>
      <c r="J51" s="319">
        <f>I51-H51</f>
        <v>0</v>
      </c>
      <c r="K51" s="372">
        <v>0.3</v>
      </c>
      <c r="L51" s="320">
        <f>J51/K51*3600/1000</f>
        <v>0</v>
      </c>
      <c r="M51" s="286"/>
      <c r="N51" s="231"/>
    </row>
    <row r="52" spans="2:14" ht="15" customHeight="1">
      <c r="B52" s="281"/>
      <c r="C52" s="611"/>
      <c r="D52" s="416"/>
      <c r="E52" s="322"/>
      <c r="F52" s="417"/>
      <c r="G52" s="613"/>
      <c r="H52" s="324"/>
      <c r="I52" s="416"/>
      <c r="J52" s="416"/>
      <c r="K52" s="373"/>
      <c r="L52" s="324"/>
      <c r="M52" s="286"/>
      <c r="N52" s="231"/>
    </row>
    <row r="53" spans="2:14" ht="15">
      <c r="B53" s="281"/>
      <c r="C53" s="612"/>
      <c r="D53" s="377"/>
      <c r="E53" s="326" t="s">
        <v>0</v>
      </c>
      <c r="F53" s="327" t="s">
        <v>30</v>
      </c>
      <c r="G53" s="603"/>
      <c r="H53" s="328">
        <f>I53/(I53+I51)*G51</f>
        <v>13.09</v>
      </c>
      <c r="I53" s="329">
        <v>381.75</v>
      </c>
      <c r="J53" s="329">
        <f>I53-H53</f>
        <v>368.66</v>
      </c>
      <c r="K53" s="374">
        <v>0.3</v>
      </c>
      <c r="L53" s="330">
        <f>J53/K53*3600/1000</f>
        <v>4423.92</v>
      </c>
      <c r="M53" s="286"/>
      <c r="N53" s="231"/>
    </row>
    <row r="54" spans="2:14">
      <c r="B54" s="281"/>
      <c r="C54" s="361"/>
      <c r="D54" s="361"/>
      <c r="E54" s="332"/>
      <c r="F54" s="410"/>
      <c r="G54" s="334"/>
      <c r="H54" s="335"/>
      <c r="I54" s="361"/>
      <c r="J54" s="361"/>
      <c r="K54" s="314"/>
      <c r="L54" s="361"/>
      <c r="M54" s="286"/>
      <c r="N54" s="231"/>
    </row>
    <row r="55" spans="2:14" ht="28" customHeight="1">
      <c r="B55" s="281"/>
      <c r="C55" s="604" t="s">
        <v>178</v>
      </c>
      <c r="D55" s="344"/>
      <c r="E55" s="316" t="s">
        <v>230</v>
      </c>
      <c r="F55" s="317" t="s">
        <v>34</v>
      </c>
      <c r="G55" s="602">
        <v>412.46</v>
      </c>
      <c r="H55" s="318">
        <f>I55/(I55+I56)*G55</f>
        <v>328.51605848520541</v>
      </c>
      <c r="I55" s="319">
        <v>3448.2</v>
      </c>
      <c r="J55" s="319">
        <f>I55-H55</f>
        <v>3119.6839415147942</v>
      </c>
      <c r="K55" s="372">
        <v>0.375</v>
      </c>
      <c r="L55" s="320">
        <f>J55/K55*3600/1000</f>
        <v>29948.965838542026</v>
      </c>
      <c r="M55" s="286"/>
      <c r="N55" s="231"/>
    </row>
    <row r="56" spans="2:14" ht="26" customHeight="1">
      <c r="B56" s="281"/>
      <c r="C56" s="605"/>
      <c r="D56" s="337"/>
      <c r="E56" s="326" t="s">
        <v>0</v>
      </c>
      <c r="F56" s="327" t="s">
        <v>34</v>
      </c>
      <c r="G56" s="603"/>
      <c r="H56" s="328">
        <f>I56/(I56+I55)*G55</f>
        <v>83.943941514794531</v>
      </c>
      <c r="I56" s="329">
        <v>881.1</v>
      </c>
      <c r="J56" s="329">
        <f>I56-H56</f>
        <v>797.15605848520545</v>
      </c>
      <c r="K56" s="374">
        <v>0.375</v>
      </c>
      <c r="L56" s="330">
        <f>J56/K56*3600/1000</f>
        <v>7652.6981614579727</v>
      </c>
      <c r="M56" s="286"/>
      <c r="N56" s="231"/>
    </row>
    <row r="57" spans="2:14">
      <c r="B57" s="378"/>
      <c r="C57" s="415"/>
      <c r="D57" s="414"/>
      <c r="E57" s="413"/>
      <c r="F57" s="413"/>
      <c r="G57" s="382"/>
      <c r="H57" s="383"/>
      <c r="I57" s="384"/>
      <c r="J57" s="383"/>
      <c r="K57" s="385"/>
      <c r="L57" s="386"/>
      <c r="M57" s="387"/>
      <c r="N57" s="231"/>
    </row>
    <row r="58" spans="2:14">
      <c r="B58" s="378"/>
      <c r="C58" s="593" t="s">
        <v>35</v>
      </c>
      <c r="D58" s="594"/>
      <c r="E58" s="388" t="s">
        <v>230</v>
      </c>
      <c r="F58" s="389" t="s">
        <v>30</v>
      </c>
      <c r="G58" s="602">
        <v>90.87</v>
      </c>
      <c r="H58" s="318">
        <f>I58/(I58+I59)*G58</f>
        <v>0</v>
      </c>
      <c r="I58" s="319">
        <v>0</v>
      </c>
      <c r="J58" s="319">
        <f>I58-H58</f>
        <v>0</v>
      </c>
      <c r="K58" s="372">
        <v>0.6</v>
      </c>
      <c r="L58" s="320">
        <f>J58/K58*3600/1000</f>
        <v>0</v>
      </c>
      <c r="M58" s="387"/>
      <c r="N58" s="231"/>
    </row>
    <row r="59" spans="2:14">
      <c r="B59" s="378"/>
      <c r="C59" s="595"/>
      <c r="D59" s="596"/>
      <c r="E59" s="394" t="s">
        <v>0</v>
      </c>
      <c r="F59" s="395" t="s">
        <v>30</v>
      </c>
      <c r="G59" s="603"/>
      <c r="H59" s="328">
        <f>I59/(I59+I58)*G58</f>
        <v>90.87</v>
      </c>
      <c r="I59" s="329">
        <v>1123.8</v>
      </c>
      <c r="J59" s="329">
        <f>I59-H59</f>
        <v>1032.9299999999998</v>
      </c>
      <c r="K59" s="374">
        <v>0.6</v>
      </c>
      <c r="L59" s="330">
        <f>J59/K59*3600/1000</f>
        <v>6197.579999999999</v>
      </c>
      <c r="M59" s="387"/>
      <c r="N59" s="231"/>
    </row>
    <row r="60" spans="2:14">
      <c r="B60" s="378"/>
      <c r="C60" s="415"/>
      <c r="D60" s="414"/>
      <c r="E60" s="413"/>
      <c r="F60" s="413"/>
      <c r="G60" s="382"/>
      <c r="H60" s="383"/>
      <c r="I60" s="384"/>
      <c r="J60" s="383"/>
      <c r="K60" s="385"/>
      <c r="L60" s="386"/>
      <c r="M60" s="387"/>
      <c r="N60" s="231"/>
    </row>
    <row r="61" spans="2:14" ht="28" customHeight="1">
      <c r="B61" s="281"/>
      <c r="C61" s="604" t="s">
        <v>179</v>
      </c>
      <c r="D61" s="344"/>
      <c r="E61" s="316" t="s">
        <v>230</v>
      </c>
      <c r="F61" s="317" t="s">
        <v>34</v>
      </c>
      <c r="G61" s="602">
        <v>243.31</v>
      </c>
      <c r="H61" s="318">
        <f>I61/(I61+I62)*G61</f>
        <v>0</v>
      </c>
      <c r="I61" s="319">
        <v>0</v>
      </c>
      <c r="J61" s="319">
        <f>I61-H61</f>
        <v>0</v>
      </c>
      <c r="K61" s="372">
        <v>0.375</v>
      </c>
      <c r="L61" s="320">
        <f>J61/K61*3600/1000</f>
        <v>0</v>
      </c>
      <c r="M61" s="286"/>
      <c r="N61" s="231"/>
    </row>
    <row r="62" spans="2:14" ht="26" customHeight="1">
      <c r="B62" s="281"/>
      <c r="C62" s="605"/>
      <c r="D62" s="337"/>
      <c r="E62" s="326" t="s">
        <v>0</v>
      </c>
      <c r="F62" s="327" t="s">
        <v>34</v>
      </c>
      <c r="G62" s="603"/>
      <c r="H62" s="328">
        <f>I62/(I62+I61)*G61</f>
        <v>243.31</v>
      </c>
      <c r="I62" s="329">
        <v>3921.25</v>
      </c>
      <c r="J62" s="329">
        <f>I62-H62</f>
        <v>3677.94</v>
      </c>
      <c r="K62" s="374">
        <v>0.375</v>
      </c>
      <c r="L62" s="330">
        <f>J62/K62*3600/1000</f>
        <v>35308.224000000002</v>
      </c>
      <c r="M62" s="286"/>
      <c r="N62" s="231"/>
    </row>
    <row r="63" spans="2:14" ht="14">
      <c r="B63" s="281"/>
      <c r="C63" s="412" t="s">
        <v>36</v>
      </c>
      <c r="D63" s="361"/>
      <c r="E63" s="332"/>
      <c r="F63" s="410"/>
      <c r="G63" s="334"/>
      <c r="H63" s="335"/>
      <c r="I63" s="361"/>
      <c r="J63" s="361"/>
      <c r="K63" s="336"/>
      <c r="L63" s="361"/>
      <c r="M63" s="286"/>
    </row>
    <row r="64" spans="2:14" ht="14">
      <c r="B64" s="281"/>
      <c r="C64" s="361"/>
      <c r="D64" s="361"/>
      <c r="E64" s="332"/>
      <c r="F64" s="410"/>
      <c r="G64" s="334"/>
      <c r="H64" s="339"/>
      <c r="I64" s="406"/>
      <c r="J64" s="406"/>
      <c r="K64" s="336"/>
      <c r="L64" s="409"/>
      <c r="M64" s="286"/>
    </row>
    <row r="65" spans="2:13" ht="14">
      <c r="B65" s="281"/>
      <c r="C65" s="345" t="s">
        <v>37</v>
      </c>
      <c r="D65" s="346"/>
      <c r="E65" s="347" t="s">
        <v>230</v>
      </c>
      <c r="F65" s="348" t="s">
        <v>38</v>
      </c>
      <c r="G65" s="345"/>
      <c r="H65" s="349">
        <v>23.01</v>
      </c>
      <c r="I65" s="350">
        <v>815.41</v>
      </c>
      <c r="J65" s="350">
        <f>I65-H65</f>
        <v>792.4</v>
      </c>
      <c r="K65" s="351">
        <v>0.45</v>
      </c>
      <c r="L65" s="352">
        <f>J65/K65*3600/1000</f>
        <v>6339.1999999999989</v>
      </c>
      <c r="M65" s="286"/>
    </row>
    <row r="66" spans="2:13" ht="14">
      <c r="B66" s="281"/>
      <c r="C66" s="411"/>
      <c r="D66" s="361"/>
      <c r="E66" s="332"/>
      <c r="F66" s="410"/>
      <c r="G66" s="334"/>
      <c r="H66" s="339"/>
      <c r="I66" s="406"/>
      <c r="J66" s="406"/>
      <c r="K66" s="336"/>
      <c r="L66" s="409"/>
      <c r="M66" s="286"/>
    </row>
    <row r="67" spans="2:13" ht="14">
      <c r="B67" s="281"/>
      <c r="C67" s="354" t="s">
        <v>39</v>
      </c>
      <c r="D67" s="346"/>
      <c r="E67" s="347" t="s">
        <v>230</v>
      </c>
      <c r="F67" s="348" t="s">
        <v>38</v>
      </c>
      <c r="G67" s="345"/>
      <c r="H67" s="349">
        <v>12.37</v>
      </c>
      <c r="I67" s="350">
        <v>755.57</v>
      </c>
      <c r="J67" s="350">
        <f>I67-H67</f>
        <v>743.2</v>
      </c>
      <c r="K67" s="351">
        <v>0.45</v>
      </c>
      <c r="L67" s="352">
        <f>J67/K67*3600/1000</f>
        <v>5945.6</v>
      </c>
      <c r="M67" s="286"/>
    </row>
    <row r="68" spans="2:13" ht="14">
      <c r="B68" s="281"/>
      <c r="C68" s="361"/>
      <c r="D68" s="361"/>
      <c r="E68" s="355"/>
      <c r="F68" s="361"/>
      <c r="G68" s="356"/>
      <c r="H68" s="357"/>
      <c r="I68" s="361"/>
      <c r="J68" s="361"/>
      <c r="K68" s="355"/>
      <c r="L68" s="404"/>
      <c r="M68" s="286"/>
    </row>
    <row r="69" spans="2:13" ht="14">
      <c r="B69" s="281"/>
      <c r="C69" s="361"/>
      <c r="D69" s="361"/>
      <c r="E69" s="361"/>
      <c r="F69" s="361"/>
      <c r="G69" s="361"/>
      <c r="H69" s="361"/>
      <c r="I69" s="408" t="s">
        <v>40</v>
      </c>
      <c r="J69" s="407">
        <f>SUM(J46:J67)</f>
        <v>11018.150000000001</v>
      </c>
      <c r="K69" s="361"/>
      <c r="L69" s="361"/>
      <c r="M69" s="286"/>
    </row>
    <row r="70" spans="2:13" ht="14">
      <c r="B70" s="281"/>
      <c r="C70" s="361"/>
      <c r="D70" s="361"/>
      <c r="E70" s="361"/>
      <c r="F70" s="361"/>
      <c r="G70" s="361"/>
      <c r="H70" s="361"/>
      <c r="I70" s="361"/>
      <c r="J70" s="406"/>
      <c r="K70" s="405" t="s">
        <v>241</v>
      </c>
      <c r="L70" s="404">
        <f>L46+L51+L55+L58+L61+L65+L67</f>
        <v>42233.765838542022</v>
      </c>
      <c r="M70" s="286"/>
    </row>
    <row r="71" spans="2:13" ht="14">
      <c r="B71" s="281"/>
      <c r="C71" s="361"/>
      <c r="D71" s="361"/>
      <c r="E71" s="361"/>
      <c r="F71" s="361"/>
      <c r="G71" s="361"/>
      <c r="H71" s="361"/>
      <c r="I71" s="361"/>
      <c r="J71" s="361"/>
      <c r="K71" s="405" t="s">
        <v>42</v>
      </c>
      <c r="L71" s="404">
        <f>L48+L53+L56+L59+L62</f>
        <v>58249.750161457967</v>
      </c>
      <c r="M71" s="286"/>
    </row>
    <row r="72" spans="2:13" ht="14" thickBot="1">
      <c r="B72" s="363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5"/>
    </row>
    <row r="74" spans="2:13">
      <c r="B74" s="476" t="s">
        <v>274</v>
      </c>
    </row>
  </sheetData>
  <mergeCells count="14">
    <mergeCell ref="C61:C62"/>
    <mergeCell ref="G61:G62"/>
    <mergeCell ref="C51:C53"/>
    <mergeCell ref="G51:G53"/>
    <mergeCell ref="C55:C56"/>
    <mergeCell ref="G55:G56"/>
    <mergeCell ref="C58:D59"/>
    <mergeCell ref="G58:G59"/>
    <mergeCell ref="G39:H40"/>
    <mergeCell ref="I39:J39"/>
    <mergeCell ref="G44:H44"/>
    <mergeCell ref="I44:J44"/>
    <mergeCell ref="C46:C48"/>
    <mergeCell ref="G46:G48"/>
  </mergeCells>
  <pageMargins left="0.75" right="0.75" top="1" bottom="1" header="0.5" footer="0.5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79E-7B19-354C-BC8F-2042BA61CE30}">
  <dimension ref="A1:N74"/>
  <sheetViews>
    <sheetView topLeftCell="A31" zoomScale="67" zoomScaleNormal="150" zoomScalePageLayoutView="150" workbookViewId="0">
      <selection activeCell="H36" sqref="H36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473" t="s">
        <v>291</v>
      </c>
      <c r="B1" s="429"/>
      <c r="C1" s="429"/>
      <c r="D1" s="429"/>
      <c r="E1" s="429"/>
      <c r="F1" s="429"/>
      <c r="G1" s="429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131275</v>
      </c>
      <c r="G3" s="176" t="s">
        <v>1</v>
      </c>
      <c r="I3" s="178" t="s">
        <v>234</v>
      </c>
      <c r="J3" s="179"/>
      <c r="K3" s="180">
        <f>F32*F17</f>
        <v>16666332.950930426</v>
      </c>
      <c r="L3" s="181" t="s">
        <v>9</v>
      </c>
    </row>
    <row r="4" spans="1:12" ht="17" thickBot="1">
      <c r="A4" s="176" t="s">
        <v>53</v>
      </c>
      <c r="B4" s="176"/>
      <c r="F4" s="182">
        <f>SUM(I46:I67)</f>
        <v>11841.45</v>
      </c>
      <c r="G4" s="176" t="s">
        <v>1</v>
      </c>
      <c r="I4" s="183" t="s">
        <v>15</v>
      </c>
      <c r="K4" s="184">
        <f>F33*F18</f>
        <v>622636.37436000002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119433.55</v>
      </c>
      <c r="G5" s="176" t="s">
        <v>1</v>
      </c>
      <c r="I5" s="183" t="s">
        <v>8</v>
      </c>
      <c r="K5" s="186">
        <f>F34*F19</f>
        <v>23040092.83857812</v>
      </c>
      <c r="L5" s="185" t="s">
        <v>9</v>
      </c>
    </row>
    <row r="6" spans="1:12" ht="16">
      <c r="A6" s="176" t="s">
        <v>63</v>
      </c>
      <c r="B6" s="176"/>
      <c r="F6" s="177">
        <v>27925</v>
      </c>
      <c r="G6" s="176" t="s">
        <v>1</v>
      </c>
      <c r="I6" s="183" t="s">
        <v>54</v>
      </c>
      <c r="K6" s="187">
        <f>F35*F20</f>
        <v>7658367.3925200002</v>
      </c>
      <c r="L6" s="185" t="s">
        <v>9</v>
      </c>
    </row>
    <row r="7" spans="1:12" ht="16">
      <c r="A7" s="176" t="s">
        <v>64</v>
      </c>
      <c r="B7" s="176"/>
      <c r="F7" s="177">
        <v>9880</v>
      </c>
      <c r="G7" s="176" t="s">
        <v>1</v>
      </c>
      <c r="I7" s="188"/>
      <c r="L7" s="189"/>
    </row>
    <row r="8" spans="1:12" ht="17" thickBot="1">
      <c r="A8" s="176" t="s">
        <v>65</v>
      </c>
      <c r="B8" s="176"/>
      <c r="F8" s="428">
        <f>SUM(F6:F7)/F5</f>
        <v>0.31653584775802107</v>
      </c>
      <c r="G8" s="176"/>
      <c r="I8" s="191" t="s">
        <v>18</v>
      </c>
      <c r="J8" s="192"/>
      <c r="K8" s="193">
        <f>SUM(K3:K6)/F11/1000</f>
        <v>0.60301510579578366</v>
      </c>
      <c r="L8" s="194" t="s">
        <v>10</v>
      </c>
    </row>
    <row r="9" spans="1:12" ht="16">
      <c r="A9" s="176" t="s">
        <v>171</v>
      </c>
      <c r="B9" s="176"/>
      <c r="F9" s="195">
        <v>798.32</v>
      </c>
      <c r="G9" s="176" t="s">
        <v>1</v>
      </c>
      <c r="H9" s="474" t="s">
        <v>292</v>
      </c>
      <c r="I9" s="196"/>
      <c r="K9" s="197"/>
      <c r="L9" s="196"/>
    </row>
    <row r="10" spans="1:12" ht="16">
      <c r="A10" s="176" t="s">
        <v>172</v>
      </c>
      <c r="B10" s="176"/>
      <c r="F10" s="195">
        <f>1285-20.85-13.07</f>
        <v>1251.0800000000002</v>
      </c>
      <c r="G10" s="176" t="s">
        <v>1</v>
      </c>
      <c r="H10" s="474" t="s">
        <v>292</v>
      </c>
      <c r="I10" s="196"/>
      <c r="K10" s="197"/>
      <c r="L10" s="196"/>
    </row>
    <row r="11" spans="1:12" ht="16">
      <c r="A11" s="176" t="s">
        <v>176</v>
      </c>
      <c r="B11" s="176"/>
      <c r="F11" s="198">
        <f>F5-SUM(F9:F10)-F6-F7</f>
        <v>79579.150000000009</v>
      </c>
      <c r="G11" s="176" t="s">
        <v>1</v>
      </c>
      <c r="H11" s="176"/>
      <c r="I11" s="196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427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474" t="s">
        <v>293</v>
      </c>
    </row>
    <row r="16" spans="1:12" ht="16">
      <c r="A16" s="176"/>
      <c r="B16" s="176"/>
      <c r="G16" s="202"/>
    </row>
    <row r="17" spans="1:8" ht="16">
      <c r="A17" s="176" t="s">
        <v>232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236</v>
      </c>
      <c r="F22" s="203">
        <v>6029647</v>
      </c>
      <c r="G22" s="202" t="s">
        <v>47</v>
      </c>
      <c r="H22" s="474" t="s">
        <v>294</v>
      </c>
    </row>
    <row r="23" spans="1:8" ht="16">
      <c r="A23" s="176" t="s">
        <v>57</v>
      </c>
      <c r="F23" s="203">
        <v>194033</v>
      </c>
      <c r="G23" s="202" t="s">
        <v>47</v>
      </c>
      <c r="H23" s="474" t="s">
        <v>294</v>
      </c>
    </row>
    <row r="24" spans="1:8" ht="16">
      <c r="A24" s="204" t="s">
        <v>46</v>
      </c>
      <c r="F24" s="203">
        <v>10831662</v>
      </c>
      <c r="G24" s="202" t="s">
        <v>47</v>
      </c>
      <c r="H24" s="474" t="s">
        <v>294</v>
      </c>
    </row>
    <row r="25" spans="1:8" ht="16">
      <c r="A25" s="176" t="s">
        <v>45</v>
      </c>
      <c r="F25" s="203">
        <v>1984722</v>
      </c>
      <c r="G25" s="202" t="s">
        <v>47</v>
      </c>
      <c r="H25" s="474" t="s">
        <v>295</v>
      </c>
    </row>
    <row r="27" spans="1:8" ht="16">
      <c r="A27" s="176" t="s">
        <v>236</v>
      </c>
      <c r="F27" s="205">
        <f>F22*$F$15</f>
        <v>266510.39740000002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8576.258600000001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478759.46040000004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87724.712400000004</v>
      </c>
      <c r="G30" s="202" t="s">
        <v>16</v>
      </c>
      <c r="H30" s="176" t="s">
        <v>52</v>
      </c>
    </row>
    <row r="32" spans="1:8" ht="16">
      <c r="A32" s="204" t="s">
        <v>238</v>
      </c>
      <c r="F32" s="205">
        <f>F27-L70</f>
        <v>220746.131800403</v>
      </c>
      <c r="G32" s="202" t="s">
        <v>16</v>
      </c>
      <c r="H32" s="474" t="s">
        <v>321</v>
      </c>
    </row>
    <row r="33" spans="1:14" ht="16">
      <c r="A33" s="204" t="s">
        <v>59</v>
      </c>
      <c r="F33" s="205">
        <f>F28</f>
        <v>8576.258600000001</v>
      </c>
      <c r="G33" s="202" t="s">
        <v>16</v>
      </c>
      <c r="H33" s="474" t="s">
        <v>321</v>
      </c>
    </row>
    <row r="34" spans="1:14" ht="16">
      <c r="A34" s="204" t="s">
        <v>50</v>
      </c>
      <c r="F34" s="205">
        <f>F29-L71</f>
        <v>424311.1019995971</v>
      </c>
      <c r="G34" s="202" t="s">
        <v>16</v>
      </c>
      <c r="H34" s="474" t="s">
        <v>321</v>
      </c>
    </row>
    <row r="35" spans="1:14" ht="17" customHeight="1">
      <c r="A35" s="204" t="s">
        <v>49</v>
      </c>
      <c r="F35" s="205">
        <f>F30</f>
        <v>87724.712400000004</v>
      </c>
      <c r="G35" s="202" t="s">
        <v>16</v>
      </c>
      <c r="H35" s="474" t="s">
        <v>321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475" t="s">
        <v>296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425"/>
      <c r="E39" s="289"/>
      <c r="F39" s="425"/>
      <c r="G39" s="606" t="s">
        <v>223</v>
      </c>
      <c r="H39" s="607"/>
      <c r="I39" s="600" t="s">
        <v>23</v>
      </c>
      <c r="J39" s="601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425"/>
      <c r="E40" s="289" t="s">
        <v>71</v>
      </c>
      <c r="F40" s="425" t="s">
        <v>22</v>
      </c>
      <c r="G40" s="608"/>
      <c r="H40" s="609"/>
      <c r="I40" s="425" t="s">
        <v>224</v>
      </c>
      <c r="J40" s="425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425"/>
      <c r="E41" s="291"/>
      <c r="F41" s="426"/>
      <c r="G41" s="293"/>
      <c r="H41" s="290"/>
      <c r="I41" s="425"/>
      <c r="J41" s="425"/>
      <c r="K41" s="289"/>
      <c r="L41" s="290"/>
      <c r="M41" s="286"/>
    </row>
    <row r="42" spans="1:14" ht="15" customHeight="1">
      <c r="B42" s="281"/>
      <c r="C42" s="287"/>
      <c r="D42" s="426"/>
      <c r="E42" s="291"/>
      <c r="F42" s="426"/>
      <c r="G42" s="293"/>
      <c r="H42" s="290"/>
      <c r="I42" s="425"/>
      <c r="J42" s="425"/>
      <c r="K42" s="289"/>
      <c r="L42" s="290"/>
      <c r="M42" s="286"/>
    </row>
    <row r="43" spans="1:14" ht="14" customHeight="1">
      <c r="B43" s="281"/>
      <c r="C43" s="294"/>
      <c r="D43" s="423"/>
      <c r="E43" s="296" t="s">
        <v>73</v>
      </c>
      <c r="F43" s="424"/>
      <c r="G43" s="294" t="s">
        <v>74</v>
      </c>
      <c r="H43" s="298"/>
      <c r="I43" s="423"/>
      <c r="J43" s="423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598" t="s">
        <v>1</v>
      </c>
      <c r="H44" s="599"/>
      <c r="I44" s="598" t="s">
        <v>1</v>
      </c>
      <c r="J44" s="599"/>
      <c r="K44" s="305"/>
      <c r="L44" s="306" t="s">
        <v>16</v>
      </c>
      <c r="M44" s="286"/>
      <c r="N44" s="231"/>
    </row>
    <row r="45" spans="1:14" ht="15">
      <c r="B45" s="281"/>
      <c r="C45" s="412" t="s">
        <v>28</v>
      </c>
      <c r="D45" s="422"/>
      <c r="E45" s="309"/>
      <c r="F45" s="421"/>
      <c r="G45" s="311"/>
      <c r="H45" s="312"/>
      <c r="I45" s="420"/>
      <c r="J45" s="420"/>
      <c r="K45" s="314"/>
      <c r="L45" s="419"/>
      <c r="M45" s="286"/>
      <c r="N45" s="231"/>
    </row>
    <row r="46" spans="1:14" ht="15">
      <c r="B46" s="281"/>
      <c r="C46" s="610" t="s">
        <v>31</v>
      </c>
      <c r="D46" s="371"/>
      <c r="E46" s="513" t="s">
        <v>229</v>
      </c>
      <c r="F46" s="317" t="s">
        <v>34</v>
      </c>
      <c r="G46" s="602">
        <v>13.21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11"/>
      <c r="D47" s="416"/>
      <c r="E47" s="511"/>
      <c r="F47" s="512"/>
      <c r="G47" s="613"/>
      <c r="H47" s="324"/>
      <c r="I47" s="416"/>
      <c r="J47" s="416"/>
      <c r="K47" s="373"/>
      <c r="L47" s="324"/>
      <c r="M47" s="286"/>
      <c r="N47" s="231"/>
    </row>
    <row r="48" spans="1:14" ht="15" customHeight="1">
      <c r="B48" s="281"/>
      <c r="C48" s="612"/>
      <c r="D48" s="325"/>
      <c r="E48" s="326" t="s">
        <v>0</v>
      </c>
      <c r="F48" s="327" t="s">
        <v>34</v>
      </c>
      <c r="G48" s="603"/>
      <c r="H48" s="328">
        <f>I48/(I48+I46)*G46</f>
        <v>13.21</v>
      </c>
      <c r="I48" s="329">
        <v>323.11</v>
      </c>
      <c r="J48" s="329">
        <f>I48-H48</f>
        <v>309.90000000000003</v>
      </c>
      <c r="K48" s="374">
        <v>0.375</v>
      </c>
      <c r="L48" s="330">
        <f>J48/K48*3600/1000</f>
        <v>2975.0400000000004</v>
      </c>
      <c r="M48" s="286"/>
      <c r="N48" s="231"/>
    </row>
    <row r="49" spans="2:14">
      <c r="B49" s="281"/>
      <c r="C49" s="361"/>
      <c r="D49" s="361"/>
      <c r="E49" s="332"/>
      <c r="F49" s="410"/>
      <c r="G49" s="334"/>
      <c r="H49" s="335"/>
      <c r="I49" s="361"/>
      <c r="J49" s="361"/>
      <c r="K49" s="314"/>
      <c r="L49" s="361"/>
      <c r="M49" s="286"/>
      <c r="N49" s="231"/>
    </row>
    <row r="50" spans="2:14">
      <c r="B50" s="281"/>
      <c r="C50" s="418"/>
      <c r="D50" s="361"/>
      <c r="E50" s="332"/>
      <c r="F50" s="410"/>
      <c r="G50" s="334"/>
      <c r="H50" s="339"/>
      <c r="I50" s="406"/>
      <c r="J50" s="406"/>
      <c r="K50" s="375"/>
      <c r="L50" s="409"/>
      <c r="M50" s="286"/>
      <c r="N50" s="231"/>
    </row>
    <row r="51" spans="2:14" ht="15" customHeight="1">
      <c r="B51" s="281"/>
      <c r="C51" s="610" t="s">
        <v>32</v>
      </c>
      <c r="D51" s="376"/>
      <c r="E51" s="316" t="s">
        <v>230</v>
      </c>
      <c r="F51" s="317" t="s">
        <v>30</v>
      </c>
      <c r="G51" s="602">
        <v>16.29</v>
      </c>
      <c r="H51" s="318">
        <f>I51/(I51+I53)*G51</f>
        <v>0</v>
      </c>
      <c r="I51" s="319">
        <v>0</v>
      </c>
      <c r="J51" s="319">
        <f>I51-H51</f>
        <v>0</v>
      </c>
      <c r="K51" s="372">
        <v>0.3</v>
      </c>
      <c r="L51" s="320">
        <f>J51/K51*3600/1000</f>
        <v>0</v>
      </c>
      <c r="M51" s="286"/>
      <c r="N51" s="231"/>
    </row>
    <row r="52" spans="2:14" ht="15" customHeight="1">
      <c r="B52" s="281"/>
      <c r="C52" s="611"/>
      <c r="D52" s="416"/>
      <c r="E52" s="322"/>
      <c r="F52" s="417"/>
      <c r="G52" s="613"/>
      <c r="H52" s="324"/>
      <c r="I52" s="416"/>
      <c r="J52" s="416"/>
      <c r="K52" s="373"/>
      <c r="L52" s="324"/>
      <c r="M52" s="286"/>
      <c r="N52" s="231"/>
    </row>
    <row r="53" spans="2:14" ht="15">
      <c r="B53" s="281"/>
      <c r="C53" s="612"/>
      <c r="D53" s="377"/>
      <c r="E53" s="326" t="s">
        <v>0</v>
      </c>
      <c r="F53" s="327" t="s">
        <v>30</v>
      </c>
      <c r="G53" s="603"/>
      <c r="H53" s="328">
        <f>I53/(I53+I51)*G51</f>
        <v>16.29</v>
      </c>
      <c r="I53" s="329">
        <v>498.13</v>
      </c>
      <c r="J53" s="329">
        <f>I53-H53</f>
        <v>481.84</v>
      </c>
      <c r="K53" s="374">
        <v>0.3</v>
      </c>
      <c r="L53" s="330">
        <f>J53/K53*3600/1000</f>
        <v>5782.08</v>
      </c>
      <c r="M53" s="286"/>
      <c r="N53" s="231"/>
    </row>
    <row r="54" spans="2:14">
      <c r="B54" s="281"/>
      <c r="C54" s="361"/>
      <c r="D54" s="361"/>
      <c r="E54" s="332"/>
      <c r="F54" s="410"/>
      <c r="G54" s="334"/>
      <c r="H54" s="335"/>
      <c r="I54" s="361"/>
      <c r="J54" s="361"/>
      <c r="K54" s="314"/>
      <c r="L54" s="361"/>
      <c r="M54" s="286"/>
      <c r="N54" s="231"/>
    </row>
    <row r="55" spans="2:14" ht="28" customHeight="1">
      <c r="B55" s="281"/>
      <c r="C55" s="604" t="s">
        <v>178</v>
      </c>
      <c r="D55" s="344"/>
      <c r="E55" s="316" t="s">
        <v>230</v>
      </c>
      <c r="F55" s="317" t="s">
        <v>34</v>
      </c>
      <c r="G55" s="602">
        <v>430.58</v>
      </c>
      <c r="H55" s="318">
        <f>I55/(I55+I56)*G55</f>
        <v>351.91400004197533</v>
      </c>
      <c r="I55" s="319">
        <v>3894.2</v>
      </c>
      <c r="J55" s="319">
        <f>I55-H55</f>
        <v>3542.2859999580246</v>
      </c>
      <c r="K55" s="372">
        <v>0.375</v>
      </c>
      <c r="L55" s="320">
        <f>J55/K55*3600/1000</f>
        <v>34005.945599597035</v>
      </c>
      <c r="M55" s="286"/>
      <c r="N55" s="231"/>
    </row>
    <row r="56" spans="2:14" ht="26" customHeight="1">
      <c r="B56" s="281"/>
      <c r="C56" s="605"/>
      <c r="D56" s="337"/>
      <c r="E56" s="326" t="s">
        <v>0</v>
      </c>
      <c r="F56" s="327" t="s">
        <v>34</v>
      </c>
      <c r="G56" s="603"/>
      <c r="H56" s="328">
        <f>I56/(I56+I55)*G55</f>
        <v>78.665999958024642</v>
      </c>
      <c r="I56" s="329">
        <f>783.2+87.3</f>
        <v>870.5</v>
      </c>
      <c r="J56" s="329">
        <f>I56-H56</f>
        <v>791.8340000419754</v>
      </c>
      <c r="K56" s="374">
        <v>0.375</v>
      </c>
      <c r="L56" s="330">
        <f>J56/K56*3600/1000</f>
        <v>7601.606400402964</v>
      </c>
      <c r="M56" s="286"/>
      <c r="N56" s="231"/>
    </row>
    <row r="57" spans="2:14">
      <c r="B57" s="378"/>
      <c r="C57" s="415"/>
      <c r="D57" s="414"/>
      <c r="E57" s="413"/>
      <c r="F57" s="413"/>
      <c r="G57" s="382"/>
      <c r="H57" s="383"/>
      <c r="I57" s="384"/>
      <c r="J57" s="383"/>
      <c r="K57" s="385"/>
      <c r="L57" s="386"/>
      <c r="M57" s="387"/>
      <c r="N57" s="231"/>
    </row>
    <row r="58" spans="2:14">
      <c r="B58" s="378"/>
      <c r="C58" s="593" t="s">
        <v>35</v>
      </c>
      <c r="D58" s="594"/>
      <c r="E58" s="388" t="s">
        <v>230</v>
      </c>
      <c r="F58" s="389" t="s">
        <v>30</v>
      </c>
      <c r="G58" s="602">
        <v>78.930000000000007</v>
      </c>
      <c r="H58" s="318">
        <f>I58/(I58+I59)*G58</f>
        <v>0</v>
      </c>
      <c r="I58" s="319">
        <v>0</v>
      </c>
      <c r="J58" s="319">
        <f>I58-H58</f>
        <v>0</v>
      </c>
      <c r="K58" s="372">
        <v>0.6</v>
      </c>
      <c r="L58" s="320">
        <f>J58/K58*3600/1000</f>
        <v>0</v>
      </c>
      <c r="M58" s="387"/>
      <c r="N58" s="231"/>
    </row>
    <row r="59" spans="2:14">
      <c r="B59" s="378"/>
      <c r="C59" s="595"/>
      <c r="D59" s="596"/>
      <c r="E59" s="394" t="s">
        <v>0</v>
      </c>
      <c r="F59" s="395" t="s">
        <v>30</v>
      </c>
      <c r="G59" s="603"/>
      <c r="H59" s="328">
        <f>I59/(I59+I58)*G58</f>
        <v>78.930000000000007</v>
      </c>
      <c r="I59" s="329">
        <v>1001.01</v>
      </c>
      <c r="J59" s="329">
        <f>I59-H59</f>
        <v>922.07999999999993</v>
      </c>
      <c r="K59" s="374">
        <v>0.6</v>
      </c>
      <c r="L59" s="330">
        <f>J59/K59*3600/1000</f>
        <v>5532.48</v>
      </c>
      <c r="M59" s="387"/>
      <c r="N59" s="231"/>
    </row>
    <row r="60" spans="2:14">
      <c r="B60" s="378"/>
      <c r="C60" s="415"/>
      <c r="D60" s="414"/>
      <c r="E60" s="413"/>
      <c r="F60" s="413"/>
      <c r="G60" s="382"/>
      <c r="H60" s="383"/>
      <c r="I60" s="384"/>
      <c r="J60" s="383"/>
      <c r="K60" s="385"/>
      <c r="L60" s="386"/>
      <c r="M60" s="387"/>
      <c r="N60" s="231"/>
    </row>
    <row r="61" spans="2:14" ht="28" customHeight="1">
      <c r="B61" s="281"/>
      <c r="C61" s="604" t="s">
        <v>179</v>
      </c>
      <c r="D61" s="344"/>
      <c r="E61" s="316" t="s">
        <v>230</v>
      </c>
      <c r="F61" s="317" t="s">
        <v>34</v>
      </c>
      <c r="G61" s="602">
        <v>359.42</v>
      </c>
      <c r="H61" s="318">
        <f>I61/(I61+I62)*G61</f>
        <v>0</v>
      </c>
      <c r="I61" s="319">
        <v>0</v>
      </c>
      <c r="J61" s="319">
        <f>I61-H61</f>
        <v>0</v>
      </c>
      <c r="K61" s="372">
        <v>0.375</v>
      </c>
      <c r="L61" s="320">
        <f>J61/K61*3600/1000</f>
        <v>0</v>
      </c>
      <c r="M61" s="286"/>
      <c r="N61" s="231"/>
    </row>
    <row r="62" spans="2:14" ht="26" customHeight="1">
      <c r="B62" s="281"/>
      <c r="C62" s="605"/>
      <c r="D62" s="337"/>
      <c r="E62" s="326" t="s">
        <v>0</v>
      </c>
      <c r="F62" s="327" t="s">
        <v>34</v>
      </c>
      <c r="G62" s="603"/>
      <c r="H62" s="328">
        <f>I62/(I62+I61)*G61</f>
        <v>359.42</v>
      </c>
      <c r="I62" s="329">
        <v>3750.79</v>
      </c>
      <c r="J62" s="329">
        <f>I62-H62</f>
        <v>3391.37</v>
      </c>
      <c r="K62" s="374">
        <v>0.375</v>
      </c>
      <c r="L62" s="330">
        <f>J62/K62*3600/1000</f>
        <v>32557.151999999998</v>
      </c>
      <c r="M62" s="286"/>
      <c r="N62" s="231"/>
    </row>
    <row r="63" spans="2:14" ht="14">
      <c r="B63" s="281"/>
      <c r="C63" s="412" t="s">
        <v>36</v>
      </c>
      <c r="D63" s="361"/>
      <c r="E63" s="332"/>
      <c r="F63" s="410"/>
      <c r="G63" s="334"/>
      <c r="H63" s="335"/>
      <c r="I63" s="361"/>
      <c r="J63" s="361"/>
      <c r="K63" s="336"/>
      <c r="L63" s="361"/>
      <c r="M63" s="286"/>
    </row>
    <row r="64" spans="2:14" ht="14">
      <c r="B64" s="281"/>
      <c r="C64" s="361"/>
      <c r="D64" s="361"/>
      <c r="E64" s="332"/>
      <c r="F64" s="410"/>
      <c r="G64" s="334"/>
      <c r="H64" s="339"/>
      <c r="I64" s="406"/>
      <c r="J64" s="406"/>
      <c r="K64" s="336"/>
      <c r="L64" s="409"/>
      <c r="M64" s="286"/>
    </row>
    <row r="65" spans="2:13" ht="14">
      <c r="B65" s="281"/>
      <c r="C65" s="345" t="s">
        <v>37</v>
      </c>
      <c r="D65" s="346"/>
      <c r="E65" s="347" t="s">
        <v>230</v>
      </c>
      <c r="F65" s="348" t="s">
        <v>38</v>
      </c>
      <c r="G65" s="345"/>
      <c r="H65" s="349">
        <v>20.85</v>
      </c>
      <c r="I65" s="350">
        <v>738.25</v>
      </c>
      <c r="J65" s="350">
        <f>I65-H65</f>
        <v>717.4</v>
      </c>
      <c r="K65" s="351">
        <v>0.45</v>
      </c>
      <c r="L65" s="352">
        <f>J65/K65*3600/1000</f>
        <v>5739.2</v>
      </c>
      <c r="M65" s="286"/>
    </row>
    <row r="66" spans="2:13" ht="14">
      <c r="B66" s="281"/>
      <c r="C66" s="411"/>
      <c r="D66" s="361"/>
      <c r="E66" s="332"/>
      <c r="F66" s="410"/>
      <c r="G66" s="334"/>
      <c r="H66" s="339"/>
      <c r="I66" s="406"/>
      <c r="J66" s="406"/>
      <c r="K66" s="336"/>
      <c r="L66" s="409"/>
      <c r="M66" s="286"/>
    </row>
    <row r="67" spans="2:13" ht="14">
      <c r="B67" s="281"/>
      <c r="C67" s="354" t="s">
        <v>39</v>
      </c>
      <c r="D67" s="346"/>
      <c r="E67" s="347" t="s">
        <v>230</v>
      </c>
      <c r="F67" s="348" t="s">
        <v>38</v>
      </c>
      <c r="G67" s="345"/>
      <c r="H67" s="349">
        <v>13.07</v>
      </c>
      <c r="I67" s="350">
        <v>765.46</v>
      </c>
      <c r="J67" s="350">
        <f>I67-H67</f>
        <v>752.39</v>
      </c>
      <c r="K67" s="351">
        <v>0.45</v>
      </c>
      <c r="L67" s="352">
        <f>J67/K67*3600/1000</f>
        <v>6019.119999999999</v>
      </c>
      <c r="M67" s="286"/>
    </row>
    <row r="68" spans="2:13" ht="14">
      <c r="B68" s="281"/>
      <c r="C68" s="361"/>
      <c r="D68" s="361"/>
      <c r="E68" s="355"/>
      <c r="F68" s="361"/>
      <c r="G68" s="356"/>
      <c r="H68" s="357"/>
      <c r="I68" s="361"/>
      <c r="J68" s="361"/>
      <c r="K68" s="355"/>
      <c r="L68" s="404"/>
      <c r="M68" s="286"/>
    </row>
    <row r="69" spans="2:13" ht="14">
      <c r="B69" s="281"/>
      <c r="C69" s="361"/>
      <c r="D69" s="361"/>
      <c r="E69" s="361"/>
      <c r="F69" s="361"/>
      <c r="G69" s="361"/>
      <c r="H69" s="361"/>
      <c r="I69" s="408" t="s">
        <v>40</v>
      </c>
      <c r="J69" s="407">
        <f>SUM(J46:J67)</f>
        <v>10909.1</v>
      </c>
      <c r="K69" s="361"/>
      <c r="L69" s="361"/>
      <c r="M69" s="286"/>
    </row>
    <row r="70" spans="2:13" ht="14">
      <c r="B70" s="281"/>
      <c r="C70" s="361"/>
      <c r="D70" s="361"/>
      <c r="E70" s="361"/>
      <c r="F70" s="361"/>
      <c r="G70" s="361"/>
      <c r="H70" s="361"/>
      <c r="I70" s="361"/>
      <c r="J70" s="406"/>
      <c r="K70" s="405" t="s">
        <v>241</v>
      </c>
      <c r="L70" s="404">
        <f>L46+L51+L55+L58+L61+L65+L67</f>
        <v>45764.265599597027</v>
      </c>
      <c r="M70" s="286"/>
    </row>
    <row r="71" spans="2:13" ht="14">
      <c r="B71" s="281"/>
      <c r="C71" s="361"/>
      <c r="D71" s="361"/>
      <c r="E71" s="361"/>
      <c r="F71" s="361"/>
      <c r="G71" s="361"/>
      <c r="H71" s="361"/>
      <c r="I71" s="361"/>
      <c r="J71" s="361"/>
      <c r="K71" s="405" t="s">
        <v>42</v>
      </c>
      <c r="L71" s="404">
        <f>L48+L53+L56+L59+L62</f>
        <v>54448.358400402962</v>
      </c>
      <c r="M71" s="286"/>
    </row>
    <row r="72" spans="2:13" ht="14" thickBot="1">
      <c r="B72" s="363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5"/>
    </row>
    <row r="74" spans="2:13">
      <c r="B74" s="476" t="s">
        <v>297</v>
      </c>
    </row>
  </sheetData>
  <mergeCells count="14">
    <mergeCell ref="C61:C62"/>
    <mergeCell ref="G61:G62"/>
    <mergeCell ref="C51:C53"/>
    <mergeCell ref="G51:G53"/>
    <mergeCell ref="C55:C56"/>
    <mergeCell ref="G55:G56"/>
    <mergeCell ref="C58:D59"/>
    <mergeCell ref="G58:G59"/>
    <mergeCell ref="G39:H40"/>
    <mergeCell ref="I39:J39"/>
    <mergeCell ref="G44:H44"/>
    <mergeCell ref="I44:J44"/>
    <mergeCell ref="C46:C48"/>
    <mergeCell ref="G46:G48"/>
  </mergeCells>
  <pageMargins left="0.75" right="0.75" top="1" bottom="1" header="0.5" footer="0.5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687B-8CA3-2648-9C00-C913E25B4406}">
  <dimension ref="A1:N74"/>
  <sheetViews>
    <sheetView topLeftCell="A4" zoomScale="67" zoomScaleNormal="150" zoomScalePageLayoutView="150" workbookViewId="0">
      <selection activeCell="O13" sqref="O13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473" t="s">
        <v>309</v>
      </c>
      <c r="B1" s="429"/>
      <c r="C1" s="429"/>
      <c r="D1" s="429"/>
      <c r="E1" s="429"/>
      <c r="F1" s="429"/>
      <c r="G1" s="429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128532</v>
      </c>
      <c r="G3" s="176" t="s">
        <v>1</v>
      </c>
      <c r="I3" s="178" t="s">
        <v>234</v>
      </c>
      <c r="J3" s="179"/>
      <c r="K3" s="180">
        <f>F32*F17</f>
        <v>6259788.8657600973</v>
      </c>
      <c r="L3" s="181" t="s">
        <v>9</v>
      </c>
    </row>
    <row r="4" spans="1:12" ht="17" thickBot="1">
      <c r="A4" s="176" t="s">
        <v>53</v>
      </c>
      <c r="B4" s="176"/>
      <c r="F4" s="182">
        <f>SUM(I46:I67)</f>
        <v>11426.1</v>
      </c>
      <c r="G4" s="176" t="s">
        <v>1</v>
      </c>
      <c r="I4" s="183" t="s">
        <v>15</v>
      </c>
      <c r="K4" s="184">
        <f>F33*F18</f>
        <v>87869.856359999991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117105.9</v>
      </c>
      <c r="G5" s="176" t="s">
        <v>1</v>
      </c>
      <c r="I5" s="183" t="s">
        <v>8</v>
      </c>
      <c r="K5" s="186">
        <f>F34*F19</f>
        <v>20716478.82184102</v>
      </c>
      <c r="L5" s="185" t="s">
        <v>9</v>
      </c>
    </row>
    <row r="6" spans="1:12" ht="16">
      <c r="A6" s="176" t="s">
        <v>63</v>
      </c>
      <c r="B6" s="176"/>
      <c r="F6" s="177">
        <v>27339.3</v>
      </c>
      <c r="G6" s="176" t="s">
        <v>1</v>
      </c>
      <c r="I6" s="183" t="s">
        <v>54</v>
      </c>
      <c r="K6" s="187">
        <f>F35*F20</f>
        <v>10188201.35502</v>
      </c>
      <c r="L6" s="185" t="s">
        <v>9</v>
      </c>
    </row>
    <row r="7" spans="1:12" ht="16">
      <c r="A7" s="176" t="s">
        <v>64</v>
      </c>
      <c r="B7" s="176"/>
      <c r="F7" s="177">
        <v>9909</v>
      </c>
      <c r="G7" s="176" t="s">
        <v>1</v>
      </c>
      <c r="I7" s="188"/>
      <c r="L7" s="189"/>
    </row>
    <row r="8" spans="1:12" ht="17" thickBot="1">
      <c r="A8" s="176" t="s">
        <v>65</v>
      </c>
      <c r="B8" s="176"/>
      <c r="F8" s="428">
        <f>SUM(F6:F7)/F5</f>
        <v>0.31807364103772745</v>
      </c>
      <c r="G8" s="176"/>
      <c r="I8" s="191" t="s">
        <v>18</v>
      </c>
      <c r="J8" s="192"/>
      <c r="K8" s="193">
        <f>SUM(K3:K6)/F11/1000</f>
        <v>0.47292030198706886</v>
      </c>
      <c r="L8" s="194" t="s">
        <v>10</v>
      </c>
    </row>
    <row r="9" spans="1:12" ht="16">
      <c r="A9" s="176" t="s">
        <v>171</v>
      </c>
      <c r="B9" s="176"/>
      <c r="F9" s="195">
        <v>515.59</v>
      </c>
      <c r="G9" s="176" t="s">
        <v>1</v>
      </c>
      <c r="H9" s="474" t="s">
        <v>304</v>
      </c>
      <c r="I9" s="196"/>
      <c r="K9" s="197"/>
      <c r="L9" s="196"/>
    </row>
    <row r="10" spans="1:12" ht="16">
      <c r="A10" s="176" t="s">
        <v>172</v>
      </c>
      <c r="B10" s="176"/>
      <c r="F10" s="195">
        <f>591-19.85</f>
        <v>571.15</v>
      </c>
      <c r="G10" s="176" t="s">
        <v>1</v>
      </c>
      <c r="H10" s="474" t="s">
        <v>304</v>
      </c>
      <c r="I10" s="196"/>
      <c r="K10" s="197"/>
      <c r="L10" s="196"/>
    </row>
    <row r="11" spans="1:12" ht="16">
      <c r="A11" s="176" t="s">
        <v>176</v>
      </c>
      <c r="B11" s="176"/>
      <c r="F11" s="198">
        <f>F5-SUM(F9:F10)-F6-F7</f>
        <v>78770.859999999986</v>
      </c>
      <c r="G11" s="176" t="s">
        <v>1</v>
      </c>
      <c r="H11" s="176"/>
      <c r="I11" s="196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427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474" t="s">
        <v>305</v>
      </c>
    </row>
    <row r="16" spans="1:12" ht="16">
      <c r="A16" s="176"/>
      <c r="B16" s="176"/>
      <c r="G16" s="202"/>
    </row>
    <row r="17" spans="1:8" ht="16">
      <c r="A17" s="176" t="s">
        <v>232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236</v>
      </c>
      <c r="F22" s="203">
        <v>2661528</v>
      </c>
      <c r="G22" s="202" t="s">
        <v>47</v>
      </c>
      <c r="H22" s="474" t="s">
        <v>306</v>
      </c>
    </row>
    <row r="23" spans="1:8" ht="16">
      <c r="A23" s="176" t="s">
        <v>57</v>
      </c>
      <c r="F23" s="203">
        <v>27383</v>
      </c>
      <c r="G23" s="202" t="s">
        <v>47</v>
      </c>
      <c r="H23" s="474" t="s">
        <v>306</v>
      </c>
    </row>
    <row r="24" spans="1:8" ht="16">
      <c r="A24" s="204" t="s">
        <v>46</v>
      </c>
      <c r="F24" s="203">
        <v>10050101</v>
      </c>
      <c r="G24" s="202" t="s">
        <v>47</v>
      </c>
      <c r="H24" s="474" t="s">
        <v>306</v>
      </c>
    </row>
    <row r="25" spans="1:8" ht="16">
      <c r="A25" s="176" t="s">
        <v>45</v>
      </c>
      <c r="F25" s="203">
        <v>2640347</v>
      </c>
      <c r="G25" s="202" t="s">
        <v>47</v>
      </c>
      <c r="H25" s="474" t="s">
        <v>307</v>
      </c>
    </row>
    <row r="27" spans="1:8" ht="16">
      <c r="A27" s="176" t="s">
        <v>236</v>
      </c>
      <c r="F27" s="205">
        <f>F22*$F$15</f>
        <v>117639.53760000001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1210.3286000000001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444214.46420000005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116703.3374</v>
      </c>
      <c r="G30" s="202" t="s">
        <v>16</v>
      </c>
      <c r="H30" s="176" t="s">
        <v>52</v>
      </c>
    </row>
    <row r="32" spans="1:8" ht="16">
      <c r="A32" s="204" t="s">
        <v>238</v>
      </c>
      <c r="F32" s="205">
        <f>F27-L70</f>
        <v>82911.110804769502</v>
      </c>
      <c r="G32" s="202" t="s">
        <v>16</v>
      </c>
      <c r="H32" s="474" t="s">
        <v>308</v>
      </c>
    </row>
    <row r="33" spans="1:14" ht="16">
      <c r="A33" s="204" t="s">
        <v>59</v>
      </c>
      <c r="F33" s="205">
        <f>F28</f>
        <v>1210.3286000000001</v>
      </c>
      <c r="G33" s="202" t="s">
        <v>16</v>
      </c>
      <c r="H33" s="474" t="s">
        <v>308</v>
      </c>
    </row>
    <row r="34" spans="1:14" ht="16">
      <c r="A34" s="204" t="s">
        <v>50</v>
      </c>
      <c r="F34" s="205">
        <f>F29-L71</f>
        <v>381518.94699523057</v>
      </c>
      <c r="G34" s="202" t="s">
        <v>16</v>
      </c>
      <c r="H34" s="474" t="s">
        <v>308</v>
      </c>
    </row>
    <row r="35" spans="1:14" ht="17" customHeight="1">
      <c r="A35" s="204" t="s">
        <v>49</v>
      </c>
      <c r="F35" s="205">
        <f>F30</f>
        <v>116703.3374</v>
      </c>
      <c r="G35" s="202" t="s">
        <v>16</v>
      </c>
      <c r="H35" s="474" t="s">
        <v>308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475" t="s">
        <v>310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425"/>
      <c r="E39" s="289"/>
      <c r="F39" s="425"/>
      <c r="G39" s="606" t="s">
        <v>223</v>
      </c>
      <c r="H39" s="607"/>
      <c r="I39" s="600" t="s">
        <v>23</v>
      </c>
      <c r="J39" s="601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425"/>
      <c r="E40" s="289" t="s">
        <v>71</v>
      </c>
      <c r="F40" s="425" t="s">
        <v>22</v>
      </c>
      <c r="G40" s="608"/>
      <c r="H40" s="609"/>
      <c r="I40" s="425" t="s">
        <v>224</v>
      </c>
      <c r="J40" s="425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425"/>
      <c r="E41" s="291"/>
      <c r="F41" s="426"/>
      <c r="G41" s="293"/>
      <c r="H41" s="290"/>
      <c r="I41" s="425"/>
      <c r="J41" s="425"/>
      <c r="K41" s="289"/>
      <c r="L41" s="290"/>
      <c r="M41" s="286"/>
    </row>
    <row r="42" spans="1:14" ht="15" customHeight="1">
      <c r="B42" s="281"/>
      <c r="C42" s="287"/>
      <c r="D42" s="426"/>
      <c r="E42" s="291"/>
      <c r="F42" s="426"/>
      <c r="G42" s="293"/>
      <c r="H42" s="290"/>
      <c r="I42" s="425"/>
      <c r="J42" s="425"/>
      <c r="K42" s="289"/>
      <c r="L42" s="290"/>
      <c r="M42" s="286"/>
    </row>
    <row r="43" spans="1:14" ht="14" customHeight="1">
      <c r="B43" s="281"/>
      <c r="C43" s="294"/>
      <c r="D43" s="423"/>
      <c r="E43" s="296" t="s">
        <v>73</v>
      </c>
      <c r="F43" s="424"/>
      <c r="G43" s="294" t="s">
        <v>74</v>
      </c>
      <c r="H43" s="298"/>
      <c r="I43" s="423"/>
      <c r="J43" s="423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598" t="s">
        <v>1</v>
      </c>
      <c r="H44" s="599"/>
      <c r="I44" s="598" t="s">
        <v>1</v>
      </c>
      <c r="J44" s="599"/>
      <c r="K44" s="305"/>
      <c r="L44" s="306" t="s">
        <v>16</v>
      </c>
      <c r="M44" s="286"/>
      <c r="N44" s="231"/>
    </row>
    <row r="45" spans="1:14" ht="15">
      <c r="B45" s="281"/>
      <c r="C45" s="412" t="s">
        <v>28</v>
      </c>
      <c r="D45" s="422"/>
      <c r="E45" s="309"/>
      <c r="F45" s="421"/>
      <c r="G45" s="311"/>
      <c r="H45" s="312"/>
      <c r="I45" s="420"/>
      <c r="J45" s="420"/>
      <c r="K45" s="314"/>
      <c r="L45" s="419"/>
      <c r="M45" s="286"/>
      <c r="N45" s="231"/>
    </row>
    <row r="46" spans="1:14" ht="15">
      <c r="B46" s="281"/>
      <c r="C46" s="610" t="s">
        <v>31</v>
      </c>
      <c r="D46" s="371"/>
      <c r="E46" s="513" t="s">
        <v>229</v>
      </c>
      <c r="F46" s="317" t="s">
        <v>34</v>
      </c>
      <c r="G46" s="602">
        <v>13.21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11"/>
      <c r="D47" s="416"/>
      <c r="E47" s="511"/>
      <c r="F47" s="512"/>
      <c r="G47" s="613"/>
      <c r="H47" s="324"/>
      <c r="I47" s="416"/>
      <c r="J47" s="416"/>
      <c r="K47" s="373"/>
      <c r="L47" s="324"/>
      <c r="M47" s="286"/>
      <c r="N47" s="231"/>
    </row>
    <row r="48" spans="1:14" ht="15" customHeight="1">
      <c r="B48" s="281"/>
      <c r="C48" s="612"/>
      <c r="D48" s="325"/>
      <c r="E48" s="326" t="s">
        <v>0</v>
      </c>
      <c r="F48" s="327" t="s">
        <v>34</v>
      </c>
      <c r="G48" s="603"/>
      <c r="H48" s="328">
        <v>14.71</v>
      </c>
      <c r="I48" s="329">
        <v>395.33</v>
      </c>
      <c r="J48" s="329">
        <f>I48-H48</f>
        <v>380.62</v>
      </c>
      <c r="K48" s="374">
        <v>0.375</v>
      </c>
      <c r="L48" s="330">
        <f>J48/K48*3600/1000</f>
        <v>3653.9520000000002</v>
      </c>
      <c r="M48" s="286"/>
      <c r="N48" s="231"/>
    </row>
    <row r="49" spans="2:14">
      <c r="B49" s="281"/>
      <c r="C49" s="361"/>
      <c r="D49" s="361"/>
      <c r="E49" s="332"/>
      <c r="F49" s="410"/>
      <c r="G49" s="334"/>
      <c r="H49" s="335"/>
      <c r="I49" s="361"/>
      <c r="J49" s="361"/>
      <c r="K49" s="314"/>
      <c r="L49" s="361"/>
      <c r="M49" s="286"/>
      <c r="N49" s="231"/>
    </row>
    <row r="50" spans="2:14">
      <c r="B50" s="281"/>
      <c r="C50" s="418"/>
      <c r="D50" s="361"/>
      <c r="E50" s="332"/>
      <c r="F50" s="410"/>
      <c r="G50" s="334"/>
      <c r="H50" s="339"/>
      <c r="I50" s="406"/>
      <c r="J50" s="406"/>
      <c r="K50" s="375"/>
      <c r="L50" s="409"/>
      <c r="M50" s="286"/>
      <c r="N50" s="231"/>
    </row>
    <row r="51" spans="2:14" ht="15" customHeight="1">
      <c r="B51" s="281"/>
      <c r="C51" s="610" t="s">
        <v>32</v>
      </c>
      <c r="D51" s="376"/>
      <c r="E51" s="316" t="s">
        <v>230</v>
      </c>
      <c r="F51" s="317" t="s">
        <v>30</v>
      </c>
      <c r="G51" s="602">
        <v>16.29</v>
      </c>
      <c r="H51" s="318">
        <f>I51/(I51+I53)*G51</f>
        <v>0</v>
      </c>
      <c r="I51" s="319">
        <v>0</v>
      </c>
      <c r="J51" s="319">
        <f>I51-H51</f>
        <v>0</v>
      </c>
      <c r="K51" s="372">
        <v>0.3</v>
      </c>
      <c r="L51" s="320">
        <f>J51/K51*3600/1000</f>
        <v>0</v>
      </c>
      <c r="M51" s="286"/>
      <c r="N51" s="231"/>
    </row>
    <row r="52" spans="2:14" ht="15" customHeight="1">
      <c r="B52" s="281"/>
      <c r="C52" s="611"/>
      <c r="D52" s="416"/>
      <c r="E52" s="322"/>
      <c r="F52" s="417"/>
      <c r="G52" s="613"/>
      <c r="H52" s="324"/>
      <c r="I52" s="416"/>
      <c r="J52" s="416"/>
      <c r="K52" s="373"/>
      <c r="L52" s="324"/>
      <c r="M52" s="286"/>
      <c r="N52" s="231"/>
    </row>
    <row r="53" spans="2:14" ht="15">
      <c r="B53" s="281"/>
      <c r="C53" s="612"/>
      <c r="D53" s="377"/>
      <c r="E53" s="326" t="s">
        <v>0</v>
      </c>
      <c r="F53" s="327" t="s">
        <v>30</v>
      </c>
      <c r="G53" s="603"/>
      <c r="H53" s="328">
        <v>12.78</v>
      </c>
      <c r="I53" s="329">
        <v>368.02</v>
      </c>
      <c r="J53" s="329">
        <f>I53-H53</f>
        <v>355.24</v>
      </c>
      <c r="K53" s="374">
        <v>0.3</v>
      </c>
      <c r="L53" s="330">
        <f>J53/K53*3600/1000</f>
        <v>4262.88</v>
      </c>
      <c r="M53" s="286"/>
      <c r="N53" s="231"/>
    </row>
    <row r="54" spans="2:14">
      <c r="B54" s="281"/>
      <c r="C54" s="361"/>
      <c r="D54" s="361"/>
      <c r="E54" s="332"/>
      <c r="F54" s="410"/>
      <c r="G54" s="334"/>
      <c r="H54" s="335"/>
      <c r="I54" s="361"/>
      <c r="J54" s="361"/>
      <c r="K54" s="314"/>
      <c r="L54" s="361"/>
      <c r="M54" s="286"/>
      <c r="N54" s="231"/>
    </row>
    <row r="55" spans="2:14" ht="28" customHeight="1">
      <c r="B55" s="281"/>
      <c r="C55" s="604" t="s">
        <v>178</v>
      </c>
      <c r="D55" s="344"/>
      <c r="E55" s="316" t="s">
        <v>230</v>
      </c>
      <c r="F55" s="317" t="s">
        <v>34</v>
      </c>
      <c r="G55" s="602">
        <v>429.18</v>
      </c>
      <c r="H55" s="318">
        <f>I55/(I55+I56)*G55</f>
        <v>310.55554216348844</v>
      </c>
      <c r="I55" s="319">
        <v>3362</v>
      </c>
      <c r="J55" s="319">
        <f>I55-H55</f>
        <v>3051.4444578365114</v>
      </c>
      <c r="K55" s="372">
        <v>0.375</v>
      </c>
      <c r="L55" s="320">
        <f>J55/K55*3600/1000</f>
        <v>29293.866795230511</v>
      </c>
      <c r="M55" s="286"/>
      <c r="N55" s="231"/>
    </row>
    <row r="56" spans="2:14" ht="26" customHeight="1">
      <c r="B56" s="281"/>
      <c r="C56" s="605"/>
      <c r="D56" s="337"/>
      <c r="E56" s="326" t="s">
        <v>0</v>
      </c>
      <c r="F56" s="327" t="s">
        <v>34</v>
      </c>
      <c r="G56" s="603"/>
      <c r="H56" s="328">
        <f>I56/(I56+I55)*G55</f>
        <v>118.62445783651155</v>
      </c>
      <c r="I56" s="329">
        <f>854.5+429.7</f>
        <v>1284.2</v>
      </c>
      <c r="J56" s="329">
        <f>I56-H56</f>
        <v>1165.5755421634885</v>
      </c>
      <c r="K56" s="374">
        <v>0.375</v>
      </c>
      <c r="L56" s="330">
        <f>J56/K56*3600/1000</f>
        <v>11189.52520476949</v>
      </c>
      <c r="M56" s="286"/>
      <c r="N56" s="231"/>
    </row>
    <row r="57" spans="2:14">
      <c r="B57" s="378"/>
      <c r="C57" s="415"/>
      <c r="D57" s="414"/>
      <c r="E57" s="413"/>
      <c r="F57" s="413"/>
      <c r="G57" s="382"/>
      <c r="H57" s="383"/>
      <c r="I57" s="384"/>
      <c r="J57" s="383"/>
      <c r="K57" s="385"/>
      <c r="L57" s="386"/>
      <c r="M57" s="387"/>
      <c r="N57" s="231"/>
    </row>
    <row r="58" spans="2:14">
      <c r="B58" s="378"/>
      <c r="C58" s="593" t="s">
        <v>35</v>
      </c>
      <c r="D58" s="594"/>
      <c r="E58" s="388" t="s">
        <v>230</v>
      </c>
      <c r="F58" s="389" t="s">
        <v>30</v>
      </c>
      <c r="G58" s="602">
        <v>92.34</v>
      </c>
      <c r="H58" s="318">
        <f>I58/(I58+I59)*G58</f>
        <v>0</v>
      </c>
      <c r="I58" s="319">
        <v>0</v>
      </c>
      <c r="J58" s="319">
        <f>I58-H58</f>
        <v>0</v>
      </c>
      <c r="K58" s="372">
        <v>0.6</v>
      </c>
      <c r="L58" s="320">
        <f>J58/K58*3600/1000</f>
        <v>0</v>
      </c>
      <c r="M58" s="387"/>
      <c r="N58" s="231"/>
    </row>
    <row r="59" spans="2:14">
      <c r="B59" s="378"/>
      <c r="C59" s="595"/>
      <c r="D59" s="596"/>
      <c r="E59" s="394" t="s">
        <v>0</v>
      </c>
      <c r="F59" s="395" t="s">
        <v>30</v>
      </c>
      <c r="G59" s="603"/>
      <c r="H59" s="328">
        <f>I59/(I59+I58)*G58</f>
        <v>92.34</v>
      </c>
      <c r="I59" s="329">
        <v>1251.68</v>
      </c>
      <c r="J59" s="329">
        <f>I59-H59</f>
        <v>1159.3400000000001</v>
      </c>
      <c r="K59" s="374">
        <v>0.6</v>
      </c>
      <c r="L59" s="330">
        <f>J59/K59*3600/1000</f>
        <v>6956.0400000000009</v>
      </c>
      <c r="M59" s="387"/>
      <c r="N59" s="231"/>
    </row>
    <row r="60" spans="2:14">
      <c r="B60" s="378"/>
      <c r="C60" s="415"/>
      <c r="D60" s="414"/>
      <c r="E60" s="413"/>
      <c r="F60" s="413"/>
      <c r="G60" s="382"/>
      <c r="H60" s="383"/>
      <c r="I60" s="384"/>
      <c r="J60" s="383"/>
      <c r="K60" s="385"/>
      <c r="L60" s="386"/>
      <c r="M60" s="387"/>
      <c r="N60" s="231"/>
    </row>
    <row r="61" spans="2:14" ht="28" customHeight="1">
      <c r="B61" s="281"/>
      <c r="C61" s="604" t="s">
        <v>179</v>
      </c>
      <c r="D61" s="344"/>
      <c r="E61" s="316" t="s">
        <v>230</v>
      </c>
      <c r="F61" s="317" t="s">
        <v>34</v>
      </c>
      <c r="G61" s="602">
        <v>249.75</v>
      </c>
      <c r="H61" s="318">
        <f>I61/(I61+I62)*G61</f>
        <v>0</v>
      </c>
      <c r="I61" s="319">
        <v>0</v>
      </c>
      <c r="J61" s="319">
        <f>I61-H61</f>
        <v>0</v>
      </c>
      <c r="K61" s="372">
        <v>0.375</v>
      </c>
      <c r="L61" s="320">
        <f>J61/K61*3600/1000</f>
        <v>0</v>
      </c>
      <c r="M61" s="286"/>
      <c r="N61" s="231"/>
    </row>
    <row r="62" spans="2:14" ht="26" customHeight="1">
      <c r="B62" s="281"/>
      <c r="C62" s="605"/>
      <c r="D62" s="337"/>
      <c r="E62" s="326" t="s">
        <v>0</v>
      </c>
      <c r="F62" s="327" t="s">
        <v>34</v>
      </c>
      <c r="G62" s="603"/>
      <c r="H62" s="328">
        <f>I62/(I62+I61)*G61</f>
        <v>249.75</v>
      </c>
      <c r="I62" s="329">
        <v>4065.7</v>
      </c>
      <c r="J62" s="329">
        <f>I62-H62</f>
        <v>3815.95</v>
      </c>
      <c r="K62" s="374">
        <v>0.375</v>
      </c>
      <c r="L62" s="330">
        <f>J62/K62*3600/1000</f>
        <v>36633.120000000003</v>
      </c>
      <c r="M62" s="286"/>
      <c r="N62" s="231"/>
    </row>
    <row r="63" spans="2:14" ht="14">
      <c r="B63" s="281"/>
      <c r="C63" s="412" t="s">
        <v>36</v>
      </c>
      <c r="D63" s="361"/>
      <c r="E63" s="332"/>
      <c r="F63" s="410"/>
      <c r="G63" s="334"/>
      <c r="H63" s="335"/>
      <c r="I63" s="361"/>
      <c r="J63" s="361"/>
      <c r="K63" s="336"/>
      <c r="L63" s="361"/>
      <c r="M63" s="286"/>
    </row>
    <row r="64" spans="2:14" ht="14">
      <c r="B64" s="281"/>
      <c r="C64" s="361"/>
      <c r="D64" s="361"/>
      <c r="E64" s="332"/>
      <c r="F64" s="410"/>
      <c r="G64" s="334"/>
      <c r="H64" s="339"/>
      <c r="I64" s="406"/>
      <c r="J64" s="406"/>
      <c r="K64" s="336"/>
      <c r="L64" s="409"/>
      <c r="M64" s="286"/>
    </row>
    <row r="65" spans="2:13" ht="14">
      <c r="B65" s="281"/>
      <c r="C65" s="345" t="s">
        <v>37</v>
      </c>
      <c r="D65" s="346"/>
      <c r="E65" s="347" t="s">
        <v>230</v>
      </c>
      <c r="F65" s="348" t="s">
        <v>38</v>
      </c>
      <c r="G65" s="345"/>
      <c r="H65" s="349">
        <v>19.850000000000001</v>
      </c>
      <c r="I65" s="350">
        <v>699.17</v>
      </c>
      <c r="J65" s="350">
        <f>I65-H65</f>
        <v>679.31999999999994</v>
      </c>
      <c r="K65" s="351">
        <v>0.45</v>
      </c>
      <c r="L65" s="352">
        <f>J65/K65*3600/1000</f>
        <v>5434.56</v>
      </c>
      <c r="M65" s="286"/>
    </row>
    <row r="66" spans="2:13" ht="14">
      <c r="B66" s="281"/>
      <c r="C66" s="411"/>
      <c r="D66" s="361"/>
      <c r="E66" s="332"/>
      <c r="F66" s="410"/>
      <c r="G66" s="334"/>
      <c r="H66" s="339"/>
      <c r="I66" s="406"/>
      <c r="J66" s="406"/>
      <c r="K66" s="336"/>
      <c r="L66" s="409"/>
      <c r="M66" s="286"/>
    </row>
    <row r="67" spans="2:13" ht="14">
      <c r="B67" s="281"/>
      <c r="C67" s="354" t="s">
        <v>39</v>
      </c>
      <c r="D67" s="346"/>
      <c r="E67" s="347" t="s">
        <v>230</v>
      </c>
      <c r="F67" s="348" t="s">
        <v>38</v>
      </c>
      <c r="G67" s="345"/>
      <c r="H67" s="349">
        <v>0</v>
      </c>
      <c r="I67" s="350">
        <v>0</v>
      </c>
      <c r="J67" s="350">
        <f>I67-H67</f>
        <v>0</v>
      </c>
      <c r="K67" s="351">
        <v>0.45</v>
      </c>
      <c r="L67" s="352">
        <f>J67/K67*3600/1000</f>
        <v>0</v>
      </c>
      <c r="M67" s="286"/>
    </row>
    <row r="68" spans="2:13" ht="14">
      <c r="B68" s="281"/>
      <c r="C68" s="361"/>
      <c r="D68" s="361"/>
      <c r="E68" s="355"/>
      <c r="F68" s="361"/>
      <c r="G68" s="356"/>
      <c r="H68" s="357"/>
      <c r="I68" s="361"/>
      <c r="J68" s="361"/>
      <c r="K68" s="355"/>
      <c r="L68" s="404"/>
      <c r="M68" s="286"/>
    </row>
    <row r="69" spans="2:13" ht="14">
      <c r="B69" s="281"/>
      <c r="C69" s="361"/>
      <c r="D69" s="361"/>
      <c r="E69" s="361"/>
      <c r="F69" s="361"/>
      <c r="G69" s="361"/>
      <c r="H69" s="361"/>
      <c r="I69" s="408" t="s">
        <v>40</v>
      </c>
      <c r="J69" s="407">
        <f>SUM(J46:J67)</f>
        <v>10607.49</v>
      </c>
      <c r="K69" s="361"/>
      <c r="L69" s="361"/>
      <c r="M69" s="286"/>
    </row>
    <row r="70" spans="2:13" ht="14">
      <c r="B70" s="281"/>
      <c r="C70" s="361"/>
      <c r="D70" s="361"/>
      <c r="E70" s="361"/>
      <c r="F70" s="361"/>
      <c r="G70" s="361"/>
      <c r="H70" s="361"/>
      <c r="I70" s="361"/>
      <c r="J70" s="406"/>
      <c r="K70" s="405" t="s">
        <v>241</v>
      </c>
      <c r="L70" s="404">
        <f>L46+L51+L55+L58+L61+L65+L67</f>
        <v>34728.426795230509</v>
      </c>
      <c r="M70" s="286"/>
    </row>
    <row r="71" spans="2:13" ht="14">
      <c r="B71" s="281"/>
      <c r="C71" s="361"/>
      <c r="D71" s="361"/>
      <c r="E71" s="361"/>
      <c r="F71" s="361"/>
      <c r="G71" s="361"/>
      <c r="H71" s="361"/>
      <c r="I71" s="361"/>
      <c r="J71" s="361"/>
      <c r="K71" s="405" t="s">
        <v>42</v>
      </c>
      <c r="L71" s="404">
        <f>L48+L53+L56+L59+L62</f>
        <v>62695.517204769494</v>
      </c>
      <c r="M71" s="286"/>
    </row>
    <row r="72" spans="2:13" ht="14" thickBot="1">
      <c r="B72" s="363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5"/>
    </row>
    <row r="74" spans="2:13">
      <c r="B74" s="476" t="s">
        <v>311</v>
      </c>
    </row>
  </sheetData>
  <mergeCells count="14">
    <mergeCell ref="C61:C62"/>
    <mergeCell ref="G61:G62"/>
    <mergeCell ref="C51:C53"/>
    <mergeCell ref="G51:G53"/>
    <mergeCell ref="C55:C56"/>
    <mergeCell ref="G55:G56"/>
    <mergeCell ref="C58:D59"/>
    <mergeCell ref="G58:G59"/>
    <mergeCell ref="G39:H40"/>
    <mergeCell ref="I39:J39"/>
    <mergeCell ref="G44:H44"/>
    <mergeCell ref="I44:J44"/>
    <mergeCell ref="C46:C48"/>
    <mergeCell ref="G46:G48"/>
  </mergeCells>
  <pageMargins left="0.75" right="0.75" top="1" bottom="1" header="0.5" footer="0.5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CC1B-9BAB-6E45-BCDD-224781645B54}">
  <dimension ref="A1:Z213"/>
  <sheetViews>
    <sheetView topLeftCell="C1" zoomScaleNormal="150" zoomScalePageLayoutView="150" workbookViewId="0">
      <selection activeCell="O25" sqref="O25"/>
    </sheetView>
  </sheetViews>
  <sheetFormatPr baseColWidth="10" defaultColWidth="8.83203125" defaultRowHeight="13"/>
  <cols>
    <col min="1" max="1" width="10.6640625" style="5" customWidth="1"/>
    <col min="2" max="2" width="24.5" style="5" bestFit="1" customWidth="1"/>
    <col min="3" max="3" width="12" style="5" customWidth="1"/>
    <col min="4" max="4" width="55.83203125" style="8" customWidth="1"/>
    <col min="5" max="5" width="20.1640625" style="9" customWidth="1"/>
    <col min="6" max="6" width="8" style="5" customWidth="1"/>
    <col min="7" max="7" width="12.33203125" style="5" customWidth="1"/>
    <col min="8" max="8" width="9.6640625" style="5" customWidth="1"/>
    <col min="9" max="9" width="11" style="5" customWidth="1"/>
    <col min="10" max="10" width="13.83203125" style="5" customWidth="1"/>
    <col min="11" max="11" width="11" style="5" customWidth="1"/>
    <col min="12" max="12" width="8.1640625" style="5" customWidth="1"/>
    <col min="13" max="13" width="15.83203125" style="5" customWidth="1"/>
    <col min="14" max="14" width="19.6640625" style="5" customWidth="1"/>
    <col min="15" max="15" width="13.5" style="5" customWidth="1"/>
    <col min="16" max="16" width="10.6640625" style="5" bestFit="1" customWidth="1"/>
    <col min="17" max="17" width="25.83203125" style="5" bestFit="1" customWidth="1"/>
    <col min="18" max="18" width="8.5" style="5" bestFit="1" customWidth="1"/>
    <col min="19" max="19" width="9.6640625" style="5" bestFit="1" customWidth="1"/>
    <col min="20" max="20" width="8.33203125" style="5" bestFit="1" customWidth="1"/>
    <col min="21" max="21" width="6.83203125" style="5" bestFit="1" customWidth="1"/>
    <col min="22" max="22" width="8.33203125" style="5" bestFit="1" customWidth="1"/>
    <col min="23" max="23" width="10.1640625" style="5" customWidth="1"/>
    <col min="24" max="24" width="8.1640625" style="5" bestFit="1" customWidth="1"/>
    <col min="25" max="25" width="10" style="5" bestFit="1" customWidth="1"/>
    <col min="26" max="16384" width="8.83203125" style="5"/>
  </cols>
  <sheetData>
    <row r="1" spans="1:15" ht="56">
      <c r="A1" s="1" t="s">
        <v>73</v>
      </c>
      <c r="B1" s="1" t="s">
        <v>84</v>
      </c>
      <c r="C1" s="2" t="s">
        <v>148</v>
      </c>
      <c r="D1" s="2" t="s">
        <v>149</v>
      </c>
      <c r="E1" s="1" t="s">
        <v>22</v>
      </c>
      <c r="F1" s="3" t="s">
        <v>133</v>
      </c>
      <c r="G1" s="3" t="s">
        <v>134</v>
      </c>
      <c r="H1" s="3" t="s">
        <v>147</v>
      </c>
      <c r="I1" s="4" t="s">
        <v>150</v>
      </c>
      <c r="J1" s="477" t="s">
        <v>319</v>
      </c>
      <c r="O1" s="459"/>
    </row>
    <row r="2" spans="1:15" ht="14" thickBot="1">
      <c r="A2" s="23"/>
      <c r="I2" s="466"/>
    </row>
    <row r="3" spans="1:15">
      <c r="A3" s="26" t="s">
        <v>131</v>
      </c>
      <c r="B3" s="515" t="s">
        <v>315</v>
      </c>
      <c r="C3" s="483" t="s">
        <v>317</v>
      </c>
      <c r="D3" s="484" t="s">
        <v>284</v>
      </c>
      <c r="E3" s="485" t="s">
        <v>131</v>
      </c>
      <c r="F3" s="179">
        <v>1410</v>
      </c>
      <c r="G3" s="470">
        <v>1556240</v>
      </c>
      <c r="H3" s="486" t="s">
        <v>284</v>
      </c>
      <c r="I3" s="20" t="s">
        <v>128</v>
      </c>
      <c r="J3" s="465">
        <f>G3/$G$81</f>
        <v>1.3946208908919854E-2</v>
      </c>
    </row>
    <row r="4" spans="1:15" s="12" customFormat="1">
      <c r="A4" s="519" t="s">
        <v>131</v>
      </c>
      <c r="B4" s="516" t="s">
        <v>316</v>
      </c>
      <c r="C4" s="488" t="s">
        <v>317</v>
      </c>
      <c r="D4" s="489" t="s">
        <v>284</v>
      </c>
      <c r="E4" s="490" t="s">
        <v>131</v>
      </c>
      <c r="F4" s="12">
        <v>108</v>
      </c>
      <c r="G4" s="482">
        <v>72150</v>
      </c>
      <c r="H4" s="491" t="s">
        <v>284</v>
      </c>
      <c r="I4" s="33" t="s">
        <v>128</v>
      </c>
      <c r="J4" s="469">
        <f t="shared" ref="J4:J7" si="0">G4/$G$81</f>
        <v>6.4657056288141125E-4</v>
      </c>
    </row>
    <row r="5" spans="1:15">
      <c r="A5" s="487" t="s">
        <v>89</v>
      </c>
      <c r="B5" s="516" t="s">
        <v>298</v>
      </c>
      <c r="C5" s="488" t="s">
        <v>299</v>
      </c>
      <c r="D5" s="489" t="s">
        <v>283</v>
      </c>
      <c r="E5" s="490" t="s">
        <v>126</v>
      </c>
      <c r="F5" s="12">
        <v>340</v>
      </c>
      <c r="G5" s="482">
        <v>2298000</v>
      </c>
      <c r="H5" s="491" t="s">
        <v>284</v>
      </c>
      <c r="I5" s="33" t="s">
        <v>128</v>
      </c>
      <c r="J5" s="469">
        <f t="shared" si="0"/>
        <v>2.0593474061004619E-2</v>
      </c>
    </row>
    <row r="6" spans="1:15">
      <c r="A6" s="492" t="s">
        <v>151</v>
      </c>
      <c r="B6" s="516" t="s">
        <v>300</v>
      </c>
      <c r="C6" s="488" t="s">
        <v>299</v>
      </c>
      <c r="D6" s="489" t="s">
        <v>283</v>
      </c>
      <c r="E6" s="490" t="s">
        <v>151</v>
      </c>
      <c r="F6" s="12">
        <v>1320</v>
      </c>
      <c r="G6" s="482">
        <v>5284190</v>
      </c>
      <c r="H6" s="491" t="s">
        <v>284</v>
      </c>
      <c r="I6" s="514" t="s">
        <v>128</v>
      </c>
      <c r="J6" s="469">
        <f t="shared" si="0"/>
        <v>4.7354146953185371E-2</v>
      </c>
    </row>
    <row r="7" spans="1:15">
      <c r="A7" s="492" t="s">
        <v>151</v>
      </c>
      <c r="B7" s="516" t="s">
        <v>301</v>
      </c>
      <c r="C7" s="488" t="s">
        <v>299</v>
      </c>
      <c r="D7" s="489" t="s">
        <v>283</v>
      </c>
      <c r="E7" s="490" t="s">
        <v>151</v>
      </c>
      <c r="F7" s="12">
        <v>62</v>
      </c>
      <c r="G7" s="482"/>
      <c r="H7" s="491" t="s">
        <v>284</v>
      </c>
      <c r="I7" s="38" t="s">
        <v>86</v>
      </c>
      <c r="J7" s="469">
        <f t="shared" si="0"/>
        <v>0</v>
      </c>
    </row>
    <row r="8" spans="1:15">
      <c r="A8" s="492" t="s">
        <v>151</v>
      </c>
      <c r="B8" s="516" t="s">
        <v>302</v>
      </c>
      <c r="C8" s="488" t="s">
        <v>299</v>
      </c>
      <c r="D8" s="445" t="s">
        <v>314</v>
      </c>
      <c r="E8" s="490" t="s">
        <v>286</v>
      </c>
      <c r="F8" s="12">
        <v>1320</v>
      </c>
      <c r="G8" s="482">
        <v>7553640</v>
      </c>
      <c r="H8" s="491" t="s">
        <v>284</v>
      </c>
      <c r="I8" s="514" t="s">
        <v>128</v>
      </c>
      <c r="J8" s="469">
        <f t="shared" ref="J8:J11" si="1">G8/$G$81</f>
        <v>6.7691770846895954E-2</v>
      </c>
    </row>
    <row r="9" spans="1:15">
      <c r="A9" s="492" t="s">
        <v>151</v>
      </c>
      <c r="B9" s="516" t="s">
        <v>303</v>
      </c>
      <c r="C9" s="488" t="s">
        <v>299</v>
      </c>
      <c r="D9" s="489" t="s">
        <v>283</v>
      </c>
      <c r="E9" s="490" t="s">
        <v>151</v>
      </c>
      <c r="F9" s="12">
        <v>97</v>
      </c>
      <c r="G9" s="482">
        <v>15110</v>
      </c>
      <c r="H9" s="491" t="s">
        <v>284</v>
      </c>
      <c r="I9" s="514" t="s">
        <v>128</v>
      </c>
      <c r="J9" s="469">
        <f t="shared" si="1"/>
        <v>1.3540791691113132E-4</v>
      </c>
    </row>
    <row r="10" spans="1:15">
      <c r="A10" s="487" t="s">
        <v>89</v>
      </c>
      <c r="B10" s="516" t="s">
        <v>276</v>
      </c>
      <c r="C10" s="488" t="s">
        <v>277</v>
      </c>
      <c r="D10" s="489" t="s">
        <v>278</v>
      </c>
      <c r="E10" s="490" t="s">
        <v>126</v>
      </c>
      <c r="F10" s="12">
        <v>340</v>
      </c>
      <c r="G10" s="482">
        <v>2694000</v>
      </c>
      <c r="H10" s="491" t="s">
        <v>284</v>
      </c>
      <c r="I10" s="33" t="s">
        <v>128</v>
      </c>
      <c r="J10" s="469">
        <f t="shared" si="1"/>
        <v>2.4142218938357891E-2</v>
      </c>
    </row>
    <row r="11" spans="1:15">
      <c r="A11" s="492" t="s">
        <v>151</v>
      </c>
      <c r="B11" s="516" t="s">
        <v>279</v>
      </c>
      <c r="C11" s="488" t="s">
        <v>277</v>
      </c>
      <c r="D11" s="489" t="s">
        <v>278</v>
      </c>
      <c r="E11" s="490" t="s">
        <v>151</v>
      </c>
      <c r="F11" s="12">
        <v>1230</v>
      </c>
      <c r="G11" s="482">
        <v>6589440</v>
      </c>
      <c r="H11" s="491" t="s">
        <v>284</v>
      </c>
      <c r="I11" s="33" t="s">
        <v>128</v>
      </c>
      <c r="J11" s="469">
        <f t="shared" si="1"/>
        <v>5.9051114759158516E-2</v>
      </c>
      <c r="K11" s="61">
        <f>SUM(J3:J11)</f>
        <v>0.23356091294731474</v>
      </c>
    </row>
    <row r="12" spans="1:15">
      <c r="A12" s="492" t="s">
        <v>151</v>
      </c>
      <c r="B12" s="516" t="s">
        <v>280</v>
      </c>
      <c r="C12" s="488" t="s">
        <v>277</v>
      </c>
      <c r="D12" s="489" t="s">
        <v>278</v>
      </c>
      <c r="E12" s="490" t="s">
        <v>151</v>
      </c>
      <c r="F12" s="12">
        <v>1180</v>
      </c>
      <c r="G12" s="482">
        <v>6149750</v>
      </c>
      <c r="H12" s="491" t="s">
        <v>284</v>
      </c>
      <c r="I12" s="33" t="s">
        <v>128</v>
      </c>
      <c r="J12" s="62"/>
    </row>
    <row r="13" spans="1:15">
      <c r="A13" s="492" t="s">
        <v>151</v>
      </c>
      <c r="B13" s="479" t="s">
        <v>281</v>
      </c>
      <c r="C13" s="488" t="s">
        <v>277</v>
      </c>
      <c r="D13" s="445" t="s">
        <v>287</v>
      </c>
      <c r="E13" s="490" t="s">
        <v>286</v>
      </c>
      <c r="F13" s="12">
        <v>1320</v>
      </c>
      <c r="G13" s="482">
        <v>8220190</v>
      </c>
      <c r="H13" s="491" t="s">
        <v>284</v>
      </c>
      <c r="I13" s="33" t="s">
        <v>128</v>
      </c>
      <c r="J13" s="62"/>
    </row>
    <row r="14" spans="1:15">
      <c r="A14" s="492" t="s">
        <v>151</v>
      </c>
      <c r="B14" s="479" t="s">
        <v>282</v>
      </c>
      <c r="C14" s="488" t="s">
        <v>277</v>
      </c>
      <c r="D14" s="489" t="s">
        <v>278</v>
      </c>
      <c r="E14" s="490" t="s">
        <v>151</v>
      </c>
      <c r="F14" s="12">
        <v>11</v>
      </c>
      <c r="G14" s="482"/>
      <c r="H14" s="491" t="s">
        <v>284</v>
      </c>
      <c r="I14" s="38" t="s">
        <v>86</v>
      </c>
      <c r="J14" s="62"/>
    </row>
    <row r="15" spans="1:15" s="12" customFormat="1">
      <c r="A15" s="478" t="s">
        <v>132</v>
      </c>
      <c r="B15" s="479" t="s">
        <v>265</v>
      </c>
      <c r="C15" s="142" t="s">
        <v>266</v>
      </c>
      <c r="D15" s="480" t="s">
        <v>267</v>
      </c>
      <c r="E15" s="481" t="s">
        <v>151</v>
      </c>
      <c r="F15" s="12">
        <v>425</v>
      </c>
      <c r="G15" s="482">
        <v>1784290</v>
      </c>
      <c r="H15" s="491" t="s">
        <v>284</v>
      </c>
      <c r="I15" s="33" t="s">
        <v>128</v>
      </c>
      <c r="J15" s="62"/>
    </row>
    <row r="16" spans="1:15">
      <c r="A16" s="26" t="s">
        <v>131</v>
      </c>
      <c r="B16" s="518" t="s">
        <v>264</v>
      </c>
      <c r="C16" s="142" t="s">
        <v>263</v>
      </c>
      <c r="D16" s="467" t="s">
        <v>261</v>
      </c>
      <c r="E16" s="110" t="s">
        <v>195</v>
      </c>
      <c r="F16" s="7">
        <v>130</v>
      </c>
      <c r="G16" s="468">
        <v>594420</v>
      </c>
      <c r="H16" s="491" t="s">
        <v>284</v>
      </c>
      <c r="I16" s="33" t="s">
        <v>128</v>
      </c>
      <c r="J16" s="62"/>
    </row>
    <row r="17" spans="1:22">
      <c r="A17" s="34" t="s">
        <v>132</v>
      </c>
      <c r="B17" s="517" t="s">
        <v>252</v>
      </c>
      <c r="C17" s="430" t="s">
        <v>253</v>
      </c>
      <c r="D17" s="467" t="s">
        <v>261</v>
      </c>
      <c r="E17" s="135"/>
      <c r="F17" s="23">
        <v>404</v>
      </c>
      <c r="G17" s="444">
        <v>3014510</v>
      </c>
      <c r="H17" s="491" t="s">
        <v>284</v>
      </c>
      <c r="I17" s="33" t="s">
        <v>128</v>
      </c>
      <c r="J17" s="62"/>
    </row>
    <row r="18" spans="1:22">
      <c r="A18" s="26" t="s">
        <v>131</v>
      </c>
      <c r="B18" s="517" t="s">
        <v>249</v>
      </c>
      <c r="C18" s="430" t="s">
        <v>253</v>
      </c>
      <c r="D18" s="467" t="s">
        <v>261</v>
      </c>
      <c r="E18" s="135" t="s">
        <v>195</v>
      </c>
      <c r="F18" s="23">
        <v>22</v>
      </c>
      <c r="G18" s="444">
        <v>135990</v>
      </c>
      <c r="H18" s="491" t="s">
        <v>284</v>
      </c>
      <c r="I18" s="33" t="s">
        <v>128</v>
      </c>
      <c r="J18" s="62"/>
    </row>
    <row r="19" spans="1:22">
      <c r="A19" s="26" t="s">
        <v>131</v>
      </c>
      <c r="B19" s="517" t="s">
        <v>250</v>
      </c>
      <c r="C19" s="430" t="s">
        <v>253</v>
      </c>
      <c r="D19" s="467" t="s">
        <v>261</v>
      </c>
      <c r="E19" s="135" t="s">
        <v>131</v>
      </c>
      <c r="F19" s="23">
        <v>17.399999999999999</v>
      </c>
      <c r="G19" s="444">
        <v>32680</v>
      </c>
      <c r="H19" s="491" t="s">
        <v>284</v>
      </c>
      <c r="I19" s="33" t="s">
        <v>128</v>
      </c>
      <c r="J19" s="62"/>
    </row>
    <row r="20" spans="1:22">
      <c r="A20" s="26" t="s">
        <v>131</v>
      </c>
      <c r="B20" s="517" t="s">
        <v>191</v>
      </c>
      <c r="C20" s="430" t="s">
        <v>226</v>
      </c>
      <c r="D20" s="445" t="s">
        <v>242</v>
      </c>
      <c r="E20" s="135" t="s">
        <v>195</v>
      </c>
      <c r="F20" s="23">
        <v>96</v>
      </c>
      <c r="G20" s="444">
        <v>225630</v>
      </c>
      <c r="H20" s="491" t="s">
        <v>284</v>
      </c>
      <c r="I20" s="33" t="s">
        <v>128</v>
      </c>
      <c r="J20" s="62"/>
      <c r="L20" s="22"/>
      <c r="M20" s="23"/>
    </row>
    <row r="21" spans="1:22">
      <c r="A21" s="26" t="s">
        <v>131</v>
      </c>
      <c r="B21" s="517" t="s">
        <v>192</v>
      </c>
      <c r="C21" s="430" t="s">
        <v>226</v>
      </c>
      <c r="D21" s="443" t="s">
        <v>196</v>
      </c>
      <c r="E21" s="135" t="s">
        <v>195</v>
      </c>
      <c r="F21" s="23">
        <v>121</v>
      </c>
      <c r="G21" s="444">
        <v>462090</v>
      </c>
      <c r="H21" s="491" t="s">
        <v>284</v>
      </c>
      <c r="I21" s="33" t="s">
        <v>128</v>
      </c>
      <c r="J21" s="62"/>
      <c r="L21" s="22"/>
      <c r="M21" s="23"/>
      <c r="N21" s="23"/>
    </row>
    <row r="22" spans="1:22">
      <c r="A22" s="26" t="s">
        <v>131</v>
      </c>
      <c r="B22" s="517" t="s">
        <v>190</v>
      </c>
      <c r="C22" s="430" t="s">
        <v>227</v>
      </c>
      <c r="D22" s="443" t="s">
        <v>196</v>
      </c>
      <c r="E22" s="135" t="s">
        <v>195</v>
      </c>
      <c r="F22" s="23">
        <v>72</v>
      </c>
      <c r="G22" s="444">
        <v>237740</v>
      </c>
      <c r="H22" s="491" t="s">
        <v>284</v>
      </c>
      <c r="I22" s="33" t="s">
        <v>128</v>
      </c>
      <c r="J22" s="62"/>
      <c r="L22" s="22"/>
      <c r="M22" s="23"/>
      <c r="N22" s="23"/>
    </row>
    <row r="23" spans="1:22" ht="14" thickBot="1">
      <c r="A23" s="34" t="s">
        <v>132</v>
      </c>
      <c r="B23" s="517" t="s">
        <v>193</v>
      </c>
      <c r="C23" s="430">
        <v>40556</v>
      </c>
      <c r="D23" s="445" t="s">
        <v>201</v>
      </c>
      <c r="E23" s="135"/>
      <c r="F23" s="23">
        <v>200</v>
      </c>
      <c r="G23" s="444">
        <v>776260</v>
      </c>
      <c r="H23" s="491" t="s">
        <v>284</v>
      </c>
      <c r="I23" s="33" t="s">
        <v>128</v>
      </c>
      <c r="J23" s="62"/>
      <c r="L23" s="22"/>
      <c r="M23" s="23"/>
      <c r="N23" s="23"/>
    </row>
    <row r="24" spans="1:22" ht="32" customHeight="1" thickTop="1">
      <c r="A24" s="34" t="s">
        <v>132</v>
      </c>
      <c r="B24" s="517" t="s">
        <v>153</v>
      </c>
      <c r="C24" s="430">
        <v>40710</v>
      </c>
      <c r="D24" s="464" t="s">
        <v>200</v>
      </c>
      <c r="E24" s="135" t="s">
        <v>158</v>
      </c>
      <c r="F24" s="23">
        <v>225</v>
      </c>
      <c r="G24" s="444">
        <v>612910</v>
      </c>
      <c r="H24" s="491" t="s">
        <v>284</v>
      </c>
      <c r="I24" s="33" t="s">
        <v>128</v>
      </c>
      <c r="J24" s="62"/>
      <c r="M24" s="494" t="s">
        <v>313</v>
      </c>
      <c r="N24" s="41"/>
      <c r="O24" s="463">
        <f>G81</f>
        <v>111588748.61</v>
      </c>
      <c r="P24" s="510" t="s">
        <v>13</v>
      </c>
      <c r="Q24" s="41"/>
      <c r="R24" s="41"/>
      <c r="S24" s="43"/>
    </row>
    <row r="25" spans="1:22">
      <c r="A25" s="34" t="s">
        <v>132</v>
      </c>
      <c r="B25" s="517" t="s">
        <v>152</v>
      </c>
      <c r="C25" s="430">
        <v>40679</v>
      </c>
      <c r="D25" s="445" t="s">
        <v>137</v>
      </c>
      <c r="E25" s="135" t="s">
        <v>158</v>
      </c>
      <c r="F25" s="23">
        <v>185</v>
      </c>
      <c r="G25" s="444">
        <v>1331790</v>
      </c>
      <c r="H25" s="491" t="s">
        <v>284</v>
      </c>
      <c r="I25" s="33" t="s">
        <v>128</v>
      </c>
      <c r="J25" s="62"/>
      <c r="L25" s="22"/>
      <c r="M25" s="46" t="s">
        <v>146</v>
      </c>
      <c r="O25" s="459">
        <f>W85*1000</f>
        <v>25259672.669102434</v>
      </c>
      <c r="P25" s="48" t="s">
        <v>13</v>
      </c>
      <c r="Q25" s="22"/>
      <c r="S25" s="460"/>
      <c r="T25" s="22"/>
      <c r="U25" s="22"/>
      <c r="V25" s="23"/>
    </row>
    <row r="26" spans="1:22">
      <c r="A26" s="34" t="s">
        <v>151</v>
      </c>
      <c r="B26" s="517" t="s">
        <v>204</v>
      </c>
      <c r="C26" s="133">
        <v>40655</v>
      </c>
      <c r="D26" s="445" t="s">
        <v>137</v>
      </c>
      <c r="E26" s="135" t="s">
        <v>38</v>
      </c>
      <c r="F26" s="23">
        <v>219</v>
      </c>
      <c r="G26" s="442">
        <v>636130</v>
      </c>
      <c r="H26" s="491" t="s">
        <v>284</v>
      </c>
      <c r="I26" s="33" t="s">
        <v>128</v>
      </c>
      <c r="J26" s="62"/>
      <c r="L26" s="22"/>
      <c r="M26" s="46"/>
      <c r="O26" s="459"/>
      <c r="P26" s="48"/>
      <c r="Q26" s="22"/>
      <c r="S26" s="460"/>
      <c r="T26" s="22"/>
      <c r="U26" s="22"/>
      <c r="V26" s="23"/>
    </row>
    <row r="27" spans="1:22">
      <c r="A27" s="53" t="s">
        <v>89</v>
      </c>
      <c r="B27" s="23" t="s">
        <v>155</v>
      </c>
      <c r="C27" s="133">
        <v>40570</v>
      </c>
      <c r="D27" s="445" t="s">
        <v>140</v>
      </c>
      <c r="E27" s="135" t="s">
        <v>126</v>
      </c>
      <c r="F27" s="23">
        <v>325</v>
      </c>
      <c r="G27" s="444">
        <v>2448000</v>
      </c>
      <c r="H27" s="491" t="s">
        <v>284</v>
      </c>
      <c r="I27" s="33" t="s">
        <v>128</v>
      </c>
      <c r="J27" s="62"/>
      <c r="L27" s="22"/>
      <c r="M27" s="46"/>
      <c r="O27" s="459"/>
      <c r="P27" s="48"/>
      <c r="Q27" s="22"/>
      <c r="S27" s="460"/>
      <c r="T27" s="22"/>
      <c r="U27" s="22"/>
      <c r="V27" s="23"/>
    </row>
    <row r="28" spans="1:22">
      <c r="A28" s="34" t="s">
        <v>132</v>
      </c>
      <c r="B28" s="23" t="s">
        <v>262</v>
      </c>
      <c r="C28" s="430">
        <v>40455</v>
      </c>
      <c r="D28" s="445" t="s">
        <v>137</v>
      </c>
      <c r="E28" s="135" t="s">
        <v>158</v>
      </c>
      <c r="F28" s="23">
        <v>212</v>
      </c>
      <c r="G28" s="444">
        <v>830500</v>
      </c>
      <c r="H28" s="491" t="s">
        <v>284</v>
      </c>
      <c r="I28" s="33" t="s">
        <v>128</v>
      </c>
      <c r="J28" s="62"/>
      <c r="L28" s="22"/>
      <c r="M28" s="508" t="s">
        <v>289</v>
      </c>
      <c r="O28" s="461">
        <f>Y89*O32</f>
        <v>5275462.1760000009</v>
      </c>
      <c r="P28" s="48" t="s">
        <v>9</v>
      </c>
      <c r="Q28" s="22"/>
      <c r="S28" s="460"/>
      <c r="T28" s="22"/>
      <c r="U28" s="22"/>
      <c r="V28" s="462"/>
    </row>
    <row r="29" spans="1:22">
      <c r="A29" s="34" t="s">
        <v>132</v>
      </c>
      <c r="B29" s="23" t="s">
        <v>198</v>
      </c>
      <c r="C29" s="430">
        <v>40380</v>
      </c>
      <c r="D29" s="445" t="s">
        <v>137</v>
      </c>
      <c r="E29" s="135" t="s">
        <v>157</v>
      </c>
      <c r="F29" s="23">
        <v>200</v>
      </c>
      <c r="G29" s="444">
        <v>599738.61</v>
      </c>
      <c r="H29" s="491" t="s">
        <v>284</v>
      </c>
      <c r="I29" s="33" t="s">
        <v>128</v>
      </c>
      <c r="J29" s="62"/>
      <c r="M29" s="46" t="s">
        <v>228</v>
      </c>
      <c r="O29" s="461">
        <f>Y86*O33</f>
        <v>9126.4399999999987</v>
      </c>
      <c r="P29" s="48" t="s">
        <v>9</v>
      </c>
      <c r="Q29" s="22"/>
      <c r="S29" s="460"/>
      <c r="T29" s="22"/>
      <c r="U29" s="22"/>
      <c r="V29" s="23"/>
    </row>
    <row r="30" spans="1:22">
      <c r="A30" s="34" t="s">
        <v>132</v>
      </c>
      <c r="B30" s="23" t="s">
        <v>206</v>
      </c>
      <c r="C30" s="430">
        <v>40338</v>
      </c>
      <c r="D30" s="495" t="s">
        <v>137</v>
      </c>
      <c r="E30" s="135" t="s">
        <v>158</v>
      </c>
      <c r="F30" s="23">
        <v>200</v>
      </c>
      <c r="G30" s="444">
        <v>693840</v>
      </c>
      <c r="H30" s="491" t="s">
        <v>284</v>
      </c>
      <c r="I30" s="33" t="s">
        <v>128</v>
      </c>
      <c r="J30" s="62"/>
      <c r="M30" s="46" t="s">
        <v>88</v>
      </c>
      <c r="O30" s="459">
        <f>Y87*O34</f>
        <v>4436692.2719999999</v>
      </c>
      <c r="P30" s="48" t="s">
        <v>9</v>
      </c>
      <c r="Q30" s="22"/>
      <c r="S30" s="460"/>
      <c r="T30" s="22"/>
      <c r="U30" s="22"/>
      <c r="V30" s="23"/>
    </row>
    <row r="31" spans="1:22">
      <c r="A31" s="34" t="s">
        <v>132</v>
      </c>
      <c r="B31" s="23" t="s">
        <v>75</v>
      </c>
      <c r="C31" s="430">
        <v>40322</v>
      </c>
      <c r="D31" s="445" t="s">
        <v>137</v>
      </c>
      <c r="E31" s="135" t="s">
        <v>159</v>
      </c>
      <c r="F31" s="23">
        <v>213</v>
      </c>
      <c r="G31" s="444">
        <v>877840</v>
      </c>
      <c r="H31" s="491" t="s">
        <v>284</v>
      </c>
      <c r="I31" s="33" t="s">
        <v>128</v>
      </c>
      <c r="J31" s="62"/>
      <c r="M31" s="46" t="s">
        <v>216</v>
      </c>
      <c r="O31" s="459">
        <f>Y88*O35</f>
        <v>7329.4434782608696</v>
      </c>
      <c r="P31" s="48" t="s">
        <v>9</v>
      </c>
      <c r="S31" s="57"/>
      <c r="T31" s="22"/>
      <c r="U31" s="22"/>
      <c r="V31" s="23"/>
    </row>
    <row r="32" spans="1:22">
      <c r="A32" s="34" t="s">
        <v>132</v>
      </c>
      <c r="B32" s="23" t="s">
        <v>76</v>
      </c>
      <c r="C32" s="430">
        <v>40295</v>
      </c>
      <c r="D32" s="445" t="s">
        <v>137</v>
      </c>
      <c r="E32" s="135" t="s">
        <v>158</v>
      </c>
      <c r="F32" s="23">
        <v>229</v>
      </c>
      <c r="G32" s="444">
        <v>828200</v>
      </c>
      <c r="H32" s="491" t="s">
        <v>284</v>
      </c>
      <c r="I32" s="33" t="s">
        <v>128</v>
      </c>
      <c r="J32" s="62"/>
      <c r="M32" s="508" t="s">
        <v>55</v>
      </c>
      <c r="O32" s="5">
        <v>87.3</v>
      </c>
      <c r="P32" s="48" t="s">
        <v>4</v>
      </c>
      <c r="Q32" s="509" t="s">
        <v>290</v>
      </c>
      <c r="S32" s="57"/>
      <c r="T32" s="22"/>
      <c r="U32" s="22"/>
      <c r="V32" s="23"/>
    </row>
    <row r="33" spans="1:26" ht="12.75" customHeight="1">
      <c r="A33" s="34" t="s">
        <v>132</v>
      </c>
      <c r="B33" s="23" t="s">
        <v>77</v>
      </c>
      <c r="C33" s="430">
        <v>40264</v>
      </c>
      <c r="D33" s="445" t="s">
        <v>137</v>
      </c>
      <c r="E33" s="135" t="s">
        <v>158</v>
      </c>
      <c r="F33" s="23">
        <v>217</v>
      </c>
      <c r="G33" s="444">
        <v>1385120</v>
      </c>
      <c r="H33" s="491" t="s">
        <v>284</v>
      </c>
      <c r="I33" s="33" t="s">
        <v>128</v>
      </c>
      <c r="J33" s="62"/>
      <c r="M33" s="46" t="s">
        <v>232</v>
      </c>
      <c r="O33" s="58">
        <v>75.5</v>
      </c>
      <c r="P33" s="48" t="s">
        <v>4</v>
      </c>
      <c r="Q33" s="509" t="s">
        <v>290</v>
      </c>
      <c r="S33" s="57"/>
      <c r="U33" s="22"/>
      <c r="V33" s="23"/>
    </row>
    <row r="34" spans="1:26">
      <c r="A34" s="34" t="s">
        <v>132</v>
      </c>
      <c r="B34" s="23" t="s">
        <v>78</v>
      </c>
      <c r="C34" s="430">
        <v>40165</v>
      </c>
      <c r="D34" s="59" t="s">
        <v>137</v>
      </c>
      <c r="E34" s="135" t="s">
        <v>158</v>
      </c>
      <c r="F34" s="23">
        <v>219</v>
      </c>
      <c r="G34" s="444">
        <v>668020</v>
      </c>
      <c r="H34" s="491" t="s">
        <v>284</v>
      </c>
      <c r="I34" s="33" t="s">
        <v>128</v>
      </c>
      <c r="J34" s="62"/>
      <c r="M34" s="46" t="s">
        <v>3</v>
      </c>
      <c r="O34" s="58">
        <v>54.3</v>
      </c>
      <c r="P34" s="48" t="s">
        <v>4</v>
      </c>
      <c r="Q34" s="509" t="s">
        <v>290</v>
      </c>
      <c r="S34" s="60"/>
      <c r="U34" s="22"/>
      <c r="V34" s="23"/>
    </row>
    <row r="35" spans="1:26">
      <c r="A35" s="34" t="s">
        <v>132</v>
      </c>
      <c r="B35" s="23" t="s">
        <v>79</v>
      </c>
      <c r="C35" s="430">
        <v>39889</v>
      </c>
      <c r="D35" s="445" t="s">
        <v>137</v>
      </c>
      <c r="E35" s="135" t="s">
        <v>135</v>
      </c>
      <c r="F35" s="23">
        <v>165</v>
      </c>
      <c r="G35" s="444">
        <v>519070</v>
      </c>
      <c r="H35" s="491" t="s">
        <v>284</v>
      </c>
      <c r="I35" s="33" t="s">
        <v>128</v>
      </c>
      <c r="J35" s="62"/>
      <c r="M35" s="46" t="s">
        <v>214</v>
      </c>
      <c r="O35" s="5">
        <v>72.599999999999994</v>
      </c>
      <c r="P35" s="48" t="s">
        <v>4</v>
      </c>
      <c r="Q35" s="509" t="s">
        <v>290</v>
      </c>
      <c r="S35" s="60"/>
      <c r="V35" s="23"/>
    </row>
    <row r="36" spans="1:26">
      <c r="A36" s="26" t="s">
        <v>131</v>
      </c>
      <c r="B36" s="23" t="s">
        <v>80</v>
      </c>
      <c r="C36" s="430">
        <v>37803</v>
      </c>
      <c r="D36" s="445" t="s">
        <v>136</v>
      </c>
      <c r="E36" s="135" t="s">
        <v>131</v>
      </c>
      <c r="F36" s="23">
        <v>1450</v>
      </c>
      <c r="G36" s="444">
        <v>6552140</v>
      </c>
      <c r="H36" s="491" t="s">
        <v>284</v>
      </c>
      <c r="I36" s="33" t="s">
        <v>128</v>
      </c>
      <c r="J36" s="62"/>
      <c r="K36" s="61"/>
      <c r="M36" s="54"/>
      <c r="S36" s="60"/>
      <c r="U36" s="22"/>
      <c r="V36" s="23"/>
    </row>
    <row r="37" spans="1:26" ht="21" thickBot="1">
      <c r="A37" s="34" t="s">
        <v>132</v>
      </c>
      <c r="B37" s="23" t="s">
        <v>81</v>
      </c>
      <c r="C37" s="430">
        <v>37144</v>
      </c>
      <c r="D37" s="445" t="s">
        <v>137</v>
      </c>
      <c r="E37" s="135" t="s">
        <v>158</v>
      </c>
      <c r="F37" s="23">
        <v>235</v>
      </c>
      <c r="G37" s="444">
        <v>1307610</v>
      </c>
      <c r="H37" s="491" t="s">
        <v>284</v>
      </c>
      <c r="I37" s="33" t="s">
        <v>128</v>
      </c>
      <c r="J37" s="62"/>
      <c r="M37" s="402" t="s">
        <v>312</v>
      </c>
      <c r="N37" s="64"/>
      <c r="O37" s="65">
        <f>(O29+O30+O31+O28)/O25</f>
        <v>0.38514395886761721</v>
      </c>
      <c r="P37" s="66" t="s">
        <v>10</v>
      </c>
      <c r="Q37" s="67"/>
      <c r="R37" s="68"/>
      <c r="S37" s="69"/>
      <c r="V37" s="23"/>
    </row>
    <row r="38" spans="1:26" ht="14" thickTop="1">
      <c r="A38" s="34" t="s">
        <v>132</v>
      </c>
      <c r="B38" s="23" t="s">
        <v>82</v>
      </c>
      <c r="C38" s="430">
        <v>37048</v>
      </c>
      <c r="D38" s="445" t="s">
        <v>137</v>
      </c>
      <c r="E38" s="135" t="s">
        <v>38</v>
      </c>
      <c r="F38" s="23">
        <v>31</v>
      </c>
      <c r="G38" s="444">
        <v>21030</v>
      </c>
      <c r="H38" s="491" t="s">
        <v>284</v>
      </c>
      <c r="I38" s="33" t="s">
        <v>128</v>
      </c>
      <c r="J38" s="62"/>
      <c r="U38" s="22"/>
      <c r="V38" s="23"/>
    </row>
    <row r="39" spans="1:26">
      <c r="A39" s="26" t="s">
        <v>131</v>
      </c>
      <c r="B39" s="23" t="s">
        <v>83</v>
      </c>
      <c r="C39" s="430">
        <v>37043</v>
      </c>
      <c r="D39" s="445" t="s">
        <v>136</v>
      </c>
      <c r="E39" s="135" t="s">
        <v>131</v>
      </c>
      <c r="F39" s="23">
        <v>184</v>
      </c>
      <c r="G39" s="444">
        <v>767160</v>
      </c>
      <c r="H39" s="491" t="s">
        <v>284</v>
      </c>
      <c r="I39" s="33" t="s">
        <v>128</v>
      </c>
      <c r="J39" s="62"/>
      <c r="Q39" s="48"/>
      <c r="S39" s="48"/>
      <c r="U39" s="22"/>
      <c r="V39" s="23"/>
    </row>
    <row r="40" spans="1:26">
      <c r="A40" s="34" t="s">
        <v>132</v>
      </c>
      <c r="B40" s="23" t="s">
        <v>90</v>
      </c>
      <c r="C40" s="430">
        <v>36817</v>
      </c>
      <c r="D40" s="445" t="s">
        <v>137</v>
      </c>
      <c r="E40" s="135" t="s">
        <v>158</v>
      </c>
      <c r="F40" s="23">
        <v>586</v>
      </c>
      <c r="G40" s="444">
        <v>3983340</v>
      </c>
      <c r="H40" s="491" t="s">
        <v>284</v>
      </c>
      <c r="I40" s="33" t="s">
        <v>128</v>
      </c>
      <c r="J40" s="62"/>
      <c r="M40" s="70"/>
      <c r="N40" s="458"/>
      <c r="O40" s="457"/>
      <c r="P40" s="70"/>
      <c r="Q40" s="48"/>
      <c r="S40" s="48"/>
      <c r="U40" s="22"/>
      <c r="V40" s="23"/>
    </row>
    <row r="41" spans="1:26">
      <c r="A41" s="53" t="s">
        <v>89</v>
      </c>
      <c r="B41" s="23" t="s">
        <v>154</v>
      </c>
      <c r="C41" s="430">
        <v>36683</v>
      </c>
      <c r="D41" s="445" t="s">
        <v>140</v>
      </c>
      <c r="E41" s="135" t="s">
        <v>126</v>
      </c>
      <c r="F41" s="23">
        <v>325</v>
      </c>
      <c r="G41" s="444">
        <v>2294000</v>
      </c>
      <c r="H41" s="491" t="s">
        <v>284</v>
      </c>
      <c r="I41" s="33" t="s">
        <v>128</v>
      </c>
      <c r="J41" s="62"/>
      <c r="M41" s="70"/>
      <c r="N41" s="458"/>
      <c r="O41" s="457"/>
      <c r="P41" s="70"/>
      <c r="Q41" s="48"/>
      <c r="S41" s="48"/>
      <c r="U41" s="22"/>
      <c r="V41" s="23"/>
    </row>
    <row r="42" spans="1:26">
      <c r="A42" s="34" t="s">
        <v>132</v>
      </c>
      <c r="B42" s="23" t="s">
        <v>91</v>
      </c>
      <c r="C42" s="430">
        <v>36599</v>
      </c>
      <c r="D42" s="445" t="s">
        <v>137</v>
      </c>
      <c r="E42" s="135" t="s">
        <v>38</v>
      </c>
      <c r="F42" s="23">
        <v>135</v>
      </c>
      <c r="G42" s="444"/>
      <c r="H42" s="491" t="s">
        <v>284</v>
      </c>
      <c r="I42" s="38" t="s">
        <v>86</v>
      </c>
      <c r="J42" s="62"/>
      <c r="M42" s="48"/>
      <c r="Q42" s="73"/>
      <c r="R42" s="48"/>
      <c r="U42" s="22"/>
      <c r="V42" s="23"/>
    </row>
    <row r="43" spans="1:26">
      <c r="A43" s="34" t="s">
        <v>132</v>
      </c>
      <c r="B43" s="23" t="s">
        <v>92</v>
      </c>
      <c r="C43" s="430">
        <v>36525</v>
      </c>
      <c r="D43" s="445" t="s">
        <v>137</v>
      </c>
      <c r="E43" s="135"/>
      <c r="F43" s="23">
        <v>134</v>
      </c>
      <c r="G43" s="444">
        <v>242560</v>
      </c>
      <c r="H43" s="491" t="s">
        <v>284</v>
      </c>
      <c r="I43" s="33" t="s">
        <v>128</v>
      </c>
      <c r="J43" s="62"/>
      <c r="M43" s="48"/>
      <c r="Q43" s="73"/>
      <c r="R43" s="48"/>
      <c r="S43" s="48"/>
      <c r="U43" s="22"/>
      <c r="V43" s="23"/>
    </row>
    <row r="44" spans="1:26" ht="14">
      <c r="A44" s="34" t="s">
        <v>132</v>
      </c>
      <c r="B44" s="23" t="s">
        <v>93</v>
      </c>
      <c r="C44" s="430">
        <v>36505</v>
      </c>
      <c r="D44" s="445" t="s">
        <v>137</v>
      </c>
      <c r="E44" s="135"/>
      <c r="F44" s="23">
        <v>450</v>
      </c>
      <c r="G44" s="444">
        <v>1035850</v>
      </c>
      <c r="H44" s="491" t="s">
        <v>284</v>
      </c>
      <c r="I44" s="33" t="s">
        <v>128</v>
      </c>
      <c r="J44" s="62"/>
      <c r="P44" s="22"/>
      <c r="Q44" s="22"/>
      <c r="R44" s="22"/>
      <c r="S44" s="22"/>
      <c r="T44" s="22"/>
      <c r="U44" s="75"/>
      <c r="V44" s="22"/>
    </row>
    <row r="45" spans="1:26">
      <c r="A45" s="34" t="s">
        <v>132</v>
      </c>
      <c r="B45" s="23" t="s">
        <v>94</v>
      </c>
      <c r="C45" s="430">
        <v>36454</v>
      </c>
      <c r="D45" s="445" t="s">
        <v>137</v>
      </c>
      <c r="E45" s="135"/>
      <c r="F45" s="23">
        <v>157</v>
      </c>
      <c r="G45" s="444">
        <v>581130</v>
      </c>
      <c r="H45" s="491" t="s">
        <v>284</v>
      </c>
      <c r="I45" s="33" t="s">
        <v>128</v>
      </c>
      <c r="J45" s="62"/>
      <c r="U45" s="22"/>
      <c r="V45" s="22"/>
    </row>
    <row r="46" spans="1:26">
      <c r="A46" s="34" t="s">
        <v>132</v>
      </c>
      <c r="B46" s="23" t="s">
        <v>95</v>
      </c>
      <c r="C46" s="430">
        <v>36414</v>
      </c>
      <c r="D46" s="445" t="s">
        <v>137</v>
      </c>
      <c r="E46" s="135"/>
      <c r="F46" s="23">
        <v>140</v>
      </c>
      <c r="G46" s="444">
        <v>719050</v>
      </c>
      <c r="H46" s="491" t="s">
        <v>284</v>
      </c>
      <c r="I46" s="33" t="s">
        <v>128</v>
      </c>
      <c r="J46" s="62"/>
      <c r="U46" s="22"/>
      <c r="V46" s="22"/>
    </row>
    <row r="47" spans="1:26">
      <c r="A47" s="34" t="s">
        <v>132</v>
      </c>
      <c r="B47" s="23" t="s">
        <v>96</v>
      </c>
      <c r="C47" s="430">
        <v>36353</v>
      </c>
      <c r="D47" s="445" t="s">
        <v>137</v>
      </c>
      <c r="E47" s="135"/>
      <c r="F47" s="23">
        <v>135</v>
      </c>
      <c r="G47" s="453"/>
      <c r="H47" s="491" t="s">
        <v>284</v>
      </c>
      <c r="I47" s="38" t="s">
        <v>86</v>
      </c>
      <c r="J47" s="62"/>
      <c r="O47" s="76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8"/>
    </row>
    <row r="48" spans="1:26" ht="13" customHeight="1">
      <c r="A48" s="34" t="s">
        <v>132</v>
      </c>
      <c r="B48" s="23" t="s">
        <v>97</v>
      </c>
      <c r="C48" s="430">
        <v>35827</v>
      </c>
      <c r="D48" s="445" t="s">
        <v>137</v>
      </c>
      <c r="E48" s="135"/>
      <c r="F48" s="23">
        <v>365</v>
      </c>
      <c r="G48" s="444">
        <v>495560</v>
      </c>
      <c r="H48" s="491" t="s">
        <v>284</v>
      </c>
      <c r="I48" s="33" t="s">
        <v>128</v>
      </c>
      <c r="J48" s="62"/>
      <c r="O48" s="24"/>
      <c r="P48" s="645" t="s">
        <v>318</v>
      </c>
      <c r="Q48" s="646"/>
      <c r="R48" s="646"/>
      <c r="S48" s="646"/>
      <c r="T48" s="646"/>
      <c r="U48" s="646"/>
      <c r="V48" s="646"/>
      <c r="W48" s="646"/>
      <c r="X48" s="646"/>
      <c r="Y48" s="647"/>
      <c r="Z48" s="25"/>
    </row>
    <row r="49" spans="1:26" ht="28">
      <c r="A49" s="34" t="s">
        <v>132</v>
      </c>
      <c r="B49" s="23" t="s">
        <v>98</v>
      </c>
      <c r="C49" s="430">
        <v>35740</v>
      </c>
      <c r="D49" s="445" t="s">
        <v>137</v>
      </c>
      <c r="E49" s="135" t="s">
        <v>85</v>
      </c>
      <c r="F49" s="23">
        <v>360</v>
      </c>
      <c r="G49" s="444">
        <v>613800</v>
      </c>
      <c r="H49" s="491" t="s">
        <v>284</v>
      </c>
      <c r="I49" s="33" t="s">
        <v>128</v>
      </c>
      <c r="J49" s="62"/>
      <c r="O49" s="24"/>
      <c r="P49" s="627" t="s">
        <v>20</v>
      </c>
      <c r="Q49" s="628"/>
      <c r="R49" s="633" t="s">
        <v>21</v>
      </c>
      <c r="S49" s="633" t="s">
        <v>22</v>
      </c>
      <c r="T49" s="636" t="s">
        <v>67</v>
      </c>
      <c r="U49" s="637"/>
      <c r="V49" s="627" t="s">
        <v>23</v>
      </c>
      <c r="W49" s="628"/>
      <c r="X49" s="640" t="s">
        <v>130</v>
      </c>
      <c r="Y49" s="403" t="s">
        <v>25</v>
      </c>
      <c r="Z49" s="25"/>
    </row>
    <row r="50" spans="1:26">
      <c r="A50" s="34" t="s">
        <v>132</v>
      </c>
      <c r="B50" s="23" t="s">
        <v>99</v>
      </c>
      <c r="C50" s="430">
        <v>35601</v>
      </c>
      <c r="D50" s="445" t="s">
        <v>137</v>
      </c>
      <c r="E50" s="135"/>
      <c r="F50" s="23">
        <v>131</v>
      </c>
      <c r="G50" s="444">
        <v>399890</v>
      </c>
      <c r="H50" s="491" t="s">
        <v>284</v>
      </c>
      <c r="I50" s="33" t="s">
        <v>128</v>
      </c>
      <c r="J50" s="62"/>
      <c r="O50" s="24"/>
      <c r="P50" s="629"/>
      <c r="Q50" s="630"/>
      <c r="R50" s="634"/>
      <c r="S50" s="634"/>
      <c r="T50" s="638"/>
      <c r="U50" s="639"/>
      <c r="V50" s="456" t="s">
        <v>66</v>
      </c>
      <c r="W50" s="456" t="s">
        <v>26</v>
      </c>
      <c r="X50" s="641"/>
      <c r="Y50" s="82" t="s">
        <v>16</v>
      </c>
      <c r="Z50" s="25"/>
    </row>
    <row r="51" spans="1:26" ht="26" customHeight="1">
      <c r="A51" s="34" t="s">
        <v>132</v>
      </c>
      <c r="B51" s="23" t="s">
        <v>100</v>
      </c>
      <c r="C51" s="430">
        <v>35520</v>
      </c>
      <c r="D51" s="59" t="s">
        <v>137</v>
      </c>
      <c r="E51" s="135"/>
      <c r="F51" s="23">
        <v>1292</v>
      </c>
      <c r="G51" s="444">
        <v>827000</v>
      </c>
      <c r="H51" s="523" t="s">
        <v>284</v>
      </c>
      <c r="I51" s="33" t="s">
        <v>128</v>
      </c>
      <c r="J51" s="62"/>
      <c r="O51" s="24"/>
      <c r="P51" s="629"/>
      <c r="Q51" s="630"/>
      <c r="R51" s="634"/>
      <c r="S51" s="634"/>
      <c r="T51" s="83" t="s">
        <v>27</v>
      </c>
      <c r="U51" s="84" t="s">
        <v>1</v>
      </c>
      <c r="V51" s="85" t="s">
        <v>1</v>
      </c>
      <c r="W51" s="84" t="s">
        <v>1</v>
      </c>
      <c r="X51" s="641"/>
      <c r="Y51" s="82"/>
      <c r="Z51" s="25"/>
    </row>
    <row r="52" spans="1:26">
      <c r="A52" s="34" t="s">
        <v>132</v>
      </c>
      <c r="B52" s="23" t="s">
        <v>101</v>
      </c>
      <c r="C52" s="430">
        <v>35400</v>
      </c>
      <c r="D52" s="445" t="s">
        <v>137</v>
      </c>
      <c r="E52" s="135"/>
      <c r="F52" s="23">
        <v>1466</v>
      </c>
      <c r="G52" s="444">
        <v>5074160</v>
      </c>
      <c r="H52" s="491" t="s">
        <v>284</v>
      </c>
      <c r="I52" s="33" t="s">
        <v>128</v>
      </c>
      <c r="J52" s="62"/>
      <c r="O52" s="24"/>
      <c r="P52" s="631"/>
      <c r="Q52" s="632"/>
      <c r="R52" s="635"/>
      <c r="S52" s="635"/>
      <c r="T52" s="86"/>
      <c r="U52" s="87"/>
      <c r="V52" s="88"/>
      <c r="W52" s="87"/>
      <c r="X52" s="642"/>
      <c r="Y52" s="89"/>
      <c r="Z52" s="25"/>
    </row>
    <row r="53" spans="1:26">
      <c r="A53" s="34" t="s">
        <v>132</v>
      </c>
      <c r="B53" s="23" t="s">
        <v>102</v>
      </c>
      <c r="C53" s="430">
        <v>34213</v>
      </c>
      <c r="D53" s="445" t="s">
        <v>139</v>
      </c>
      <c r="E53" s="135"/>
      <c r="F53" s="23">
        <v>1350</v>
      </c>
      <c r="G53" s="444">
        <v>942720</v>
      </c>
      <c r="H53" s="491" t="s">
        <v>284</v>
      </c>
      <c r="I53" s="33" t="s">
        <v>128</v>
      </c>
      <c r="J53" s="62"/>
      <c r="O53" s="24"/>
      <c r="P53" s="440" t="s">
        <v>124</v>
      </c>
      <c r="Q53" s="440"/>
      <c r="R53" s="439"/>
      <c r="S53" s="439"/>
      <c r="T53" s="439"/>
      <c r="U53" s="440"/>
      <c r="V53" s="439"/>
      <c r="W53" s="439"/>
      <c r="X53" s="439"/>
      <c r="Y53" s="438"/>
      <c r="Z53" s="25"/>
    </row>
    <row r="54" spans="1:26">
      <c r="A54" s="34" t="s">
        <v>132</v>
      </c>
      <c r="B54" s="23" t="s">
        <v>103</v>
      </c>
      <c r="C54" s="430">
        <v>32874</v>
      </c>
      <c r="D54" s="445" t="s">
        <v>138</v>
      </c>
      <c r="E54" s="135"/>
      <c r="F54" s="23">
        <v>850</v>
      </c>
      <c r="G54" s="444">
        <v>996350</v>
      </c>
      <c r="H54" s="491" t="s">
        <v>284</v>
      </c>
      <c r="I54" s="33" t="s">
        <v>128</v>
      </c>
      <c r="J54" s="62"/>
      <c r="O54" s="24"/>
      <c r="P54" s="440"/>
      <c r="Q54" s="440"/>
      <c r="R54" s="439"/>
      <c r="S54" s="439"/>
      <c r="T54" s="439"/>
      <c r="U54" s="440"/>
      <c r="V54" s="439"/>
      <c r="W54" s="439"/>
      <c r="X54" s="439"/>
      <c r="Y54" s="438"/>
      <c r="Z54" s="25"/>
    </row>
    <row r="55" spans="1:26" ht="12.75" customHeight="1">
      <c r="A55" s="34" t="s">
        <v>132</v>
      </c>
      <c r="B55" s="23" t="s">
        <v>117</v>
      </c>
      <c r="C55" s="430">
        <v>31048</v>
      </c>
      <c r="D55" s="445" t="s">
        <v>139</v>
      </c>
      <c r="E55" s="135"/>
      <c r="F55" s="23">
        <v>50</v>
      </c>
      <c r="G55" s="444"/>
      <c r="H55" s="491" t="s">
        <v>284</v>
      </c>
      <c r="I55" s="38" t="s">
        <v>86</v>
      </c>
      <c r="J55" s="62"/>
      <c r="O55" s="24"/>
      <c r="P55" s="648" t="s">
        <v>298</v>
      </c>
      <c r="Q55" s="620"/>
      <c r="R55" s="93" t="s">
        <v>126</v>
      </c>
      <c r="S55" s="94"/>
      <c r="T55" s="643">
        <f>682310* 2298 /9909/1000</f>
        <v>158.23477444747201</v>
      </c>
      <c r="U55" s="436">
        <f>V55/(V55+V56)*T55</f>
        <v>158.23477444747201</v>
      </c>
      <c r="V55" s="437">
        <v>2298</v>
      </c>
      <c r="W55" s="436">
        <f>V55-U55</f>
        <v>2139.7652255525281</v>
      </c>
      <c r="X55" s="455"/>
      <c r="Y55" s="431"/>
      <c r="Z55" s="25"/>
    </row>
    <row r="56" spans="1:26">
      <c r="A56" s="26" t="s">
        <v>131</v>
      </c>
      <c r="B56" s="23" t="s">
        <v>104</v>
      </c>
      <c r="C56" s="430">
        <v>28307</v>
      </c>
      <c r="D56" s="445" t="s">
        <v>202</v>
      </c>
      <c r="E56" s="135"/>
      <c r="F56" s="23">
        <v>3478</v>
      </c>
      <c r="G56" s="444">
        <v>10619280</v>
      </c>
      <c r="H56" s="491" t="s">
        <v>284</v>
      </c>
      <c r="I56" s="33" t="s">
        <v>128</v>
      </c>
      <c r="J56" s="62"/>
      <c r="O56" s="24"/>
      <c r="P56" s="649"/>
      <c r="Q56" s="650"/>
      <c r="R56" s="496"/>
      <c r="S56" s="493"/>
      <c r="T56" s="651"/>
      <c r="U56" s="497"/>
      <c r="V56" s="498"/>
      <c r="W56" s="497"/>
      <c r="X56" s="499"/>
      <c r="Y56" s="500"/>
      <c r="Z56" s="25"/>
    </row>
    <row r="57" spans="1:26" ht="12.75" customHeight="1">
      <c r="A57" s="34" t="s">
        <v>132</v>
      </c>
      <c r="B57" s="23" t="s">
        <v>105</v>
      </c>
      <c r="C57" s="430">
        <v>27576</v>
      </c>
      <c r="D57" s="445" t="s">
        <v>139</v>
      </c>
      <c r="E57" s="135"/>
      <c r="F57" s="23">
        <v>244</v>
      </c>
      <c r="G57" s="444">
        <v>157160</v>
      </c>
      <c r="H57" s="491" t="s">
        <v>284</v>
      </c>
      <c r="I57" s="33" t="s">
        <v>128</v>
      </c>
      <c r="J57" s="62"/>
      <c r="O57" s="24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25"/>
    </row>
    <row r="58" spans="1:26">
      <c r="A58" s="26" t="s">
        <v>131</v>
      </c>
      <c r="B58" s="23" t="s">
        <v>119</v>
      </c>
      <c r="C58" s="430">
        <v>27395</v>
      </c>
      <c r="D58" s="445" t="s">
        <v>139</v>
      </c>
      <c r="E58" s="135"/>
      <c r="F58" s="23">
        <v>1</v>
      </c>
      <c r="G58" s="444">
        <v>3510</v>
      </c>
      <c r="H58" s="491" t="s">
        <v>284</v>
      </c>
      <c r="I58" s="33" t="s">
        <v>128</v>
      </c>
      <c r="J58" s="62"/>
      <c r="O58" s="24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25"/>
    </row>
    <row r="59" spans="1:26">
      <c r="A59" s="34" t="s">
        <v>132</v>
      </c>
      <c r="B59" s="23" t="s">
        <v>254</v>
      </c>
      <c r="C59" s="430">
        <v>27089</v>
      </c>
      <c r="D59" s="445" t="s">
        <v>139</v>
      </c>
      <c r="E59" s="135"/>
      <c r="F59" s="23">
        <v>640</v>
      </c>
      <c r="G59" s="444">
        <v>11720</v>
      </c>
      <c r="H59" s="491" t="s">
        <v>284</v>
      </c>
      <c r="I59" s="33" t="s">
        <v>128</v>
      </c>
      <c r="J59" s="62"/>
      <c r="O59" s="24"/>
      <c r="P59" s="652" t="s">
        <v>276</v>
      </c>
      <c r="Q59" s="650"/>
      <c r="R59" s="501" t="s">
        <v>126</v>
      </c>
      <c r="S59" s="493"/>
      <c r="T59" s="653">
        <f>682310* 2694 /9909/1000</f>
        <v>185.50238570996066</v>
      </c>
      <c r="U59" s="502">
        <f>V59/(V59+V60)*T59</f>
        <v>185.50238570996066</v>
      </c>
      <c r="V59" s="503">
        <v>2432</v>
      </c>
      <c r="W59" s="502">
        <f>V59-U59</f>
        <v>2246.4976142900396</v>
      </c>
      <c r="X59" s="504"/>
      <c r="Y59" s="505"/>
      <c r="Z59" s="25"/>
    </row>
    <row r="60" spans="1:26">
      <c r="A60" s="34" t="s">
        <v>132</v>
      </c>
      <c r="B60" s="23" t="s">
        <v>251</v>
      </c>
      <c r="C60" s="430" t="s">
        <v>255</v>
      </c>
      <c r="D60" s="445"/>
      <c r="E60" s="135"/>
      <c r="F60" s="23">
        <v>1015</v>
      </c>
      <c r="G60" s="444">
        <v>9445290</v>
      </c>
      <c r="H60" s="491" t="s">
        <v>284</v>
      </c>
      <c r="I60" s="33" t="s">
        <v>128</v>
      </c>
      <c r="J60" s="62"/>
      <c r="O60" s="24"/>
      <c r="P60" s="621"/>
      <c r="Q60" s="622"/>
      <c r="R60" s="99"/>
      <c r="S60" s="100"/>
      <c r="T60" s="644"/>
      <c r="U60" s="436"/>
      <c r="V60" s="437"/>
      <c r="W60" s="436"/>
      <c r="X60" s="455"/>
      <c r="Y60" s="431"/>
      <c r="Z60" s="25"/>
    </row>
    <row r="61" spans="1:26">
      <c r="A61" s="34" t="s">
        <v>132</v>
      </c>
      <c r="B61" s="454" t="s">
        <v>120</v>
      </c>
      <c r="C61" s="430">
        <v>25569</v>
      </c>
      <c r="D61" s="445" t="s">
        <v>139</v>
      </c>
      <c r="E61" s="135"/>
      <c r="F61" s="23">
        <v>174</v>
      </c>
      <c r="G61" s="453">
        <v>40800</v>
      </c>
      <c r="H61" s="491" t="s">
        <v>284</v>
      </c>
      <c r="I61" s="33" t="s">
        <v>128</v>
      </c>
      <c r="J61" s="62"/>
      <c r="O61" s="24"/>
      <c r="P61" s="440"/>
      <c r="Q61" s="439"/>
      <c r="R61" s="439"/>
      <c r="S61" s="439"/>
      <c r="T61" s="439"/>
      <c r="U61" s="439"/>
      <c r="V61" s="439"/>
      <c r="W61" s="439"/>
      <c r="X61" s="433"/>
      <c r="Y61" s="438"/>
      <c r="Z61" s="25"/>
    </row>
    <row r="62" spans="1:26">
      <c r="A62" s="26" t="s">
        <v>131</v>
      </c>
      <c r="B62" s="23" t="s">
        <v>106</v>
      </c>
      <c r="C62" s="430" t="s">
        <v>107</v>
      </c>
      <c r="D62" s="445" t="s">
        <v>136</v>
      </c>
      <c r="E62" s="135"/>
      <c r="F62" s="23">
        <v>1000</v>
      </c>
      <c r="G62" s="444">
        <v>3860850</v>
      </c>
      <c r="H62" s="491" t="s">
        <v>284</v>
      </c>
      <c r="I62" s="33" t="s">
        <v>128</v>
      </c>
      <c r="J62" s="62"/>
      <c r="O62" s="24"/>
      <c r="P62" s="648" t="s">
        <v>300</v>
      </c>
      <c r="Q62" s="654"/>
      <c r="R62" s="506" t="s">
        <v>0</v>
      </c>
      <c r="S62" s="94"/>
      <c r="T62" s="643">
        <f>591*5284.19/62496</f>
        <v>49.970498751920118</v>
      </c>
      <c r="U62" s="436">
        <f>V62/(V62+V63)*T62</f>
        <v>49.848508775405271</v>
      </c>
      <c r="V62" s="437">
        <v>5271.3</v>
      </c>
      <c r="W62" s="436">
        <f>V62-U62</f>
        <v>5221.451491224595</v>
      </c>
      <c r="X62" s="435">
        <v>0.45</v>
      </c>
      <c r="Y62" s="431">
        <f>V62/X62*3600/1000</f>
        <v>42170.400000000001</v>
      </c>
      <c r="Z62" s="25"/>
    </row>
    <row r="63" spans="1:26">
      <c r="A63" s="34" t="s">
        <v>132</v>
      </c>
      <c r="B63" s="23" t="s">
        <v>108</v>
      </c>
      <c r="C63" s="430">
        <v>24624</v>
      </c>
      <c r="D63" s="445" t="s">
        <v>139</v>
      </c>
      <c r="E63" s="135"/>
      <c r="F63" s="23">
        <v>132</v>
      </c>
      <c r="G63" s="453"/>
      <c r="H63" s="491" t="s">
        <v>284</v>
      </c>
      <c r="I63" s="38" t="s">
        <v>86</v>
      </c>
      <c r="J63" s="62"/>
      <c r="O63" s="24"/>
      <c r="P63" s="655"/>
      <c r="Q63" s="656"/>
      <c r="R63" s="106" t="s">
        <v>156</v>
      </c>
      <c r="S63" s="100"/>
      <c r="T63" s="644"/>
      <c r="U63" s="436">
        <f>V63/(V63+V62)*T62</f>
        <v>0.12198997651484984</v>
      </c>
      <c r="V63" s="437">
        <v>12.9</v>
      </c>
      <c r="W63" s="436">
        <f>V63-U63</f>
        <v>12.77801002348515</v>
      </c>
      <c r="X63" s="435">
        <v>0.46</v>
      </c>
      <c r="Y63" s="431">
        <f>V63/X63*3600/1000</f>
        <v>100.95652173913044</v>
      </c>
      <c r="Z63" s="25"/>
    </row>
    <row r="64" spans="1:26" ht="12.75" customHeight="1">
      <c r="A64" s="34" t="s">
        <v>132</v>
      </c>
      <c r="B64" s="23" t="s">
        <v>109</v>
      </c>
      <c r="C64" s="430">
        <v>23193</v>
      </c>
      <c r="D64" s="445" t="s">
        <v>139</v>
      </c>
      <c r="E64" s="135"/>
      <c r="F64" s="23"/>
      <c r="G64" s="453"/>
      <c r="H64" s="491" t="s">
        <v>284</v>
      </c>
      <c r="I64" s="38" t="s">
        <v>86</v>
      </c>
      <c r="J64" s="62"/>
      <c r="O64" s="24"/>
      <c r="P64" s="440"/>
      <c r="Q64" s="439"/>
      <c r="R64" s="439"/>
      <c r="S64" s="439"/>
      <c r="T64" s="439"/>
      <c r="U64" s="439"/>
      <c r="V64" s="439"/>
      <c r="W64" s="439"/>
      <c r="X64" s="433"/>
      <c r="Y64" s="438"/>
      <c r="Z64" s="25"/>
    </row>
    <row r="65" spans="1:26">
      <c r="A65" s="26" t="s">
        <v>131</v>
      </c>
      <c r="B65" s="23" t="s">
        <v>118</v>
      </c>
      <c r="C65" s="430">
        <v>23071</v>
      </c>
      <c r="D65" s="445" t="s">
        <v>139</v>
      </c>
      <c r="E65" s="135"/>
      <c r="F65" s="23">
        <v>13.8</v>
      </c>
      <c r="G65" s="444">
        <v>36970</v>
      </c>
      <c r="H65" s="491" t="s">
        <v>284</v>
      </c>
      <c r="I65" s="33" t="s">
        <v>128</v>
      </c>
      <c r="J65" s="62"/>
      <c r="M65" s="23"/>
      <c r="O65" s="24"/>
      <c r="P65" s="648" t="s">
        <v>279</v>
      </c>
      <c r="Q65" s="654"/>
      <c r="R65" s="102" t="s">
        <v>156</v>
      </c>
      <c r="S65" s="94"/>
      <c r="T65" s="643">
        <f>591*6589.44/62496</f>
        <v>62.313732718894002</v>
      </c>
      <c r="U65" s="436">
        <f>V65/(V66+V65)*T65</f>
        <v>0</v>
      </c>
      <c r="V65" s="437"/>
      <c r="W65" s="436">
        <f>V65-U65</f>
        <v>0</v>
      </c>
      <c r="X65" s="435">
        <v>0.46</v>
      </c>
      <c r="Y65" s="431">
        <f>V65/X65*3600/1000</f>
        <v>0</v>
      </c>
      <c r="Z65" s="25"/>
    </row>
    <row r="66" spans="1:26">
      <c r="A66" s="26" t="s">
        <v>131</v>
      </c>
      <c r="B66" s="23" t="s">
        <v>110</v>
      </c>
      <c r="C66" s="430">
        <v>22282</v>
      </c>
      <c r="D66" s="445" t="s">
        <v>136</v>
      </c>
      <c r="E66" s="135"/>
      <c r="F66" s="23">
        <v>13.5</v>
      </c>
      <c r="G66" s="444">
        <v>28390</v>
      </c>
      <c r="H66" s="491" t="s">
        <v>284</v>
      </c>
      <c r="I66" s="33" t="s">
        <v>128</v>
      </c>
      <c r="J66" s="62"/>
      <c r="M66" s="23"/>
      <c r="O66" s="24"/>
      <c r="P66" s="655"/>
      <c r="Q66" s="656"/>
      <c r="R66" s="106" t="s">
        <v>0</v>
      </c>
      <c r="S66" s="100"/>
      <c r="T66" s="644"/>
      <c r="U66" s="436">
        <f>V66/(V66+V65)*T65</f>
        <v>62.313732718894002</v>
      </c>
      <c r="V66" s="437">
        <v>6589.44</v>
      </c>
      <c r="W66" s="436">
        <f>V66-U66</f>
        <v>6527.1262672811054</v>
      </c>
      <c r="X66" s="435">
        <v>0.6</v>
      </c>
      <c r="Y66" s="431">
        <f>V66/X66*3600/1000</f>
        <v>39536.639999999999</v>
      </c>
      <c r="Z66" s="25"/>
    </row>
    <row r="67" spans="1:26" ht="13" customHeight="1">
      <c r="A67" s="26" t="s">
        <v>131</v>
      </c>
      <c r="B67" s="23" t="s">
        <v>111</v>
      </c>
      <c r="C67" s="430">
        <v>22098</v>
      </c>
      <c r="D67" s="445" t="s">
        <v>136</v>
      </c>
      <c r="E67" s="135"/>
      <c r="F67" s="23">
        <v>243</v>
      </c>
      <c r="G67" s="444">
        <v>1002270</v>
      </c>
      <c r="H67" s="491" t="s">
        <v>284</v>
      </c>
      <c r="I67" s="33" t="s">
        <v>128</v>
      </c>
      <c r="J67" s="62"/>
      <c r="M67" s="23"/>
      <c r="N67" s="23"/>
      <c r="O67" s="24"/>
      <c r="P67" s="440"/>
      <c r="Q67" s="439"/>
      <c r="R67" s="439"/>
      <c r="S67" s="439"/>
      <c r="T67" s="439"/>
      <c r="U67" s="439"/>
      <c r="V67" s="439"/>
      <c r="W67" s="439"/>
      <c r="X67" s="433"/>
      <c r="Y67" s="438"/>
      <c r="Z67" s="25"/>
    </row>
    <row r="68" spans="1:26" ht="12.75" customHeight="1">
      <c r="A68" s="26" t="s">
        <v>131</v>
      </c>
      <c r="B68" s="23" t="s">
        <v>112</v>
      </c>
      <c r="C68" s="430">
        <v>21763</v>
      </c>
      <c r="D68" s="445" t="s">
        <v>136</v>
      </c>
      <c r="E68" s="135"/>
      <c r="F68" s="23">
        <v>13.2</v>
      </c>
      <c r="G68" s="444">
        <v>29050</v>
      </c>
      <c r="H68" s="491" t="s">
        <v>284</v>
      </c>
      <c r="I68" s="33" t="s">
        <v>128</v>
      </c>
      <c r="J68" s="62"/>
      <c r="M68" s="23"/>
      <c r="N68" s="23"/>
      <c r="O68" s="24"/>
      <c r="Z68" s="25"/>
    </row>
    <row r="69" spans="1:26" ht="12.75" customHeight="1">
      <c r="A69" s="26" t="s">
        <v>131</v>
      </c>
      <c r="B69" s="23" t="s">
        <v>113</v>
      </c>
      <c r="C69" s="430">
        <v>21217</v>
      </c>
      <c r="D69" s="445" t="s">
        <v>136</v>
      </c>
      <c r="E69" s="135"/>
      <c r="F69" s="23">
        <v>4</v>
      </c>
      <c r="G69" s="444">
        <v>14230</v>
      </c>
      <c r="H69" s="491" t="s">
        <v>284</v>
      </c>
      <c r="I69" s="33" t="s">
        <v>128</v>
      </c>
      <c r="J69" s="62"/>
      <c r="M69" s="23"/>
      <c r="N69" s="23"/>
      <c r="O69" s="24"/>
      <c r="P69" s="472" t="s">
        <v>303</v>
      </c>
      <c r="Q69" s="520"/>
      <c r="R69" s="102" t="s">
        <v>230</v>
      </c>
      <c r="S69" s="94"/>
      <c r="T69" s="643">
        <f>591*15.11/62496</f>
        <v>0.1428893049155146</v>
      </c>
      <c r="U69" s="436">
        <f>V69/(V69+V70)*T69</f>
        <v>0.1428893049155146</v>
      </c>
      <c r="V69" s="437">
        <v>15.11</v>
      </c>
      <c r="W69" s="436">
        <f>V69-U69</f>
        <v>14.967110695084484</v>
      </c>
      <c r="X69" s="435">
        <v>0.45</v>
      </c>
      <c r="Y69" s="431">
        <f>V69/X69*3600/1000</f>
        <v>120.87999999999998</v>
      </c>
      <c r="Z69" s="25"/>
    </row>
    <row r="70" spans="1:26">
      <c r="A70" s="26" t="s">
        <v>131</v>
      </c>
      <c r="B70" s="23" t="s">
        <v>114</v>
      </c>
      <c r="C70" s="430">
        <v>19329</v>
      </c>
      <c r="D70" s="445" t="s">
        <v>136</v>
      </c>
      <c r="E70" s="135"/>
      <c r="F70" s="23">
        <v>20</v>
      </c>
      <c r="G70" s="444">
        <v>109350</v>
      </c>
      <c r="H70" s="491" t="s">
        <v>284</v>
      </c>
      <c r="I70" s="33" t="s">
        <v>128</v>
      </c>
      <c r="J70" s="62"/>
      <c r="M70" s="23"/>
      <c r="N70" s="107"/>
      <c r="O70" s="24"/>
      <c r="P70" s="521"/>
      <c r="Q70" s="522"/>
      <c r="R70" s="446"/>
      <c r="S70" s="100"/>
      <c r="T70" s="644"/>
      <c r="U70" s="436"/>
      <c r="V70" s="437"/>
      <c r="W70" s="436"/>
      <c r="X70" s="435"/>
      <c r="Y70" s="431"/>
      <c r="Z70" s="25"/>
    </row>
    <row r="71" spans="1:26">
      <c r="A71" s="26" t="s">
        <v>131</v>
      </c>
      <c r="B71" s="23" t="s">
        <v>115</v>
      </c>
      <c r="C71" s="430">
        <v>19176</v>
      </c>
      <c r="D71" s="445" t="s">
        <v>136</v>
      </c>
      <c r="E71" s="135"/>
      <c r="F71" s="23">
        <v>22</v>
      </c>
      <c r="G71" s="444">
        <v>71860</v>
      </c>
      <c r="H71" s="491" t="s">
        <v>284</v>
      </c>
      <c r="I71" s="33" t="s">
        <v>128</v>
      </c>
      <c r="J71" s="62"/>
      <c r="M71" s="23"/>
      <c r="N71" s="107"/>
      <c r="O71" s="24"/>
      <c r="Z71" s="25"/>
    </row>
    <row r="72" spans="1:26" ht="13" customHeight="1">
      <c r="A72" s="26" t="s">
        <v>131</v>
      </c>
      <c r="B72" s="23" t="s">
        <v>116</v>
      </c>
      <c r="C72" s="430">
        <v>9192</v>
      </c>
      <c r="D72" s="445" t="s">
        <v>136</v>
      </c>
      <c r="E72" s="135"/>
      <c r="F72" s="23">
        <v>1.1000000000000001</v>
      </c>
      <c r="G72" s="444">
        <v>2190</v>
      </c>
      <c r="H72" s="491" t="s">
        <v>284</v>
      </c>
      <c r="I72" s="33" t="s">
        <v>128</v>
      </c>
      <c r="J72" s="62"/>
      <c r="M72" s="23"/>
      <c r="N72" s="107"/>
      <c r="O72" s="24"/>
      <c r="Z72" s="25"/>
    </row>
    <row r="73" spans="1:26">
      <c r="A73" s="34" t="s">
        <v>132</v>
      </c>
      <c r="B73" s="23" t="s">
        <v>121</v>
      </c>
      <c r="C73" s="430" t="s">
        <v>141</v>
      </c>
      <c r="D73" s="445"/>
      <c r="E73" s="135"/>
      <c r="F73" s="23"/>
      <c r="G73" s="453"/>
      <c r="H73" s="491" t="s">
        <v>284</v>
      </c>
      <c r="I73" s="38" t="s">
        <v>86</v>
      </c>
      <c r="J73" s="62"/>
      <c r="M73" s="23"/>
      <c r="N73" s="107"/>
      <c r="O73" s="24"/>
      <c r="Z73" s="25"/>
    </row>
    <row r="74" spans="1:26">
      <c r="A74" s="34" t="s">
        <v>132</v>
      </c>
      <c r="B74" s="23" t="s">
        <v>122</v>
      </c>
      <c r="C74" s="430" t="s">
        <v>141</v>
      </c>
      <c r="D74" s="445"/>
      <c r="E74" s="135"/>
      <c r="F74" s="23">
        <v>35</v>
      </c>
      <c r="G74" s="444"/>
      <c r="H74" s="491" t="s">
        <v>284</v>
      </c>
      <c r="I74" s="38" t="s">
        <v>86</v>
      </c>
      <c r="J74" s="62"/>
      <c r="M74" s="23"/>
      <c r="N74" s="107"/>
      <c r="O74" s="24"/>
      <c r="P74" s="648" t="s">
        <v>302</v>
      </c>
      <c r="Q74" s="654"/>
      <c r="R74" s="506" t="s">
        <v>285</v>
      </c>
      <c r="S74" s="94"/>
      <c r="T74" s="643">
        <f>591*7553.64/62496</f>
        <v>71.431791474654375</v>
      </c>
      <c r="U74" s="436">
        <f>V74/(V75+V74)*T74</f>
        <v>71.431791474654375</v>
      </c>
      <c r="V74" s="437">
        <v>7553.64</v>
      </c>
      <c r="W74" s="436">
        <f>V74-U74</f>
        <v>7482.208208525346</v>
      </c>
      <c r="X74" s="435">
        <v>0.45</v>
      </c>
      <c r="Y74" s="431">
        <f>V74/X74*3600/1000</f>
        <v>60429.12000000001</v>
      </c>
      <c r="Z74" s="25"/>
    </row>
    <row r="75" spans="1:26">
      <c r="A75" s="34" t="s">
        <v>132</v>
      </c>
      <c r="B75" s="23" t="s">
        <v>123</v>
      </c>
      <c r="C75" s="430" t="s">
        <v>141</v>
      </c>
      <c r="D75" s="445"/>
      <c r="E75" s="135"/>
      <c r="F75" s="23">
        <v>39</v>
      </c>
      <c r="G75" s="453"/>
      <c r="H75" s="491" t="s">
        <v>284</v>
      </c>
      <c r="I75" s="38" t="s">
        <v>86</v>
      </c>
      <c r="J75" s="62"/>
      <c r="M75" s="23"/>
      <c r="N75" s="107"/>
      <c r="O75" s="24"/>
      <c r="P75" s="655"/>
      <c r="Q75" s="656"/>
      <c r="R75" s="106"/>
      <c r="S75" s="100"/>
      <c r="T75" s="644"/>
      <c r="U75" s="436"/>
      <c r="V75" s="437"/>
      <c r="W75" s="436"/>
      <c r="X75" s="435"/>
      <c r="Y75" s="431"/>
      <c r="Z75" s="25"/>
    </row>
    <row r="76" spans="1:26" ht="12.75" customHeight="1">
      <c r="A76" s="34" t="s">
        <v>132</v>
      </c>
      <c r="B76" s="23" t="s">
        <v>127</v>
      </c>
      <c r="C76" s="430" t="s">
        <v>141</v>
      </c>
      <c r="D76" s="445"/>
      <c r="E76" s="135"/>
      <c r="F76" s="23">
        <v>17</v>
      </c>
      <c r="G76" s="453"/>
      <c r="H76" s="491" t="s">
        <v>284</v>
      </c>
      <c r="I76" s="38" t="s">
        <v>129</v>
      </c>
      <c r="J76" s="62"/>
      <c r="M76" s="23"/>
      <c r="N76" s="107"/>
      <c r="O76" s="24"/>
      <c r="Z76" s="25"/>
    </row>
    <row r="77" spans="1:26" ht="14" thickBot="1">
      <c r="A77" s="111" t="s">
        <v>89</v>
      </c>
      <c r="B77" s="449" t="s">
        <v>189</v>
      </c>
      <c r="C77" s="452" t="s">
        <v>256</v>
      </c>
      <c r="D77" s="451"/>
      <c r="E77" s="450" t="s">
        <v>194</v>
      </c>
      <c r="F77" s="449">
        <v>100</v>
      </c>
      <c r="G77" s="448">
        <v>175000</v>
      </c>
      <c r="H77" s="447" t="s">
        <v>284</v>
      </c>
      <c r="I77" s="118" t="s">
        <v>128</v>
      </c>
      <c r="J77" s="62"/>
      <c r="M77" s="23"/>
      <c r="N77" s="107"/>
      <c r="O77" s="24"/>
      <c r="P77" s="648" t="s">
        <v>315</v>
      </c>
      <c r="Q77" s="654"/>
      <c r="R77" s="132" t="s">
        <v>125</v>
      </c>
      <c r="S77" s="94"/>
      <c r="T77" s="643">
        <f>196.4*1556.24/26414.2</f>
        <v>11.571258489751726</v>
      </c>
      <c r="U77" s="436">
        <f>V77/(V77+V78)*T77</f>
        <v>11.571258489751726</v>
      </c>
      <c r="V77" s="437">
        <v>1556.24</v>
      </c>
      <c r="W77" s="436">
        <f>V77-U77</f>
        <v>1544.6687415102483</v>
      </c>
      <c r="X77" s="435"/>
      <c r="Y77" s="431"/>
      <c r="Z77" s="25"/>
    </row>
    <row r="78" spans="1:26">
      <c r="J78" s="62"/>
      <c r="M78" s="23"/>
      <c r="N78" s="107"/>
      <c r="O78" s="24"/>
      <c r="P78" s="655"/>
      <c r="Q78" s="656"/>
      <c r="R78" s="99"/>
      <c r="S78" s="100"/>
      <c r="T78" s="644"/>
      <c r="U78" s="436"/>
      <c r="V78" s="437"/>
      <c r="W78" s="436"/>
      <c r="X78" s="435"/>
      <c r="Y78" s="431"/>
      <c r="Z78" s="25"/>
    </row>
    <row r="79" spans="1:26">
      <c r="J79" s="62"/>
      <c r="M79" s="23"/>
      <c r="N79" s="107"/>
      <c r="O79" s="24"/>
      <c r="P79" s="433"/>
      <c r="Q79" s="433"/>
      <c r="R79" s="433"/>
      <c r="S79" s="433"/>
      <c r="T79" s="433"/>
      <c r="U79" s="433"/>
      <c r="V79" s="433"/>
      <c r="W79" s="433"/>
      <c r="X79" s="433"/>
      <c r="Y79" s="433"/>
      <c r="Z79" s="25"/>
    </row>
    <row r="80" spans="1:26" ht="14" thickBot="1">
      <c r="J80" s="62"/>
      <c r="M80" s="23"/>
      <c r="N80" s="107"/>
      <c r="O80" s="24"/>
      <c r="P80" s="648" t="s">
        <v>316</v>
      </c>
      <c r="Q80" s="654"/>
      <c r="R80" s="132" t="s">
        <v>125</v>
      </c>
      <c r="S80" s="94"/>
      <c r="T80" s="657">
        <v>1.94</v>
      </c>
      <c r="U80" s="436">
        <f>V80/(V80+V81)*T80</f>
        <v>1.94</v>
      </c>
      <c r="V80" s="437">
        <v>72.150000000000006</v>
      </c>
      <c r="W80" s="436">
        <f>V80-U80</f>
        <v>70.210000000000008</v>
      </c>
      <c r="X80" s="435"/>
      <c r="Y80" s="431"/>
      <c r="Z80" s="25"/>
    </row>
    <row r="81" spans="1:26" ht="14" thickBot="1">
      <c r="E81" s="471" t="s">
        <v>313</v>
      </c>
      <c r="F81" s="126"/>
      <c r="G81" s="127">
        <f>SUM(G3:G77)</f>
        <v>111588748.61</v>
      </c>
      <c r="N81" s="107"/>
      <c r="O81" s="119"/>
      <c r="P81" s="655"/>
      <c r="Q81" s="656"/>
      <c r="R81" s="99"/>
      <c r="S81" s="100"/>
      <c r="T81" s="658"/>
      <c r="U81" s="436"/>
      <c r="V81" s="437"/>
      <c r="W81" s="436"/>
      <c r="X81" s="435"/>
      <c r="Y81" s="431"/>
      <c r="Z81" s="120"/>
    </row>
    <row r="82" spans="1:26">
      <c r="N82" s="107"/>
      <c r="O82" s="119"/>
      <c r="P82" s="433"/>
      <c r="Q82" s="433"/>
      <c r="R82" s="433"/>
      <c r="S82" s="433"/>
      <c r="T82" s="433"/>
      <c r="U82" s="433"/>
      <c r="Z82" s="120"/>
    </row>
    <row r="83" spans="1:26">
      <c r="B83" s="23"/>
      <c r="C83" s="430"/>
      <c r="D83" s="445"/>
      <c r="E83" s="135"/>
      <c r="F83" s="23"/>
      <c r="G83" s="444"/>
      <c r="H83" s="443"/>
      <c r="L83" s="22"/>
      <c r="M83" s="23"/>
      <c r="N83" s="107"/>
      <c r="O83" s="119"/>
      <c r="P83" s="433"/>
      <c r="Q83" s="433"/>
      <c r="R83" s="433"/>
      <c r="S83" s="433"/>
      <c r="T83" s="433"/>
      <c r="U83" s="433"/>
      <c r="Z83" s="120"/>
    </row>
    <row r="84" spans="1:26">
      <c r="B84" s="23"/>
      <c r="C84" s="430"/>
      <c r="D84" s="445"/>
      <c r="E84" s="135"/>
      <c r="F84" s="23"/>
      <c r="G84" s="444"/>
      <c r="H84" s="443"/>
      <c r="L84" s="22"/>
      <c r="M84" s="23"/>
      <c r="N84" s="23"/>
      <c r="O84" s="119"/>
      <c r="P84" s="140"/>
      <c r="Q84" s="140"/>
      <c r="R84" s="140"/>
      <c r="S84" s="140"/>
      <c r="T84" s="140"/>
      <c r="U84" s="140"/>
      <c r="Z84" s="120"/>
    </row>
    <row r="85" spans="1:26">
      <c r="A85" s="23"/>
      <c r="B85" s="23"/>
      <c r="C85" s="133"/>
      <c r="D85" s="134"/>
      <c r="H85" s="442"/>
      <c r="L85" s="22"/>
      <c r="M85" s="23"/>
      <c r="N85" s="23"/>
      <c r="O85" s="119"/>
      <c r="V85" s="434" t="s">
        <v>40</v>
      </c>
      <c r="W85" s="431">
        <f>SUM(W55:W81)</f>
        <v>25259.672669102434</v>
      </c>
      <c r="X85" s="433"/>
      <c r="Y85" s="433"/>
      <c r="Z85" s="120"/>
    </row>
    <row r="86" spans="1:26">
      <c r="A86" s="23"/>
      <c r="B86" s="23"/>
      <c r="C86" s="133"/>
      <c r="D86" s="134"/>
      <c r="E86" s="135"/>
      <c r="F86" s="23"/>
      <c r="G86" s="442"/>
      <c r="H86" s="442"/>
      <c r="I86" s="441"/>
      <c r="L86" s="22"/>
      <c r="M86" s="23"/>
      <c r="N86" s="23"/>
      <c r="O86" s="119"/>
      <c r="V86" s="433"/>
      <c r="W86" s="433"/>
      <c r="X86" s="434" t="s">
        <v>41</v>
      </c>
      <c r="Y86" s="431">
        <f>Y69</f>
        <v>120.87999999999998</v>
      </c>
      <c r="Z86" s="120"/>
    </row>
    <row r="87" spans="1:26">
      <c r="L87" s="22"/>
      <c r="M87" s="23"/>
      <c r="N87" s="23"/>
      <c r="O87" s="119"/>
      <c r="V87" s="433"/>
      <c r="W87" s="433"/>
      <c r="X87" s="432" t="s">
        <v>42</v>
      </c>
      <c r="Y87" s="431">
        <f>Y62+Y66</f>
        <v>81707.040000000008</v>
      </c>
      <c r="Z87" s="120"/>
    </row>
    <row r="88" spans="1:26">
      <c r="A88" s="476" t="s">
        <v>320</v>
      </c>
      <c r="L88" s="22"/>
      <c r="M88" s="23"/>
      <c r="N88" s="23"/>
      <c r="O88" s="119"/>
      <c r="V88" s="433"/>
      <c r="W88" s="433"/>
      <c r="X88" s="432" t="s">
        <v>213</v>
      </c>
      <c r="Y88" s="431">
        <f>Y63+Y65</f>
        <v>100.95652173913044</v>
      </c>
      <c r="Z88" s="120"/>
    </row>
    <row r="89" spans="1:26">
      <c r="A89" s="23"/>
      <c r="B89" s="23"/>
      <c r="C89" s="133"/>
      <c r="D89" s="134"/>
      <c r="E89" s="135"/>
      <c r="F89" s="23"/>
      <c r="G89" s="23"/>
      <c r="H89" s="23"/>
      <c r="I89" s="23"/>
      <c r="L89" s="22"/>
      <c r="M89" s="23"/>
      <c r="N89" s="23"/>
      <c r="O89" s="119"/>
      <c r="V89" s="140"/>
      <c r="W89" s="140"/>
      <c r="X89" s="507" t="s">
        <v>288</v>
      </c>
      <c r="Y89" s="431">
        <f>Y74</f>
        <v>60429.12000000001</v>
      </c>
      <c r="Z89" s="120"/>
    </row>
    <row r="90" spans="1:26" ht="13" customHeight="1">
      <c r="A90" s="23"/>
      <c r="B90" s="23"/>
      <c r="C90" s="133"/>
      <c r="D90" s="134"/>
      <c r="E90" s="135"/>
      <c r="F90" s="23"/>
      <c r="G90" s="23"/>
      <c r="H90" s="23"/>
      <c r="I90" s="23"/>
      <c r="L90" s="22"/>
      <c r="O90" s="119"/>
      <c r="Z90" s="120"/>
    </row>
    <row r="91" spans="1:26">
      <c r="A91" s="23"/>
      <c r="B91" s="23"/>
      <c r="C91" s="133"/>
      <c r="D91" s="134"/>
      <c r="E91" s="135"/>
      <c r="F91" s="23"/>
      <c r="G91" s="23"/>
      <c r="H91" s="23"/>
      <c r="I91" s="23"/>
      <c r="L91" s="22"/>
      <c r="O91" s="119"/>
      <c r="Z91" s="120"/>
    </row>
    <row r="92" spans="1:26">
      <c r="A92" s="23"/>
      <c r="B92" s="23"/>
      <c r="C92" s="133"/>
      <c r="D92" s="134"/>
      <c r="E92" s="135"/>
      <c r="F92" s="23"/>
      <c r="G92" s="23"/>
      <c r="H92" s="23"/>
      <c r="I92" s="23"/>
      <c r="L92" s="22"/>
      <c r="O92" s="119"/>
      <c r="Z92" s="120"/>
    </row>
    <row r="93" spans="1:26">
      <c r="A93" s="23"/>
      <c r="B93" s="23"/>
      <c r="C93" s="133"/>
      <c r="D93" s="134"/>
      <c r="E93" s="135"/>
      <c r="F93" s="23"/>
      <c r="G93" s="23"/>
      <c r="H93" s="23"/>
      <c r="I93" s="23"/>
      <c r="O93" s="119"/>
      <c r="Z93" s="120"/>
    </row>
    <row r="94" spans="1:26">
      <c r="A94" s="23"/>
      <c r="B94" s="23"/>
      <c r="C94" s="133"/>
      <c r="D94" s="134"/>
      <c r="E94" s="135"/>
      <c r="F94" s="23"/>
      <c r="G94" s="23"/>
      <c r="H94" s="23"/>
      <c r="I94" s="23"/>
      <c r="O94" s="119"/>
      <c r="Z94" s="120"/>
    </row>
    <row r="95" spans="1:26">
      <c r="A95" s="23"/>
      <c r="B95" s="23"/>
      <c r="C95" s="133"/>
      <c r="D95" s="134"/>
      <c r="E95" s="135"/>
      <c r="F95" s="23"/>
      <c r="G95" s="23"/>
      <c r="H95" s="23"/>
      <c r="I95" s="23"/>
      <c r="O95" s="119"/>
      <c r="Z95" s="120"/>
    </row>
    <row r="96" spans="1:26">
      <c r="A96" s="23"/>
      <c r="B96" s="23"/>
      <c r="C96" s="133"/>
      <c r="D96" s="134"/>
      <c r="E96" s="135"/>
      <c r="F96" s="23"/>
      <c r="G96" s="23"/>
      <c r="H96" s="23"/>
      <c r="I96" s="23"/>
      <c r="O96" s="24"/>
      <c r="Z96" s="25"/>
    </row>
    <row r="97" spans="1:26" ht="13" customHeight="1">
      <c r="A97" s="23"/>
      <c r="B97" s="23"/>
      <c r="C97" s="133"/>
      <c r="D97" s="134"/>
      <c r="E97" s="135"/>
      <c r="F97" s="23"/>
      <c r="G97" s="23"/>
      <c r="H97" s="23"/>
      <c r="I97" s="23"/>
      <c r="O97" s="24"/>
      <c r="Z97" s="25"/>
    </row>
    <row r="98" spans="1:26">
      <c r="A98" s="23"/>
      <c r="B98" s="23"/>
      <c r="C98" s="133"/>
      <c r="D98" s="134"/>
      <c r="E98" s="135"/>
      <c r="F98" s="23"/>
      <c r="G98" s="23"/>
      <c r="H98" s="23"/>
      <c r="I98" s="23"/>
      <c r="O98" s="24"/>
      <c r="Z98" s="25"/>
    </row>
    <row r="99" spans="1:26">
      <c r="A99" s="23"/>
      <c r="B99" s="23"/>
      <c r="C99" s="133"/>
      <c r="D99" s="134"/>
      <c r="E99" s="135"/>
      <c r="F99" s="23"/>
      <c r="G99" s="23"/>
      <c r="H99" s="23"/>
      <c r="I99" s="23"/>
      <c r="O99" s="139"/>
      <c r="Z99" s="141"/>
    </row>
    <row r="100" spans="1:26">
      <c r="A100" s="23"/>
      <c r="B100" s="23"/>
      <c r="C100" s="133"/>
      <c r="D100" s="134"/>
      <c r="E100" s="135"/>
      <c r="F100" s="23"/>
      <c r="G100" s="23"/>
      <c r="H100" s="23"/>
      <c r="I100" s="23"/>
    </row>
    <row r="101" spans="1:26">
      <c r="A101" s="23"/>
      <c r="B101" s="23"/>
      <c r="C101" s="133"/>
      <c r="D101" s="134"/>
      <c r="E101" s="135"/>
      <c r="F101" s="23"/>
      <c r="G101" s="23"/>
      <c r="H101" s="23"/>
      <c r="I101" s="23"/>
    </row>
    <row r="102" spans="1:26">
      <c r="A102" s="23"/>
      <c r="B102" s="23"/>
      <c r="C102" s="133"/>
      <c r="D102" s="134"/>
      <c r="E102" s="135"/>
      <c r="F102" s="23"/>
      <c r="G102" s="23"/>
      <c r="H102" s="23"/>
      <c r="I102" s="23"/>
    </row>
    <row r="103" spans="1:26">
      <c r="A103" s="23"/>
      <c r="B103" s="23"/>
      <c r="C103" s="133"/>
      <c r="D103" s="134"/>
      <c r="E103" s="135"/>
      <c r="F103" s="23"/>
      <c r="G103" s="23"/>
      <c r="H103" s="23"/>
      <c r="I103" s="23"/>
    </row>
    <row r="104" spans="1:26">
      <c r="A104" s="23"/>
      <c r="B104" s="23"/>
      <c r="C104" s="133"/>
      <c r="D104" s="134"/>
      <c r="E104" s="135"/>
      <c r="F104" s="23"/>
      <c r="G104" s="23"/>
      <c r="H104" s="23"/>
      <c r="I104" s="23"/>
    </row>
    <row r="105" spans="1:26">
      <c r="A105" s="23"/>
      <c r="B105" s="23"/>
      <c r="C105" s="133"/>
      <c r="D105" s="134"/>
      <c r="E105" s="135"/>
      <c r="F105" s="23"/>
      <c r="G105" s="23"/>
      <c r="H105" s="23"/>
      <c r="I105" s="23"/>
    </row>
    <row r="106" spans="1:26">
      <c r="A106" s="23"/>
      <c r="B106" s="23"/>
      <c r="C106" s="133"/>
      <c r="D106" s="134"/>
      <c r="E106" s="135"/>
      <c r="F106" s="23"/>
      <c r="G106" s="23"/>
      <c r="H106" s="23"/>
      <c r="I106" s="23"/>
    </row>
    <row r="107" spans="1:26" ht="13" customHeight="1">
      <c r="A107" s="23"/>
      <c r="B107" s="23"/>
      <c r="C107" s="133"/>
      <c r="D107" s="134"/>
      <c r="E107" s="135"/>
      <c r="F107" s="23"/>
      <c r="G107" s="23"/>
      <c r="H107" s="23"/>
      <c r="I107" s="23"/>
    </row>
    <row r="108" spans="1:26">
      <c r="A108" s="23"/>
      <c r="B108" s="23"/>
      <c r="C108" s="133"/>
      <c r="D108" s="134"/>
      <c r="E108" s="135"/>
      <c r="F108" s="23"/>
      <c r="G108" s="23"/>
      <c r="H108" s="23"/>
      <c r="I108" s="23"/>
    </row>
    <row r="109" spans="1:26" ht="15.75" customHeight="1">
      <c r="A109" s="23"/>
      <c r="B109" s="23"/>
      <c r="C109" s="133"/>
      <c r="D109" s="134"/>
      <c r="E109" s="135"/>
      <c r="F109" s="23"/>
      <c r="G109" s="23"/>
      <c r="H109" s="23"/>
      <c r="I109" s="23"/>
    </row>
    <row r="110" spans="1:26">
      <c r="A110" s="23"/>
      <c r="B110" s="23"/>
      <c r="C110" s="133"/>
      <c r="D110" s="134"/>
      <c r="E110" s="135"/>
      <c r="F110" s="23"/>
      <c r="G110" s="23"/>
      <c r="H110" s="23"/>
      <c r="I110" s="23"/>
    </row>
    <row r="111" spans="1:26">
      <c r="A111" s="23"/>
      <c r="B111" s="23"/>
      <c r="C111" s="133"/>
      <c r="D111" s="134"/>
      <c r="E111" s="135"/>
      <c r="F111" s="23"/>
      <c r="G111" s="23"/>
      <c r="H111" s="23"/>
      <c r="I111" s="23"/>
    </row>
    <row r="112" spans="1:26" ht="15.75" customHeight="1">
      <c r="A112" s="23"/>
      <c r="B112" s="23"/>
      <c r="C112" s="133"/>
      <c r="D112" s="134"/>
      <c r="E112" s="135"/>
      <c r="F112" s="23"/>
      <c r="G112" s="23"/>
      <c r="H112" s="23"/>
      <c r="I112" s="23"/>
    </row>
    <row r="113" spans="1:9">
      <c r="A113" s="23"/>
      <c r="B113" s="23"/>
      <c r="C113" s="133"/>
      <c r="D113" s="134"/>
      <c r="E113" s="135"/>
      <c r="F113" s="23"/>
      <c r="G113" s="23"/>
      <c r="H113" s="23"/>
      <c r="I113" s="23"/>
    </row>
    <row r="114" spans="1:9">
      <c r="A114" s="23"/>
      <c r="B114" s="23"/>
      <c r="C114" s="133"/>
      <c r="D114" s="134"/>
      <c r="E114" s="135"/>
      <c r="F114" s="23"/>
      <c r="G114" s="23"/>
      <c r="H114" s="23"/>
      <c r="I114" s="23"/>
    </row>
    <row r="115" spans="1:9">
      <c r="A115" s="23"/>
      <c r="B115" s="23"/>
      <c r="C115" s="133"/>
      <c r="D115" s="134"/>
      <c r="E115" s="135"/>
      <c r="F115" s="23"/>
      <c r="G115" s="23"/>
      <c r="H115" s="23"/>
      <c r="I115" s="23"/>
    </row>
    <row r="116" spans="1:9">
      <c r="A116" s="23"/>
      <c r="B116" s="23"/>
      <c r="C116" s="133"/>
      <c r="D116" s="134"/>
      <c r="E116" s="135"/>
      <c r="F116" s="23"/>
      <c r="G116" s="23"/>
      <c r="H116" s="23"/>
      <c r="I116" s="23"/>
    </row>
    <row r="117" spans="1:9">
      <c r="A117" s="23"/>
      <c r="B117" s="23"/>
      <c r="C117" s="133"/>
      <c r="D117" s="134"/>
      <c r="E117" s="135"/>
      <c r="F117" s="23"/>
      <c r="G117" s="23"/>
      <c r="H117" s="23"/>
      <c r="I117" s="23"/>
    </row>
    <row r="118" spans="1:9">
      <c r="A118" s="23"/>
      <c r="B118" s="23"/>
      <c r="C118" s="133"/>
      <c r="D118" s="134"/>
      <c r="E118" s="135"/>
      <c r="F118" s="23"/>
      <c r="G118" s="23"/>
      <c r="H118" s="23"/>
      <c r="I118" s="23"/>
    </row>
    <row r="119" spans="1:9">
      <c r="A119" s="23"/>
      <c r="B119" s="23"/>
      <c r="C119" s="133"/>
      <c r="D119" s="134"/>
      <c r="E119" s="135"/>
      <c r="F119" s="23"/>
      <c r="G119" s="23"/>
      <c r="H119" s="23"/>
      <c r="I119" s="23"/>
    </row>
    <row r="120" spans="1:9">
      <c r="A120" s="23"/>
      <c r="B120" s="23"/>
      <c r="C120" s="133"/>
      <c r="D120" s="134"/>
      <c r="E120" s="135"/>
      <c r="F120" s="23"/>
      <c r="G120" s="23"/>
      <c r="H120" s="23"/>
      <c r="I120" s="23"/>
    </row>
    <row r="121" spans="1:9">
      <c r="A121" s="23"/>
      <c r="B121" s="23"/>
      <c r="C121" s="133"/>
      <c r="D121" s="134"/>
      <c r="E121" s="135"/>
      <c r="F121" s="23"/>
      <c r="G121" s="23"/>
      <c r="H121" s="23"/>
      <c r="I121" s="23"/>
    </row>
    <row r="122" spans="1:9">
      <c r="A122" s="23"/>
      <c r="B122" s="23"/>
      <c r="C122" s="133"/>
      <c r="D122" s="134"/>
      <c r="E122" s="135"/>
      <c r="F122" s="23"/>
      <c r="G122" s="23"/>
      <c r="H122" s="23"/>
      <c r="I122" s="23"/>
    </row>
    <row r="123" spans="1:9">
      <c r="A123" s="23"/>
      <c r="B123" s="23"/>
      <c r="C123" s="133"/>
      <c r="D123" s="134"/>
      <c r="E123" s="135"/>
      <c r="F123" s="23"/>
      <c r="G123" s="23"/>
      <c r="H123" s="23"/>
      <c r="I123" s="23"/>
    </row>
    <row r="124" spans="1:9">
      <c r="A124" s="23"/>
      <c r="B124" s="23"/>
      <c r="C124" s="133"/>
      <c r="D124" s="134"/>
      <c r="E124" s="135"/>
      <c r="F124" s="23"/>
      <c r="G124" s="23"/>
      <c r="H124" s="23"/>
      <c r="I124" s="23"/>
    </row>
    <row r="125" spans="1:9">
      <c r="A125" s="23"/>
      <c r="B125" s="23"/>
      <c r="C125" s="133"/>
      <c r="D125" s="134"/>
      <c r="E125" s="135"/>
      <c r="F125" s="23"/>
      <c r="G125" s="23"/>
      <c r="H125" s="23"/>
      <c r="I125" s="23"/>
    </row>
    <row r="126" spans="1:9">
      <c r="A126" s="23"/>
      <c r="B126" s="23"/>
      <c r="C126" s="133"/>
      <c r="D126" s="134"/>
      <c r="E126" s="135"/>
      <c r="F126" s="23"/>
      <c r="G126" s="23"/>
      <c r="H126" s="23"/>
      <c r="I126" s="23"/>
    </row>
    <row r="127" spans="1:9">
      <c r="A127" s="23"/>
      <c r="B127" s="23"/>
      <c r="C127" s="133"/>
      <c r="D127" s="134"/>
      <c r="E127" s="135"/>
      <c r="F127" s="23"/>
      <c r="G127" s="23"/>
      <c r="H127" s="23"/>
      <c r="I127" s="23"/>
    </row>
    <row r="128" spans="1:9">
      <c r="A128" s="23"/>
      <c r="B128" s="23"/>
      <c r="C128" s="133"/>
      <c r="D128" s="134"/>
      <c r="E128" s="135"/>
      <c r="F128" s="23"/>
      <c r="G128" s="23"/>
      <c r="H128" s="23"/>
      <c r="I128" s="23"/>
    </row>
    <row r="129" spans="1:14">
      <c r="A129" s="23"/>
      <c r="B129" s="23"/>
      <c r="C129" s="133"/>
      <c r="D129" s="134"/>
      <c r="E129" s="135"/>
      <c r="F129" s="23"/>
      <c r="G129" s="23"/>
      <c r="H129" s="23"/>
      <c r="I129" s="23"/>
    </row>
    <row r="130" spans="1:14">
      <c r="A130" s="23"/>
      <c r="B130" s="23"/>
      <c r="C130" s="133"/>
      <c r="D130" s="134"/>
      <c r="E130" s="135"/>
      <c r="F130" s="23"/>
      <c r="G130" s="23"/>
      <c r="H130" s="23"/>
      <c r="I130" s="23"/>
    </row>
    <row r="131" spans="1:14">
      <c r="A131" s="23"/>
      <c r="B131" s="23"/>
      <c r="C131" s="133"/>
      <c r="D131" s="134"/>
      <c r="E131" s="135"/>
      <c r="F131" s="23"/>
      <c r="G131" s="23"/>
      <c r="H131" s="23"/>
      <c r="I131" s="23"/>
    </row>
    <row r="132" spans="1:14">
      <c r="A132" s="23"/>
      <c r="B132" s="23"/>
      <c r="C132" s="133"/>
      <c r="D132" s="134"/>
      <c r="E132" s="135"/>
      <c r="F132" s="23"/>
      <c r="G132" s="23"/>
      <c r="H132" s="23"/>
      <c r="I132" s="23"/>
    </row>
    <row r="133" spans="1:14">
      <c r="A133" s="23"/>
      <c r="B133" s="23"/>
      <c r="C133" s="133"/>
      <c r="D133" s="134"/>
      <c r="E133" s="135"/>
      <c r="F133" s="23"/>
      <c r="G133" s="23"/>
      <c r="H133" s="23"/>
      <c r="I133" s="23"/>
    </row>
    <row r="134" spans="1:14">
      <c r="A134" s="23"/>
      <c r="B134" s="23"/>
      <c r="C134" s="133"/>
      <c r="D134" s="134"/>
      <c r="E134" s="135"/>
      <c r="F134" s="23"/>
      <c r="G134" s="23"/>
      <c r="H134" s="23"/>
      <c r="I134" s="23"/>
    </row>
    <row r="135" spans="1:14">
      <c r="A135" s="23"/>
      <c r="B135" s="23"/>
      <c r="C135" s="133"/>
      <c r="D135" s="134"/>
      <c r="E135" s="135"/>
      <c r="F135" s="23"/>
      <c r="G135" s="23"/>
      <c r="H135" s="23"/>
      <c r="I135" s="23"/>
    </row>
    <row r="136" spans="1:14">
      <c r="A136" s="23"/>
      <c r="B136" s="23"/>
      <c r="C136" s="133"/>
      <c r="D136" s="134"/>
      <c r="E136" s="135"/>
      <c r="F136" s="23"/>
      <c r="G136" s="23"/>
      <c r="H136" s="23"/>
      <c r="I136" s="23"/>
      <c r="M136" s="23"/>
      <c r="N136" s="23"/>
    </row>
    <row r="137" spans="1:14">
      <c r="A137" s="23"/>
      <c r="B137" s="23"/>
      <c r="C137" s="133"/>
      <c r="D137" s="134"/>
      <c r="E137" s="135"/>
      <c r="F137" s="23"/>
      <c r="G137" s="23"/>
      <c r="H137" s="23"/>
      <c r="I137" s="23"/>
      <c r="M137" s="23"/>
      <c r="N137" s="23"/>
    </row>
    <row r="138" spans="1:14">
      <c r="A138" s="23"/>
      <c r="B138" s="23"/>
      <c r="C138" s="133"/>
      <c r="D138" s="134"/>
      <c r="E138" s="135"/>
      <c r="F138" s="23"/>
      <c r="G138" s="23"/>
      <c r="H138" s="23"/>
      <c r="I138" s="23"/>
      <c r="M138" s="23"/>
      <c r="N138" s="23"/>
    </row>
    <row r="139" spans="1:14">
      <c r="A139" s="23"/>
      <c r="B139" s="23"/>
      <c r="C139" s="133"/>
      <c r="D139" s="134"/>
      <c r="E139" s="135"/>
      <c r="F139" s="23"/>
      <c r="G139" s="23"/>
      <c r="H139" s="23"/>
      <c r="I139" s="23"/>
      <c r="M139" s="22"/>
      <c r="N139" s="22"/>
    </row>
    <row r="140" spans="1:14">
      <c r="A140" s="23"/>
      <c r="B140" s="23"/>
      <c r="C140" s="133"/>
      <c r="D140" s="134"/>
      <c r="E140" s="135"/>
      <c r="F140" s="23"/>
      <c r="G140" s="23"/>
      <c r="H140" s="23"/>
      <c r="I140" s="23"/>
      <c r="M140" s="22"/>
      <c r="N140" s="22"/>
    </row>
    <row r="141" spans="1:14">
      <c r="A141" s="22"/>
      <c r="B141" s="22"/>
      <c r="C141" s="144"/>
      <c r="D141" s="145"/>
      <c r="E141" s="146"/>
      <c r="F141" s="22"/>
      <c r="G141" s="22"/>
      <c r="H141" s="22"/>
      <c r="I141" s="22"/>
      <c r="M141" s="22"/>
      <c r="N141" s="22"/>
    </row>
    <row r="142" spans="1:14">
      <c r="A142" s="22"/>
      <c r="B142" s="22"/>
      <c r="C142" s="144"/>
      <c r="D142" s="145"/>
      <c r="E142" s="146"/>
      <c r="F142" s="22"/>
      <c r="G142" s="22"/>
      <c r="H142" s="22"/>
      <c r="I142" s="22"/>
      <c r="M142" s="22"/>
      <c r="N142" s="22"/>
    </row>
    <row r="143" spans="1:14">
      <c r="A143" s="22"/>
      <c r="B143" s="22"/>
      <c r="C143" s="144"/>
      <c r="D143" s="145"/>
      <c r="E143" s="146"/>
      <c r="F143" s="22"/>
      <c r="G143" s="22"/>
      <c r="H143" s="22"/>
      <c r="I143" s="22"/>
      <c r="M143" s="22"/>
      <c r="N143" s="22"/>
    </row>
    <row r="144" spans="1:14">
      <c r="A144" s="22"/>
      <c r="B144" s="22"/>
      <c r="C144" s="144"/>
      <c r="D144" s="145"/>
      <c r="E144" s="146"/>
      <c r="F144" s="22"/>
      <c r="G144" s="22"/>
      <c r="H144" s="22"/>
      <c r="I144" s="22"/>
      <c r="M144" s="22"/>
      <c r="N144" s="22"/>
    </row>
    <row r="145" spans="1:14">
      <c r="A145" s="22"/>
      <c r="B145" s="22"/>
      <c r="C145" s="144"/>
      <c r="D145" s="145"/>
      <c r="E145" s="146"/>
      <c r="F145" s="22"/>
      <c r="G145" s="22"/>
      <c r="H145" s="22"/>
      <c r="I145" s="22"/>
      <c r="M145" s="22"/>
      <c r="N145" s="22"/>
    </row>
    <row r="146" spans="1:14">
      <c r="A146" s="22"/>
      <c r="B146" s="22"/>
      <c r="C146" s="144"/>
      <c r="D146" s="145"/>
      <c r="E146" s="146"/>
      <c r="F146" s="22"/>
      <c r="G146" s="22"/>
      <c r="H146" s="22"/>
      <c r="I146" s="22"/>
      <c r="M146" s="22"/>
      <c r="N146" s="22"/>
    </row>
    <row r="147" spans="1:14">
      <c r="A147" s="22"/>
      <c r="B147" s="22"/>
      <c r="C147" s="144"/>
      <c r="D147" s="145"/>
      <c r="E147" s="146"/>
      <c r="F147" s="22"/>
      <c r="G147" s="22"/>
      <c r="H147" s="22"/>
      <c r="I147" s="22"/>
      <c r="M147" s="22"/>
      <c r="N147" s="22"/>
    </row>
    <row r="148" spans="1:14">
      <c r="A148" s="22"/>
      <c r="B148" s="22"/>
      <c r="C148" s="144"/>
      <c r="D148" s="145"/>
      <c r="E148" s="146"/>
      <c r="F148" s="22"/>
      <c r="G148" s="22"/>
      <c r="H148" s="22"/>
      <c r="I148" s="22"/>
    </row>
    <row r="149" spans="1:14">
      <c r="A149" s="22"/>
      <c r="B149" s="22"/>
      <c r="C149" s="144"/>
      <c r="D149" s="145"/>
      <c r="E149" s="146"/>
      <c r="F149" s="22"/>
      <c r="G149" s="22"/>
      <c r="H149" s="22"/>
      <c r="I149" s="22"/>
    </row>
    <row r="150" spans="1:14">
      <c r="C150" s="147"/>
      <c r="D150" s="145"/>
      <c r="E150" s="5"/>
    </row>
    <row r="151" spans="1:14">
      <c r="C151" s="147"/>
      <c r="D151" s="145"/>
      <c r="E151" s="5"/>
    </row>
    <row r="152" spans="1:14">
      <c r="C152" s="147"/>
      <c r="D152" s="145"/>
      <c r="E152" s="5"/>
    </row>
    <row r="153" spans="1:14">
      <c r="C153" s="147"/>
      <c r="D153" s="145"/>
      <c r="E153" s="5"/>
    </row>
    <row r="154" spans="1:14">
      <c r="C154" s="147"/>
      <c r="D154" s="145"/>
      <c r="E154" s="5"/>
    </row>
    <row r="155" spans="1:14">
      <c r="C155" s="147"/>
      <c r="D155" s="145"/>
      <c r="E155" s="5"/>
    </row>
    <row r="156" spans="1:14">
      <c r="C156" s="147"/>
      <c r="D156" s="145"/>
      <c r="E156" s="5"/>
    </row>
    <row r="157" spans="1:14">
      <c r="C157" s="147"/>
      <c r="D157" s="145"/>
      <c r="E157" s="5"/>
    </row>
    <row r="213" spans="4:5" ht="12.75" customHeight="1">
      <c r="D213" s="5"/>
      <c r="E213" s="5"/>
    </row>
  </sheetData>
  <mergeCells count="22">
    <mergeCell ref="P80:Q81"/>
    <mergeCell ref="T80:T81"/>
    <mergeCell ref="P74:Q75"/>
    <mergeCell ref="T74:T75"/>
    <mergeCell ref="P77:Q78"/>
    <mergeCell ref="T77:T78"/>
    <mergeCell ref="T69:T70"/>
    <mergeCell ref="P48:Y48"/>
    <mergeCell ref="P49:Q52"/>
    <mergeCell ref="R49:R52"/>
    <mergeCell ref="S49:S52"/>
    <mergeCell ref="T49:U50"/>
    <mergeCell ref="V49:W49"/>
    <mergeCell ref="X49:X52"/>
    <mergeCell ref="P55:Q56"/>
    <mergeCell ref="T55:T56"/>
    <mergeCell ref="P59:Q60"/>
    <mergeCell ref="T59:T60"/>
    <mergeCell ref="P62:Q63"/>
    <mergeCell ref="T62:T63"/>
    <mergeCell ref="P65:Q66"/>
    <mergeCell ref="T65:T66"/>
  </mergeCells>
  <hyperlinks>
    <hyperlink ref="D56" r:id="rId1" xr:uid="{080CD5B7-BB07-A24A-9FC1-A7E67CB84E7F}"/>
    <hyperlink ref="D62" r:id="rId2" xr:uid="{1CEA8A1A-949D-264F-90A7-317E1E1CB95D}"/>
    <hyperlink ref="D66" r:id="rId3" xr:uid="{09EA1346-EB35-A341-B8DD-9A6FA354F056}"/>
    <hyperlink ref="D67" r:id="rId4" xr:uid="{A6B7E4D9-2067-9644-80AE-7992945BE097}"/>
    <hyperlink ref="D68" r:id="rId5" xr:uid="{75D21F8B-9448-F747-8F69-2CB87D786B76}"/>
    <hyperlink ref="D69" r:id="rId6" xr:uid="{4DF2F9FB-553A-C743-B4DB-3ECBAE0E2A01}"/>
    <hyperlink ref="D70" r:id="rId7" xr:uid="{D9674988-32DF-B641-8248-4D7CF7775E3B}"/>
    <hyperlink ref="D71" r:id="rId8" xr:uid="{BB394D5E-C0BC-504D-89EB-ECBAD349230A}"/>
    <hyperlink ref="D72" r:id="rId9" xr:uid="{22755B9D-3501-6B4D-9B0C-88DD27F94255}"/>
    <hyperlink ref="D36" r:id="rId10" xr:uid="{1BDA0557-2BC6-F349-BC90-FE1257902CA5}"/>
    <hyperlink ref="D39" r:id="rId11" xr:uid="{3706A9AE-A016-4F4C-91DD-522C4E41562C}"/>
    <hyperlink ref="D57" r:id="rId12" xr:uid="{DA5283CE-28AD-1543-B02C-3D7814941BDA}"/>
    <hyperlink ref="D45" r:id="rId13" xr:uid="{4373D048-60DD-8D42-B70C-E8CB14FA6CAE}"/>
    <hyperlink ref="D41" r:id="rId14" xr:uid="{1FC671D1-C142-0949-A877-1AE5E592C2FB}"/>
    <hyperlink ref="D28" r:id="rId15" xr:uid="{8D9A950C-F80A-0648-B8EA-BB4B4C46C015}"/>
    <hyperlink ref="D34" r:id="rId16" xr:uid="{11505E99-F2D4-9141-A314-4E01F8782174}"/>
    <hyperlink ref="D51" r:id="rId17" xr:uid="{B28CF77F-DBC5-2D4F-ADFD-B426AAFA0C84}"/>
    <hyperlink ref="D30" r:id="rId18" xr:uid="{2C1A7B14-9B7A-9D40-8BDE-51A3E9887D6B}"/>
    <hyperlink ref="D13" r:id="rId19" xr:uid="{1E10B161-408E-AC42-9723-CFAE6F722682}"/>
    <hyperlink ref="D8" r:id="rId20" xr:uid="{962EE1F1-C204-024A-91B9-A8F1D0F1C11A}"/>
  </hyperlinks>
  <pageMargins left="0.7" right="0.7" top="0.75" bottom="0.75" header="0.3" footer="0.3"/>
  <legacy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CBDF-BDA0-5247-9ABD-2099C2143513}">
  <dimension ref="A1:H24"/>
  <sheetViews>
    <sheetView workbookViewId="0">
      <selection activeCell="E6" sqref="E6"/>
    </sheetView>
  </sheetViews>
  <sheetFormatPr baseColWidth="10" defaultColWidth="8.83203125" defaultRowHeight="15"/>
  <cols>
    <col min="1" max="1" width="31.83203125" style="524" bestFit="1" customWidth="1"/>
    <col min="2" max="2" width="12" style="524" customWidth="1"/>
    <col min="3" max="3" width="12" style="524" bestFit="1" customWidth="1"/>
    <col min="4" max="4" width="24.1640625" style="524" customWidth="1"/>
    <col min="5" max="5" width="16.83203125" style="524" customWidth="1"/>
    <col min="6" max="6" width="8.83203125" style="524"/>
    <col min="7" max="7" width="15.5" style="524" customWidth="1"/>
    <col min="8" max="16384" width="8.83203125" style="524"/>
  </cols>
  <sheetData>
    <row r="1" spans="1:8" ht="20">
      <c r="A1" s="553" t="s">
        <v>335</v>
      </c>
      <c r="B1" s="553"/>
      <c r="C1" s="553"/>
      <c r="D1" s="553"/>
      <c r="E1" s="553"/>
    </row>
    <row r="2" spans="1:8">
      <c r="A2" s="546" t="s">
        <v>257</v>
      </c>
      <c r="B2" s="545"/>
      <c r="C2" s="545"/>
      <c r="D2" s="544"/>
      <c r="E2" s="536"/>
    </row>
    <row r="3" spans="1:8">
      <c r="A3" s="542" t="s">
        <v>334</v>
      </c>
      <c r="B3" s="543">
        <v>137500</v>
      </c>
      <c r="C3" s="536" t="s">
        <v>13</v>
      </c>
      <c r="D3" s="541"/>
      <c r="E3" s="536"/>
    </row>
    <row r="4" spans="1:8">
      <c r="A4" s="542" t="s">
        <v>324</v>
      </c>
      <c r="B4" s="536">
        <f>ROUNDDOWN('Overview CM 2020'!C25,4)</f>
        <v>0.45090000000000002</v>
      </c>
      <c r="C4" s="536" t="s">
        <v>258</v>
      </c>
      <c r="D4" s="541" t="s">
        <v>333</v>
      </c>
      <c r="E4" s="536"/>
    </row>
    <row r="5" spans="1:8">
      <c r="A5" s="542"/>
      <c r="B5" s="536"/>
      <c r="C5" s="536"/>
      <c r="D5" s="541"/>
      <c r="E5" s="536"/>
    </row>
    <row r="6" spans="1:8">
      <c r="A6" s="542" t="s">
        <v>257</v>
      </c>
      <c r="B6" s="543">
        <f>ROUNDDOWN(B3*B4,0)</f>
        <v>61998</v>
      </c>
      <c r="C6" s="536" t="s">
        <v>9</v>
      </c>
      <c r="D6" s="541"/>
      <c r="E6" s="536"/>
    </row>
    <row r="7" spans="1:8">
      <c r="A7" s="542" t="s">
        <v>329</v>
      </c>
      <c r="B7" s="543">
        <v>0</v>
      </c>
      <c r="C7" s="536" t="s">
        <v>9</v>
      </c>
      <c r="D7" s="541"/>
      <c r="E7" s="536"/>
    </row>
    <row r="8" spans="1:8">
      <c r="A8" s="542" t="s">
        <v>259</v>
      </c>
      <c r="B8" s="543">
        <v>0</v>
      </c>
      <c r="C8" s="536" t="s">
        <v>9</v>
      </c>
      <c r="D8" s="541"/>
      <c r="E8" s="536"/>
    </row>
    <row r="9" spans="1:8">
      <c r="A9" s="542"/>
      <c r="B9" s="536"/>
      <c r="C9" s="536"/>
      <c r="D9" s="541"/>
      <c r="E9" s="536"/>
    </row>
    <row r="10" spans="1:8">
      <c r="A10" s="540" t="s">
        <v>260</v>
      </c>
      <c r="B10" s="539">
        <f>B6</f>
        <v>61998</v>
      </c>
      <c r="C10" s="538" t="s">
        <v>9</v>
      </c>
      <c r="D10" s="537"/>
      <c r="E10" s="536"/>
    </row>
    <row r="11" spans="1:8">
      <c r="A11" s="536"/>
      <c r="B11" s="536"/>
      <c r="C11" s="536"/>
      <c r="D11" s="536"/>
      <c r="E11" s="536"/>
      <c r="G11" s="547"/>
      <c r="H11" s="547"/>
    </row>
    <row r="12" spans="1:8">
      <c r="A12" s="536"/>
      <c r="B12" s="536"/>
      <c r="C12" s="536"/>
      <c r="D12" s="536"/>
      <c r="E12" s="536"/>
    </row>
    <row r="13" spans="1:8" ht="21" thickBot="1">
      <c r="A13" s="553" t="s">
        <v>332</v>
      </c>
      <c r="B13" s="553"/>
      <c r="C13" s="553"/>
      <c r="D13" s="553"/>
      <c r="E13" s="553"/>
      <c r="G13" s="548"/>
    </row>
    <row r="14" spans="1:8" ht="30">
      <c r="A14" s="554" t="s">
        <v>331</v>
      </c>
      <c r="B14" s="535" t="s">
        <v>330</v>
      </c>
      <c r="C14" s="535" t="s">
        <v>329</v>
      </c>
      <c r="D14" s="535" t="s">
        <v>259</v>
      </c>
      <c r="E14" s="534" t="s">
        <v>328</v>
      </c>
    </row>
    <row r="15" spans="1:8" ht="19">
      <c r="A15" s="555"/>
      <c r="B15" s="533" t="s">
        <v>327</v>
      </c>
      <c r="C15" s="533" t="s">
        <v>327</v>
      </c>
      <c r="D15" s="533" t="s">
        <v>327</v>
      </c>
      <c r="E15" s="532" t="s">
        <v>327</v>
      </c>
    </row>
    <row r="16" spans="1:8">
      <c r="A16" s="531" t="s">
        <v>352</v>
      </c>
      <c r="B16" s="530">
        <f>ROUNDDOWN(B6*5/12,0)</f>
        <v>25832</v>
      </c>
      <c r="C16" s="529">
        <v>0</v>
      </c>
      <c r="D16" s="529">
        <v>0</v>
      </c>
      <c r="E16" s="528">
        <f>B16-C16-D16</f>
        <v>25832</v>
      </c>
    </row>
    <row r="17" spans="1:5">
      <c r="A17" s="531" t="s">
        <v>353</v>
      </c>
      <c r="B17" s="530">
        <f>$B$6</f>
        <v>61998</v>
      </c>
      <c r="C17" s="529">
        <v>0</v>
      </c>
      <c r="D17" s="529">
        <v>0</v>
      </c>
      <c r="E17" s="528">
        <f t="shared" ref="E17:E21" si="0">B17-C17-D17</f>
        <v>61998</v>
      </c>
    </row>
    <row r="18" spans="1:5">
      <c r="A18" s="531" t="s">
        <v>354</v>
      </c>
      <c r="B18" s="530">
        <f t="shared" ref="B18:B20" si="1">$B$6</f>
        <v>61998</v>
      </c>
      <c r="C18" s="529">
        <v>0</v>
      </c>
      <c r="D18" s="529">
        <v>0</v>
      </c>
      <c r="E18" s="528">
        <f t="shared" si="0"/>
        <v>61998</v>
      </c>
    </row>
    <row r="19" spans="1:5">
      <c r="A19" s="531" t="s">
        <v>355</v>
      </c>
      <c r="B19" s="530">
        <f t="shared" si="1"/>
        <v>61998</v>
      </c>
      <c r="C19" s="529">
        <v>0</v>
      </c>
      <c r="D19" s="529">
        <v>0</v>
      </c>
      <c r="E19" s="528">
        <f t="shared" si="0"/>
        <v>61998</v>
      </c>
    </row>
    <row r="20" spans="1:5">
      <c r="A20" s="531" t="s">
        <v>356</v>
      </c>
      <c r="B20" s="530">
        <f t="shared" si="1"/>
        <v>61998</v>
      </c>
      <c r="C20" s="529">
        <v>0</v>
      </c>
      <c r="D20" s="529">
        <v>0</v>
      </c>
      <c r="E20" s="528">
        <f t="shared" si="0"/>
        <v>61998</v>
      </c>
    </row>
    <row r="21" spans="1:5">
      <c r="A21" s="531" t="s">
        <v>357</v>
      </c>
      <c r="B21" s="530">
        <f>B10-B16</f>
        <v>36166</v>
      </c>
      <c r="C21" s="529">
        <v>0</v>
      </c>
      <c r="D21" s="529">
        <v>0</v>
      </c>
      <c r="E21" s="528">
        <f t="shared" si="0"/>
        <v>36166</v>
      </c>
    </row>
    <row r="22" spans="1:5">
      <c r="A22" s="527" t="s">
        <v>74</v>
      </c>
      <c r="B22" s="530">
        <f>SUM(B16:B21)</f>
        <v>309990</v>
      </c>
      <c r="C22" s="530">
        <f t="shared" ref="C22:E22" si="2">SUM(C16:C21)</f>
        <v>0</v>
      </c>
      <c r="D22" s="530">
        <f t="shared" si="2"/>
        <v>0</v>
      </c>
      <c r="E22" s="530">
        <f t="shared" si="2"/>
        <v>309990</v>
      </c>
    </row>
    <row r="23" spans="1:5">
      <c r="A23" s="527" t="s">
        <v>326</v>
      </c>
      <c r="B23" s="556">
        <v>5</v>
      </c>
      <c r="C23" s="556"/>
      <c r="D23" s="556"/>
      <c r="E23" s="557"/>
    </row>
    <row r="24" spans="1:5" ht="31" thickBot="1">
      <c r="A24" s="526" t="s">
        <v>325</v>
      </c>
      <c r="B24" s="525">
        <f>B22/$B$23</f>
        <v>61998</v>
      </c>
      <c r="C24" s="525">
        <f t="shared" ref="C24:E24" si="3">C22/$B$23</f>
        <v>0</v>
      </c>
      <c r="D24" s="525">
        <f t="shared" si="3"/>
        <v>0</v>
      </c>
      <c r="E24" s="525">
        <f t="shared" si="3"/>
        <v>61998</v>
      </c>
    </row>
  </sheetData>
  <mergeCells count="4">
    <mergeCell ref="A1:E1"/>
    <mergeCell ref="A14:A15"/>
    <mergeCell ref="B23:E23"/>
    <mergeCell ref="A13:E13"/>
  </mergeCells>
  <phoneticPr fontId="9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E67D-F5C9-CD4D-9BE5-30F4CF43765F}">
  <dimension ref="A1:BK28"/>
  <sheetViews>
    <sheetView workbookViewId="0">
      <selection activeCell="M25" sqref="M25"/>
    </sheetView>
  </sheetViews>
  <sheetFormatPr baseColWidth="10" defaultColWidth="11.5" defaultRowHeight="13"/>
  <cols>
    <col min="1" max="1" width="29.1640625" style="5" customWidth="1"/>
    <col min="2" max="2" width="15.83203125" style="5" bestFit="1" customWidth="1"/>
    <col min="3" max="3" width="13.83203125" style="5" customWidth="1"/>
    <col min="4" max="4" width="18.5" style="5" customWidth="1"/>
    <col min="5" max="5" width="11.5" style="5"/>
    <col min="6" max="6" width="15.83203125" style="5" bestFit="1" customWidth="1"/>
    <col min="7" max="7" width="12.6640625" style="5" bestFit="1" customWidth="1"/>
    <col min="8" max="10" width="11.5" style="5"/>
    <col min="11" max="12" width="0" style="5" hidden="1" customWidth="1"/>
    <col min="13" max="16384" width="11.5" style="5"/>
  </cols>
  <sheetData>
    <row r="1" spans="1:63" s="148" customFormat="1" ht="20" thickBot="1">
      <c r="A1" s="400" t="s">
        <v>322</v>
      </c>
      <c r="I1" s="149"/>
    </row>
    <row r="2" spans="1:63" ht="14" thickTop="1">
      <c r="I2" s="60"/>
    </row>
    <row r="3" spans="1:63" ht="15" customHeight="1">
      <c r="I3" s="60"/>
    </row>
    <row r="4" spans="1:63" s="150" customFormat="1" ht="18" thickBot="1">
      <c r="A4" s="150" t="s">
        <v>62</v>
      </c>
      <c r="I4" s="151"/>
    </row>
    <row r="5" spans="1:63" ht="14" thickTop="1">
      <c r="I5" s="60"/>
    </row>
    <row r="6" spans="1:63">
      <c r="I6" s="60"/>
      <c r="K6" s="558" t="s">
        <v>170</v>
      </c>
      <c r="L6" s="558"/>
    </row>
    <row r="7" spans="1:63" ht="15.75" customHeight="1" thickBot="1">
      <c r="A7" s="152"/>
      <c r="B7" s="152" t="s">
        <v>11</v>
      </c>
      <c r="C7" s="152"/>
      <c r="D7" s="152" t="s">
        <v>12</v>
      </c>
      <c r="E7" s="152"/>
      <c r="F7" s="152" t="s">
        <v>14</v>
      </c>
      <c r="G7" s="152"/>
      <c r="I7" s="60"/>
      <c r="K7" s="558"/>
      <c r="L7" s="558"/>
    </row>
    <row r="8" spans="1:63" ht="17" thickBot="1">
      <c r="A8" s="153">
        <v>2020</v>
      </c>
      <c r="B8" s="154">
        <f>SUM('WAPDA OM 2020 (2018-19)'!K3:K6)</f>
        <v>37252338.898981117</v>
      </c>
      <c r="C8" s="155" t="s">
        <v>9</v>
      </c>
      <c r="D8" s="154">
        <f>'WAPDA OM 2020 (2018-19)'!F11*1000</f>
        <v>78770859.999999985</v>
      </c>
      <c r="E8" s="155" t="s">
        <v>13</v>
      </c>
      <c r="F8" s="156">
        <f>B8/D8</f>
        <v>0.47292030198706886</v>
      </c>
      <c r="G8" s="155" t="s">
        <v>10</v>
      </c>
      <c r="I8" s="60"/>
      <c r="K8" s="157" t="s">
        <v>220</v>
      </c>
      <c r="L8" s="370" t="e">
        <f>#REF!</f>
        <v>#REF!</v>
      </c>
    </row>
    <row r="9" spans="1:63" ht="14" thickTop="1">
      <c r="I9" s="60"/>
      <c r="K9" s="157" t="s">
        <v>248</v>
      </c>
      <c r="L9" s="370" t="e">
        <f>#REF!</f>
        <v>#REF!</v>
      </c>
    </row>
    <row r="10" spans="1:63" ht="17" thickBot="1">
      <c r="A10" s="152" t="s">
        <v>62</v>
      </c>
      <c r="B10" s="152"/>
      <c r="C10" s="158">
        <f>F8</f>
        <v>0.47292030198706886</v>
      </c>
      <c r="D10" s="159" t="s">
        <v>10</v>
      </c>
      <c r="I10" s="60"/>
      <c r="K10" s="160" t="s">
        <v>247</v>
      </c>
      <c r="L10" s="370" t="e">
        <f>AVERAGE(L8:L9)</f>
        <v>#REF!</v>
      </c>
    </row>
    <row r="11" spans="1:63" ht="15" customHeight="1" thickBot="1">
      <c r="A11" s="68"/>
      <c r="B11" s="68"/>
      <c r="C11" s="68"/>
      <c r="D11" s="68"/>
      <c r="E11" s="68"/>
      <c r="F11" s="68"/>
      <c r="G11" s="68"/>
      <c r="H11" s="68"/>
      <c r="I11" s="69"/>
    </row>
    <row r="12" spans="1:63" s="150" customFormat="1" ht="19" thickTop="1" thickBot="1">
      <c r="A12" s="5"/>
      <c r="B12" s="5"/>
      <c r="C12" s="5"/>
      <c r="D12" s="5"/>
      <c r="E12" s="5"/>
      <c r="F12" s="5"/>
      <c r="G12" s="5"/>
      <c r="H12" s="5"/>
      <c r="I12" s="6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</row>
    <row r="13" spans="1:63" s="150" customFormat="1" ht="19" thickTop="1" thickBot="1">
      <c r="A13" s="150" t="s">
        <v>142</v>
      </c>
      <c r="I13" s="151"/>
    </row>
    <row r="14" spans="1:63" ht="14" thickTop="1">
      <c r="I14" s="60"/>
    </row>
    <row r="15" spans="1:63" ht="15" thickBot="1">
      <c r="A15" s="152"/>
      <c r="B15" s="152" t="s">
        <v>11</v>
      </c>
      <c r="C15" s="152"/>
      <c r="D15" s="152" t="s">
        <v>12</v>
      </c>
      <c r="E15" s="152"/>
      <c r="F15" s="152" t="s">
        <v>143</v>
      </c>
      <c r="G15" s="152"/>
      <c r="I15" s="60"/>
    </row>
    <row r="16" spans="1:63" ht="17" thickBot="1">
      <c r="A16" s="153">
        <v>2020</v>
      </c>
      <c r="B16" s="154">
        <f>SUM('WAPDA BM 2020 (2018-19)'!O28:O31)</f>
        <v>9728610.3314782605</v>
      </c>
      <c r="C16" s="155" t="s">
        <v>9</v>
      </c>
      <c r="D16" s="154">
        <f>'WAPDA BM 2020 (2018-19)'!O25</f>
        <v>25259672.669102434</v>
      </c>
      <c r="E16" s="155" t="s">
        <v>13</v>
      </c>
      <c r="F16" s="156">
        <f>B16/D16</f>
        <v>0.38514395886761715</v>
      </c>
      <c r="G16" s="155" t="s">
        <v>10</v>
      </c>
      <c r="I16" s="60"/>
    </row>
    <row r="17" spans="1:63" ht="14" thickTop="1">
      <c r="I17" s="60"/>
    </row>
    <row r="18" spans="1:63" ht="17" thickBot="1">
      <c r="A18" s="152" t="s">
        <v>142</v>
      </c>
      <c r="B18" s="152"/>
      <c r="C18" s="158">
        <f>F16</f>
        <v>0.38514395886761715</v>
      </c>
      <c r="D18" s="159" t="s">
        <v>10</v>
      </c>
      <c r="I18" s="60"/>
    </row>
    <row r="19" spans="1:63">
      <c r="I19" s="60"/>
    </row>
    <row r="20" spans="1:63">
      <c r="I20" s="60"/>
    </row>
    <row r="21" spans="1:63" s="150" customFormat="1" ht="18" thickBot="1">
      <c r="A21" s="153" t="s">
        <v>144</v>
      </c>
      <c r="B21" s="5"/>
      <c r="C21" s="161">
        <v>0.75</v>
      </c>
      <c r="D21" s="5"/>
      <c r="E21" s="5"/>
      <c r="F21" s="5"/>
      <c r="G21" s="5"/>
      <c r="H21" s="5"/>
      <c r="I21" s="6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2" spans="1:63" ht="18" thickTop="1" thickBot="1">
      <c r="A22" s="162" t="s">
        <v>145</v>
      </c>
      <c r="B22" s="68"/>
      <c r="C22" s="163">
        <v>0.25</v>
      </c>
      <c r="D22" s="68"/>
      <c r="E22" s="68"/>
      <c r="F22" s="68"/>
      <c r="G22" s="68"/>
      <c r="H22" s="68"/>
      <c r="I22" s="69"/>
    </row>
    <row r="23" spans="1:63" ht="15" thickTop="1" thickBot="1">
      <c r="I23" s="60"/>
    </row>
    <row r="24" spans="1:63" ht="15" thickTop="1" thickBot="1">
      <c r="A24" s="164"/>
      <c r="B24" s="165"/>
      <c r="C24" s="165"/>
      <c r="D24" s="166"/>
      <c r="I24" s="60"/>
    </row>
    <row r="25" spans="1:63" ht="36" thickTop="1" thickBot="1">
      <c r="A25" s="401" t="s">
        <v>323</v>
      </c>
      <c r="B25" s="167"/>
      <c r="C25" s="168">
        <f>ROUNDDOWN(C10*C21+C18*C22,4)</f>
        <v>0.45090000000000002</v>
      </c>
      <c r="D25" s="169" t="s">
        <v>10</v>
      </c>
      <c r="I25" s="60"/>
    </row>
    <row r="26" spans="1:63" ht="14" thickBot="1">
      <c r="A26" s="170"/>
      <c r="B26" s="171"/>
      <c r="C26" s="171"/>
      <c r="D26" s="172"/>
      <c r="I26" s="60"/>
    </row>
    <row r="27" spans="1:63" ht="15" thickTop="1" thickBot="1">
      <c r="A27" s="68"/>
      <c r="B27" s="68"/>
      <c r="C27" s="68"/>
      <c r="D27" s="68"/>
      <c r="E27" s="68"/>
      <c r="F27" s="68"/>
      <c r="G27" s="68"/>
      <c r="H27" s="68"/>
      <c r="I27" s="69"/>
    </row>
    <row r="28" spans="1:63" ht="14" thickTop="1"/>
  </sheetData>
  <mergeCells count="1">
    <mergeCell ref="K6:L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N68"/>
  <sheetViews>
    <sheetView topLeftCell="B1" zoomScale="85" zoomScaleNormal="85" zoomScalePageLayoutView="85" workbookViewId="0">
      <selection activeCell="J21" sqref="J21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56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91616</v>
      </c>
      <c r="G3" s="176" t="s">
        <v>1</v>
      </c>
      <c r="I3" s="178" t="s">
        <v>233</v>
      </c>
      <c r="J3" s="179"/>
      <c r="K3" s="180">
        <f>F32*F17</f>
        <v>22580685.456150547</v>
      </c>
      <c r="L3" s="181" t="s">
        <v>9</v>
      </c>
    </row>
    <row r="4" spans="1:12" ht="17" thickBot="1">
      <c r="A4" s="176" t="s">
        <v>53</v>
      </c>
      <c r="B4" s="176"/>
      <c r="F4" s="182">
        <f>SUM(I44:I61)</f>
        <v>9399.4000000000015</v>
      </c>
      <c r="G4" s="176" t="s">
        <v>1</v>
      </c>
      <c r="I4" s="183" t="s">
        <v>15</v>
      </c>
      <c r="J4" s="12"/>
      <c r="K4" s="184">
        <f>F33*F18</f>
        <v>558182.00723999995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82216.600000000006</v>
      </c>
      <c r="G5" s="176" t="s">
        <v>1</v>
      </c>
      <c r="I5" s="183" t="s">
        <v>8</v>
      </c>
      <c r="J5" s="12"/>
      <c r="K5" s="186">
        <f>F34*F19</f>
        <v>15394376.7029259</v>
      </c>
      <c r="L5" s="185" t="s">
        <v>9</v>
      </c>
    </row>
    <row r="6" spans="1:12" ht="16">
      <c r="A6" s="176" t="s">
        <v>63</v>
      </c>
      <c r="B6" s="176"/>
      <c r="F6" s="177">
        <v>27784</v>
      </c>
      <c r="G6" s="176" t="s">
        <v>1</v>
      </c>
      <c r="I6" s="183" t="s">
        <v>54</v>
      </c>
      <c r="J6" s="12"/>
      <c r="K6" s="187">
        <f>F35*F20</f>
        <v>194248.80306000001</v>
      </c>
      <c r="L6" s="185" t="s">
        <v>9</v>
      </c>
    </row>
    <row r="7" spans="1:12" ht="16">
      <c r="A7" s="176" t="s">
        <v>64</v>
      </c>
      <c r="B7" s="176"/>
      <c r="F7" s="177">
        <v>1618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190">
        <f>SUM(F6:F7)/F5</f>
        <v>0.35761634511765261</v>
      </c>
      <c r="G8" s="176"/>
      <c r="I8" s="191" t="s">
        <v>18</v>
      </c>
      <c r="J8" s="192"/>
      <c r="K8" s="193">
        <f>SUM(K3:K6)/F11/1000</f>
        <v>0.75058837629794395</v>
      </c>
      <c r="L8" s="194" t="s">
        <v>10</v>
      </c>
    </row>
    <row r="9" spans="1:12" ht="16">
      <c r="A9" s="176" t="s">
        <v>171</v>
      </c>
      <c r="B9" s="176"/>
      <c r="F9" s="195">
        <v>1.4</v>
      </c>
      <c r="G9" s="176" t="s">
        <v>1</v>
      </c>
      <c r="H9" s="176" t="s">
        <v>175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v>1217.02</v>
      </c>
      <c r="G10" s="176" t="s">
        <v>1</v>
      </c>
      <c r="H10" s="176" t="s">
        <v>175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51596.180000000008</v>
      </c>
      <c r="G11" s="176" t="s">
        <v>1</v>
      </c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246</v>
      </c>
      <c r="I15" s="176"/>
      <c r="J15" s="176"/>
    </row>
    <row r="16" spans="1:12" ht="16">
      <c r="A16" s="176"/>
      <c r="B16" s="176"/>
      <c r="G16" s="202"/>
    </row>
    <row r="17" spans="1:8" ht="16">
      <c r="A17" s="176" t="s">
        <v>231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7210211</v>
      </c>
      <c r="G22" s="202" t="s">
        <v>47</v>
      </c>
      <c r="H22" s="176" t="s">
        <v>48</v>
      </c>
    </row>
    <row r="23" spans="1:8" ht="16">
      <c r="A23" s="176" t="s">
        <v>57</v>
      </c>
      <c r="F23" s="203">
        <v>173947</v>
      </c>
      <c r="G23" s="202" t="s">
        <v>47</v>
      </c>
      <c r="H23" s="176" t="s">
        <v>48</v>
      </c>
    </row>
    <row r="24" spans="1:8" ht="16">
      <c r="A24" s="204" t="s">
        <v>46</v>
      </c>
      <c r="F24" s="203">
        <v>7830065</v>
      </c>
      <c r="G24" s="202" t="s">
        <v>47</v>
      </c>
      <c r="H24" s="176" t="s">
        <v>48</v>
      </c>
    </row>
    <row r="25" spans="1:8" ht="16">
      <c r="A25" s="176" t="s">
        <v>45</v>
      </c>
      <c r="F25" s="203">
        <v>50341</v>
      </c>
      <c r="G25" s="202" t="s">
        <v>47</v>
      </c>
      <c r="H25" s="176" t="s">
        <v>48</v>
      </c>
    </row>
    <row r="26" spans="1:8" ht="15" customHeight="1"/>
    <row r="27" spans="1:8" ht="16">
      <c r="A27" s="176" t="s">
        <v>235</v>
      </c>
      <c r="F27" s="205">
        <f>F22*$F$15</f>
        <v>318691.32620000001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7688.4574000000002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346088.87300000002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2225.0722000000001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F27-L64</f>
        <v>299081.92657153041</v>
      </c>
      <c r="G32" s="202" t="s">
        <v>16</v>
      </c>
      <c r="H32" s="176" t="s">
        <v>51</v>
      </c>
    </row>
    <row r="33" spans="1:14" ht="16">
      <c r="A33" s="204" t="s">
        <v>59</v>
      </c>
      <c r="F33" s="205">
        <f>F28</f>
        <v>7688.4574000000002</v>
      </c>
      <c r="G33" s="202" t="s">
        <v>16</v>
      </c>
      <c r="H33" s="176" t="s">
        <v>51</v>
      </c>
    </row>
    <row r="34" spans="1:14" ht="16">
      <c r="A34" s="204" t="s">
        <v>50</v>
      </c>
      <c r="F34" s="205">
        <f>F29-L65</f>
        <v>283506.01662846963</v>
      </c>
      <c r="G34" s="202" t="s">
        <v>16</v>
      </c>
      <c r="H34" s="176" t="s">
        <v>51</v>
      </c>
    </row>
    <row r="35" spans="1:14" ht="16">
      <c r="A35" s="204" t="s">
        <v>49</v>
      </c>
      <c r="F35" s="205">
        <f>F30</f>
        <v>2225.0722000000001</v>
      </c>
      <c r="G35" s="202" t="s">
        <v>16</v>
      </c>
      <c r="H35" s="176" t="s">
        <v>51</v>
      </c>
    </row>
    <row r="36" spans="1:14" ht="14" thickBot="1"/>
    <row r="37" spans="1:14" ht="14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</row>
    <row r="38" spans="1:14" ht="18">
      <c r="B38" s="209"/>
      <c r="C38" s="559" t="s">
        <v>61</v>
      </c>
      <c r="D38" s="560"/>
      <c r="E38" s="560"/>
      <c r="F38" s="560"/>
      <c r="G38" s="560"/>
      <c r="H38" s="560"/>
      <c r="I38" s="560"/>
      <c r="J38" s="560"/>
      <c r="K38" s="560"/>
      <c r="L38" s="561"/>
      <c r="M38" s="210"/>
    </row>
    <row r="39" spans="1:14" ht="28" customHeight="1">
      <c r="B39" s="209"/>
      <c r="C39" s="562" t="s">
        <v>20</v>
      </c>
      <c r="D39" s="563"/>
      <c r="E39" s="568" t="s">
        <v>21</v>
      </c>
      <c r="F39" s="568" t="s">
        <v>22</v>
      </c>
      <c r="G39" s="571" t="s">
        <v>221</v>
      </c>
      <c r="H39" s="572"/>
      <c r="I39" s="562" t="s">
        <v>23</v>
      </c>
      <c r="J39" s="563"/>
      <c r="K39" s="573" t="s">
        <v>24</v>
      </c>
      <c r="L39" s="211" t="s">
        <v>25</v>
      </c>
      <c r="M39" s="210"/>
    </row>
    <row r="40" spans="1:14" ht="18">
      <c r="B40" s="209"/>
      <c r="C40" s="564"/>
      <c r="D40" s="565"/>
      <c r="E40" s="569"/>
      <c r="F40" s="569"/>
      <c r="G40" s="212"/>
      <c r="H40" s="213"/>
      <c r="I40" s="214" t="s">
        <v>222</v>
      </c>
      <c r="J40" s="214" t="s">
        <v>26</v>
      </c>
      <c r="K40" s="574"/>
      <c r="L40" s="215"/>
      <c r="M40" s="210"/>
    </row>
    <row r="41" spans="1:14" ht="14" customHeight="1">
      <c r="B41" s="209"/>
      <c r="C41" s="564"/>
      <c r="D41" s="565"/>
      <c r="E41" s="569"/>
      <c r="F41" s="569"/>
      <c r="G41" s="576" t="s">
        <v>27</v>
      </c>
      <c r="H41" s="578" t="s">
        <v>1</v>
      </c>
      <c r="I41" s="580" t="s">
        <v>1</v>
      </c>
      <c r="J41" s="578" t="s">
        <v>1</v>
      </c>
      <c r="K41" s="574"/>
      <c r="L41" s="582" t="s">
        <v>16</v>
      </c>
      <c r="M41" s="210"/>
    </row>
    <row r="42" spans="1:14" ht="14" customHeight="1">
      <c r="B42" s="209"/>
      <c r="C42" s="566"/>
      <c r="D42" s="567"/>
      <c r="E42" s="570"/>
      <c r="F42" s="570"/>
      <c r="G42" s="577"/>
      <c r="H42" s="579"/>
      <c r="I42" s="581"/>
      <c r="J42" s="579"/>
      <c r="K42" s="575"/>
      <c r="L42" s="583"/>
      <c r="M42" s="210"/>
    </row>
    <row r="43" spans="1:14" ht="15">
      <c r="B43" s="209"/>
      <c r="C43" s="216" t="s">
        <v>28</v>
      </c>
      <c r="D43" s="217"/>
      <c r="E43" s="218"/>
      <c r="F43" s="219"/>
      <c r="G43" s="220"/>
      <c r="H43" s="221"/>
      <c r="I43" s="222"/>
      <c r="J43" s="222"/>
      <c r="K43" s="223"/>
      <c r="L43" s="224"/>
      <c r="M43" s="210"/>
    </row>
    <row r="44" spans="1:14" ht="16">
      <c r="B44" s="209"/>
      <c r="C44" s="589" t="s">
        <v>29</v>
      </c>
      <c r="D44" s="590"/>
      <c r="E44" s="225" t="s">
        <v>229</v>
      </c>
      <c r="F44" s="226" t="s">
        <v>34</v>
      </c>
      <c r="G44" s="588">
        <v>84.2</v>
      </c>
      <c r="H44" s="227">
        <f>I44/(I44+I45)*G44</f>
        <v>0.6302668691690172</v>
      </c>
      <c r="I44" s="228">
        <v>6.9</v>
      </c>
      <c r="J44" s="227">
        <f>I44-H44</f>
        <v>6.2697331308309829</v>
      </c>
      <c r="K44" s="229">
        <v>0.375</v>
      </c>
      <c r="L44" s="230">
        <f>J44/K44*3600/1000</f>
        <v>60.189438055977433</v>
      </c>
      <c r="M44" s="210"/>
      <c r="N44" s="231"/>
    </row>
    <row r="45" spans="1:14" ht="16">
      <c r="B45" s="209"/>
      <c r="C45" s="591"/>
      <c r="D45" s="592"/>
      <c r="E45" s="232" t="s">
        <v>0</v>
      </c>
      <c r="F45" s="233" t="s">
        <v>34</v>
      </c>
      <c r="G45" s="588"/>
      <c r="H45" s="227">
        <f>I45/(I45+I44)*G44</f>
        <v>83.569733130830983</v>
      </c>
      <c r="I45" s="228">
        <v>914.9</v>
      </c>
      <c r="J45" s="227">
        <f>I45-H45</f>
        <v>831.33026686916901</v>
      </c>
      <c r="K45" s="229">
        <v>0.375</v>
      </c>
      <c r="L45" s="230">
        <f>J45/K45*3600/1000</f>
        <v>7980.770561944023</v>
      </c>
      <c r="M45" s="210"/>
      <c r="N45" s="231"/>
    </row>
    <row r="46" spans="1:14" ht="16">
      <c r="B46" s="209"/>
      <c r="C46" s="234"/>
      <c r="D46" s="234"/>
      <c r="E46" s="235"/>
      <c r="F46" s="236"/>
      <c r="G46" s="237"/>
      <c r="H46" s="238"/>
      <c r="I46" s="239"/>
      <c r="J46" s="239"/>
      <c r="K46" s="240"/>
      <c r="L46" s="239"/>
      <c r="M46" s="210"/>
      <c r="N46" s="231"/>
    </row>
    <row r="47" spans="1:14" ht="15" customHeight="1">
      <c r="B47" s="209"/>
      <c r="C47" s="584" t="s">
        <v>31</v>
      </c>
      <c r="D47" s="585"/>
      <c r="E47" s="225" t="s">
        <v>229</v>
      </c>
      <c r="F47" s="226" t="s">
        <v>30</v>
      </c>
      <c r="G47" s="588">
        <v>14.85</v>
      </c>
      <c r="H47" s="227">
        <f>I47/(I47+I48)*G47</f>
        <v>0</v>
      </c>
      <c r="I47" s="228">
        <v>0</v>
      </c>
      <c r="J47" s="227">
        <f>I47-H47</f>
        <v>0</v>
      </c>
      <c r="K47" s="229">
        <v>0.3</v>
      </c>
      <c r="L47" s="230">
        <f>J47/K47*3600/1000</f>
        <v>0</v>
      </c>
      <c r="M47" s="210"/>
      <c r="N47" s="231"/>
    </row>
    <row r="48" spans="1:14" ht="16">
      <c r="B48" s="209"/>
      <c r="C48" s="586"/>
      <c r="D48" s="587"/>
      <c r="E48" s="232" t="s">
        <v>0</v>
      </c>
      <c r="F48" s="233" t="s">
        <v>30</v>
      </c>
      <c r="G48" s="588"/>
      <c r="H48" s="227">
        <f>I48/(I48+I47)*G47</f>
        <v>14.85</v>
      </c>
      <c r="I48" s="228">
        <v>310.10000000000002</v>
      </c>
      <c r="J48" s="227">
        <f>I48-H48</f>
        <v>295.25</v>
      </c>
      <c r="K48" s="229">
        <v>0.3</v>
      </c>
      <c r="L48" s="230">
        <f>J48/K48*3600/1000</f>
        <v>3543.0000000000005</v>
      </c>
      <c r="M48" s="210"/>
      <c r="N48" s="231"/>
    </row>
    <row r="49" spans="2:14" ht="16">
      <c r="B49" s="209"/>
      <c r="C49" s="241"/>
      <c r="D49" s="234"/>
      <c r="E49" s="235"/>
      <c r="F49" s="236"/>
      <c r="G49" s="237"/>
      <c r="H49" s="242"/>
      <c r="I49" s="243"/>
      <c r="J49" s="243"/>
      <c r="K49" s="240"/>
      <c r="L49" s="244"/>
      <c r="M49" s="210"/>
      <c r="N49" s="231"/>
    </row>
    <row r="50" spans="2:14" ht="18">
      <c r="B50" s="209"/>
      <c r="C50" s="589" t="s">
        <v>32</v>
      </c>
      <c r="D50" s="245"/>
      <c r="E50" s="225" t="s">
        <v>229</v>
      </c>
      <c r="F50" s="226" t="s">
        <v>30</v>
      </c>
      <c r="G50" s="588">
        <v>12.5</v>
      </c>
      <c r="H50" s="227">
        <f>I50/(I50+I51)*G50</f>
        <v>0</v>
      </c>
      <c r="I50" s="228">
        <v>0</v>
      </c>
      <c r="J50" s="227">
        <f>I50-H50</f>
        <v>0</v>
      </c>
      <c r="K50" s="229">
        <v>0.3</v>
      </c>
      <c r="L50" s="230">
        <f>J50/K50*3600/1000</f>
        <v>0</v>
      </c>
      <c r="M50" s="210"/>
      <c r="N50" s="231"/>
    </row>
    <row r="51" spans="2:14" ht="18">
      <c r="B51" s="209"/>
      <c r="C51" s="591"/>
      <c r="D51" s="246"/>
      <c r="E51" s="232" t="s">
        <v>0</v>
      </c>
      <c r="F51" s="233" t="s">
        <v>30</v>
      </c>
      <c r="G51" s="588"/>
      <c r="H51" s="227">
        <f>I51/(I51+I50)*G50</f>
        <v>12.5</v>
      </c>
      <c r="I51" s="228">
        <v>303.39999999999998</v>
      </c>
      <c r="J51" s="227">
        <f>I51-H51</f>
        <v>290.89999999999998</v>
      </c>
      <c r="K51" s="229">
        <v>0.3</v>
      </c>
      <c r="L51" s="230">
        <f>J51/K51*3600/1000</f>
        <v>3490.8</v>
      </c>
      <c r="M51" s="210"/>
      <c r="N51" s="231"/>
    </row>
    <row r="52" spans="2:14" ht="16">
      <c r="B52" s="209"/>
      <c r="C52" s="234"/>
      <c r="D52" s="234"/>
      <c r="E52" s="235"/>
      <c r="F52" s="236"/>
      <c r="G52" s="237"/>
      <c r="H52" s="238"/>
      <c r="I52" s="239"/>
      <c r="J52" s="239"/>
      <c r="K52" s="240"/>
      <c r="L52" s="239"/>
      <c r="M52" s="210"/>
      <c r="N52" s="231"/>
    </row>
    <row r="53" spans="2:14" ht="15" customHeight="1">
      <c r="B53" s="209"/>
      <c r="C53" s="584" t="s">
        <v>33</v>
      </c>
      <c r="D53" s="585"/>
      <c r="E53" s="225" t="s">
        <v>229</v>
      </c>
      <c r="F53" s="226" t="s">
        <v>34</v>
      </c>
      <c r="G53" s="588">
        <v>488.39</v>
      </c>
      <c r="H53" s="227">
        <f>I53/(I53+I54)*G53</f>
        <v>91.5072718319107</v>
      </c>
      <c r="I53" s="228">
        <v>1198.5</v>
      </c>
      <c r="J53" s="227">
        <f>I53-H53</f>
        <v>1106.9927281680893</v>
      </c>
      <c r="K53" s="229">
        <v>0.375</v>
      </c>
      <c r="L53" s="230">
        <f>J53/K53*3600/1000</f>
        <v>10627.130190413658</v>
      </c>
      <c r="M53" s="210"/>
      <c r="N53" s="231"/>
    </row>
    <row r="54" spans="2:14" ht="16">
      <c r="B54" s="209"/>
      <c r="C54" s="586"/>
      <c r="D54" s="587"/>
      <c r="E54" s="232" t="s">
        <v>0</v>
      </c>
      <c r="F54" s="233" t="s">
        <v>34</v>
      </c>
      <c r="G54" s="588"/>
      <c r="H54" s="227">
        <f>I54/(I54+I53)*G53</f>
        <v>396.88272816808927</v>
      </c>
      <c r="I54" s="228">
        <v>5198.1000000000004</v>
      </c>
      <c r="J54" s="227">
        <f>I54-H54</f>
        <v>4801.2172718319107</v>
      </c>
      <c r="K54" s="229">
        <v>0.375</v>
      </c>
      <c r="L54" s="230">
        <f>J54/K54*3600/1000</f>
        <v>46091.685809586343</v>
      </c>
      <c r="M54" s="210"/>
      <c r="N54" s="231"/>
    </row>
    <row r="55" spans="2:14" ht="16">
      <c r="B55" s="209"/>
      <c r="C55" s="247"/>
      <c r="D55" s="248"/>
      <c r="E55" s="249"/>
      <c r="F55" s="249"/>
      <c r="G55" s="250"/>
      <c r="H55" s="251"/>
      <c r="I55" s="252"/>
      <c r="J55" s="251"/>
      <c r="K55" s="253"/>
      <c r="L55" s="254"/>
      <c r="M55" s="210"/>
      <c r="N55" s="231"/>
    </row>
    <row r="56" spans="2:14" ht="16">
      <c r="B56" s="209"/>
      <c r="C56" s="584" t="s">
        <v>35</v>
      </c>
      <c r="D56" s="585"/>
      <c r="E56" s="225" t="s">
        <v>229</v>
      </c>
      <c r="F56" s="226" t="s">
        <v>30</v>
      </c>
      <c r="G56" s="588">
        <v>84.2</v>
      </c>
      <c r="H56" s="227">
        <f>I56/(I56+I57)*G56</f>
        <v>0</v>
      </c>
      <c r="I56" s="228">
        <v>0</v>
      </c>
      <c r="J56" s="227">
        <f>I56-H56</f>
        <v>0</v>
      </c>
      <c r="K56" s="229">
        <v>0.6</v>
      </c>
      <c r="L56" s="230">
        <f>J56/K56*3600/1000</f>
        <v>0</v>
      </c>
      <c r="M56" s="210"/>
      <c r="N56" s="231"/>
    </row>
    <row r="57" spans="2:14" ht="16">
      <c r="B57" s="209"/>
      <c r="C57" s="586"/>
      <c r="D57" s="587"/>
      <c r="E57" s="232" t="s">
        <v>0</v>
      </c>
      <c r="F57" s="233" t="s">
        <v>30</v>
      </c>
      <c r="G57" s="588"/>
      <c r="H57" s="227">
        <f>I57/(I57+I56)*G56</f>
        <v>84.2</v>
      </c>
      <c r="I57" s="228">
        <v>330.3</v>
      </c>
      <c r="J57" s="227">
        <f>I57-H57</f>
        <v>246.10000000000002</v>
      </c>
      <c r="K57" s="229">
        <v>0.6</v>
      </c>
      <c r="L57" s="230">
        <f>J57/K57*3600/1000</f>
        <v>1476.6000000000001</v>
      </c>
      <c r="M57" s="210"/>
      <c r="N57" s="231"/>
    </row>
    <row r="58" spans="2:14" ht="16">
      <c r="B58" s="209"/>
      <c r="C58" s="255" t="s">
        <v>36</v>
      </c>
      <c r="D58" s="234"/>
      <c r="E58" s="235"/>
      <c r="F58" s="236"/>
      <c r="G58" s="237"/>
      <c r="H58" s="242"/>
      <c r="I58" s="243"/>
      <c r="J58" s="243"/>
      <c r="K58" s="240"/>
      <c r="L58" s="244"/>
      <c r="M58" s="210"/>
      <c r="N58" s="231"/>
    </row>
    <row r="59" spans="2:14" ht="16">
      <c r="B59" s="209"/>
      <c r="C59" s="256" t="s">
        <v>37</v>
      </c>
      <c r="D59" s="257"/>
      <c r="E59" s="258" t="s">
        <v>229</v>
      </c>
      <c r="F59" s="259" t="s">
        <v>38</v>
      </c>
      <c r="G59" s="260"/>
      <c r="H59" s="228">
        <v>14.23</v>
      </c>
      <c r="I59" s="228">
        <v>474</v>
      </c>
      <c r="J59" s="227">
        <f>I59-H59</f>
        <v>459.77</v>
      </c>
      <c r="K59" s="229">
        <v>0.45</v>
      </c>
      <c r="L59" s="230">
        <f>J59/K59*3600/1000</f>
        <v>3678.1599999999994</v>
      </c>
      <c r="M59" s="210"/>
      <c r="N59" s="231"/>
    </row>
    <row r="60" spans="2:14" ht="16">
      <c r="B60" s="209"/>
      <c r="C60" s="261"/>
      <c r="D60" s="262"/>
      <c r="E60" s="235"/>
      <c r="F60" s="236"/>
      <c r="G60" s="237"/>
      <c r="H60" s="242"/>
      <c r="I60" s="243"/>
      <c r="J60" s="243"/>
      <c r="K60" s="263"/>
      <c r="L60" s="244"/>
      <c r="M60" s="210"/>
      <c r="N60" s="231"/>
    </row>
    <row r="61" spans="2:14" ht="16">
      <c r="B61" s="209"/>
      <c r="C61" s="264" t="s">
        <v>39</v>
      </c>
      <c r="D61" s="257"/>
      <c r="E61" s="258" t="s">
        <v>229</v>
      </c>
      <c r="F61" s="259" t="s">
        <v>38</v>
      </c>
      <c r="G61" s="260"/>
      <c r="H61" s="228">
        <v>7.71</v>
      </c>
      <c r="I61" s="228">
        <v>663.2</v>
      </c>
      <c r="J61" s="227">
        <f>I61-H61</f>
        <v>655.49</v>
      </c>
      <c r="K61" s="229">
        <v>0.45</v>
      </c>
      <c r="L61" s="230">
        <f>J61/K61*3600/1000</f>
        <v>5243.92</v>
      </c>
      <c r="M61" s="210"/>
      <c r="N61" s="231"/>
    </row>
    <row r="62" spans="2:14" ht="14">
      <c r="B62" s="209"/>
      <c r="C62" s="265"/>
      <c r="D62" s="265"/>
      <c r="E62" s="266"/>
      <c r="F62" s="265"/>
      <c r="G62" s="267"/>
      <c r="H62" s="268"/>
      <c r="I62" s="265"/>
      <c r="J62" s="265"/>
      <c r="K62" s="266"/>
      <c r="L62" s="269"/>
      <c r="M62" s="210"/>
    </row>
    <row r="63" spans="2:14" ht="16">
      <c r="B63" s="209"/>
      <c r="C63" s="265"/>
      <c r="D63" s="265"/>
      <c r="E63" s="265"/>
      <c r="F63" s="265"/>
      <c r="G63" s="265"/>
      <c r="H63" s="265"/>
      <c r="I63" s="270" t="s">
        <v>40</v>
      </c>
      <c r="J63" s="230">
        <f>SUM(J44:J61)</f>
        <v>8693.32</v>
      </c>
      <c r="K63" s="234"/>
      <c r="L63" s="265"/>
      <c r="M63" s="210"/>
    </row>
    <row r="64" spans="2:14" ht="16">
      <c r="B64" s="209"/>
      <c r="C64" s="265"/>
      <c r="D64" s="265"/>
      <c r="E64" s="265"/>
      <c r="F64" s="265"/>
      <c r="G64" s="265"/>
      <c r="H64" s="265"/>
      <c r="I64" s="234"/>
      <c r="J64" s="234"/>
      <c r="K64" s="270" t="s">
        <v>240</v>
      </c>
      <c r="L64" s="230">
        <f>L44+L47+L50+L53+L59+L61+L56</f>
        <v>19609.399628469633</v>
      </c>
      <c r="M64" s="210"/>
    </row>
    <row r="65" spans="2:13" ht="16">
      <c r="B65" s="209"/>
      <c r="C65" s="265"/>
      <c r="D65" s="265"/>
      <c r="E65" s="265"/>
      <c r="F65" s="265"/>
      <c r="G65" s="265"/>
      <c r="H65" s="265"/>
      <c r="I65" s="234"/>
      <c r="J65" s="234"/>
      <c r="K65" s="271" t="s">
        <v>42</v>
      </c>
      <c r="L65" s="230">
        <f>L45+L48+L51+L54+L57</f>
        <v>62582.856371530368</v>
      </c>
      <c r="M65" s="210"/>
    </row>
    <row r="66" spans="2:13" ht="15" thickBot="1">
      <c r="B66" s="272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4"/>
    </row>
    <row r="68" spans="2:13">
      <c r="B68" s="5" t="s">
        <v>68</v>
      </c>
    </row>
  </sheetData>
  <mergeCells count="22">
    <mergeCell ref="C53:D54"/>
    <mergeCell ref="G53:G54"/>
    <mergeCell ref="C56:D57"/>
    <mergeCell ref="G56:G57"/>
    <mergeCell ref="C44:D45"/>
    <mergeCell ref="G44:G45"/>
    <mergeCell ref="C47:D48"/>
    <mergeCell ref="G47:G48"/>
    <mergeCell ref="C50:C51"/>
    <mergeCell ref="G50:G51"/>
    <mergeCell ref="C38:L38"/>
    <mergeCell ref="C39:D42"/>
    <mergeCell ref="E39:E42"/>
    <mergeCell ref="F39:F42"/>
    <mergeCell ref="G39:H39"/>
    <mergeCell ref="I39:J39"/>
    <mergeCell ref="K39:K42"/>
    <mergeCell ref="G41:G42"/>
    <mergeCell ref="H41:H42"/>
    <mergeCell ref="I41:I42"/>
    <mergeCell ref="J41:J42"/>
    <mergeCell ref="L41:L42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N68"/>
  <sheetViews>
    <sheetView workbookViewId="0">
      <selection activeCell="A11" sqref="A11:XFD12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161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95358</v>
      </c>
      <c r="G3" s="176" t="s">
        <v>1</v>
      </c>
      <c r="I3" s="178" t="s">
        <v>233</v>
      </c>
      <c r="J3" s="179"/>
      <c r="K3" s="180">
        <f>F32*F17</f>
        <v>25857286.619046349</v>
      </c>
      <c r="L3" s="181" t="s">
        <v>9</v>
      </c>
    </row>
    <row r="4" spans="1:12" ht="17" thickBot="1">
      <c r="A4" s="176" t="s">
        <v>53</v>
      </c>
      <c r="B4" s="176"/>
      <c r="F4" s="182">
        <f>SUM(I44:I61)</f>
        <v>9239.9</v>
      </c>
      <c r="G4" s="176" t="s">
        <v>1</v>
      </c>
      <c r="I4" s="183" t="s">
        <v>15</v>
      </c>
      <c r="J4" s="12"/>
      <c r="K4" s="184">
        <f>F33*F18</f>
        <v>842338.29108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86118.1</v>
      </c>
      <c r="G5" s="176" t="s">
        <v>1</v>
      </c>
      <c r="H5" s="275"/>
      <c r="I5" s="183" t="s">
        <v>8</v>
      </c>
      <c r="J5" s="12"/>
      <c r="K5" s="186">
        <f>F34*F19</f>
        <v>14175720.950454878</v>
      </c>
      <c r="L5" s="185" t="s">
        <v>9</v>
      </c>
    </row>
    <row r="6" spans="1:12" ht="16">
      <c r="A6" s="176" t="s">
        <v>63</v>
      </c>
      <c r="B6" s="176"/>
      <c r="F6" s="177">
        <v>28093</v>
      </c>
      <c r="G6" s="176" t="s">
        <v>1</v>
      </c>
      <c r="I6" s="183" t="s">
        <v>54</v>
      </c>
      <c r="J6" s="12"/>
      <c r="K6" s="187">
        <f>F35*F20</f>
        <v>216629.03106000001</v>
      </c>
      <c r="L6" s="185" t="s">
        <v>9</v>
      </c>
    </row>
    <row r="7" spans="1:12" ht="16">
      <c r="A7" s="176" t="s">
        <v>64</v>
      </c>
      <c r="B7" s="176"/>
      <c r="F7" s="177">
        <v>2894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276">
        <f>SUM(F6:F7)/F5</f>
        <v>0.35981982881647412</v>
      </c>
      <c r="G8" s="176" t="s">
        <v>1</v>
      </c>
      <c r="I8" s="191" t="s">
        <v>18</v>
      </c>
      <c r="J8" s="192"/>
      <c r="K8" s="193">
        <f>SUM(K3:K6)/F11/1000</f>
        <v>0.76370703479283564</v>
      </c>
      <c r="L8" s="194" t="s">
        <v>10</v>
      </c>
    </row>
    <row r="9" spans="1:12" ht="16">
      <c r="A9" s="176" t="s">
        <v>171</v>
      </c>
      <c r="B9" s="176"/>
      <c r="F9" s="195">
        <v>1.49</v>
      </c>
      <c r="G9" s="176" t="s">
        <v>1</v>
      </c>
      <c r="H9" s="176" t="s">
        <v>173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v>1323.67</v>
      </c>
      <c r="G10" s="176" t="s">
        <v>1</v>
      </c>
      <c r="H10" s="176" t="s">
        <v>173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53805.94</v>
      </c>
      <c r="G11" s="176" t="s">
        <v>1</v>
      </c>
      <c r="H11" s="176"/>
      <c r="I11" s="196"/>
      <c r="J11" s="12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245</v>
      </c>
    </row>
    <row r="16" spans="1:12" ht="16">
      <c r="A16" s="176"/>
      <c r="B16" s="176"/>
      <c r="G16" s="202"/>
    </row>
    <row r="17" spans="1:8" ht="16">
      <c r="A17" s="176" t="s">
        <v>231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8339330</v>
      </c>
      <c r="G22" s="202" t="s">
        <v>47</v>
      </c>
      <c r="H22" s="176" t="s">
        <v>48</v>
      </c>
    </row>
    <row r="23" spans="1:8" ht="16">
      <c r="A23" s="176" t="s">
        <v>57</v>
      </c>
      <c r="F23" s="203">
        <v>262499</v>
      </c>
      <c r="G23" s="202" t="s">
        <v>47</v>
      </c>
      <c r="H23" s="176" t="s">
        <v>48</v>
      </c>
    </row>
    <row r="24" spans="1:8" ht="16">
      <c r="A24" s="204" t="s">
        <v>46</v>
      </c>
      <c r="F24" s="203">
        <v>7106962</v>
      </c>
      <c r="G24" s="202" t="s">
        <v>47</v>
      </c>
      <c r="H24" s="176" t="s">
        <v>48</v>
      </c>
    </row>
    <row r="25" spans="1:8" ht="16">
      <c r="A25" s="176" t="s">
        <v>45</v>
      </c>
      <c r="F25" s="203">
        <v>56141</v>
      </c>
      <c r="G25" s="202" t="s">
        <v>47</v>
      </c>
      <c r="H25" s="176" t="s">
        <v>48</v>
      </c>
    </row>
    <row r="27" spans="1:8" ht="16">
      <c r="A27" s="176" t="s">
        <v>235</v>
      </c>
      <c r="F27" s="205">
        <f>F22*$F$15</f>
        <v>368598.386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11602.455800000002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314127.72040000005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2481.4322000000002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F27-L64</f>
        <v>342480.61747081258</v>
      </c>
      <c r="G32" s="202" t="s">
        <v>16</v>
      </c>
      <c r="H32" s="176" t="s">
        <v>51</v>
      </c>
    </row>
    <row r="33" spans="1:14" ht="16">
      <c r="A33" s="204" t="s">
        <v>59</v>
      </c>
      <c r="F33" s="205">
        <f>F28</f>
        <v>11602.455800000002</v>
      </c>
      <c r="G33" s="202" t="s">
        <v>16</v>
      </c>
      <c r="H33" s="176" t="s">
        <v>51</v>
      </c>
    </row>
    <row r="34" spans="1:14" ht="16">
      <c r="A34" s="204" t="s">
        <v>50</v>
      </c>
      <c r="F34" s="205">
        <f>F29-L65</f>
        <v>261063.00092918746</v>
      </c>
      <c r="G34" s="202" t="s">
        <v>16</v>
      </c>
      <c r="H34" s="176" t="s">
        <v>51</v>
      </c>
    </row>
    <row r="35" spans="1:14" ht="17" customHeight="1">
      <c r="A35" s="204" t="s">
        <v>49</v>
      </c>
      <c r="F35" s="205">
        <f>F30</f>
        <v>2481.4322000000002</v>
      </c>
      <c r="G35" s="202" t="s">
        <v>16</v>
      </c>
      <c r="H35" s="176" t="s">
        <v>51</v>
      </c>
    </row>
    <row r="36" spans="1:14" ht="14" customHeight="1" thickBot="1"/>
    <row r="37" spans="1:14" ht="14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</row>
    <row r="38" spans="1:14" ht="18">
      <c r="B38" s="209"/>
      <c r="C38" s="559" t="s">
        <v>163</v>
      </c>
      <c r="D38" s="560"/>
      <c r="E38" s="560"/>
      <c r="F38" s="560"/>
      <c r="G38" s="560"/>
      <c r="H38" s="560"/>
      <c r="I38" s="560"/>
      <c r="J38" s="560"/>
      <c r="K38" s="560"/>
      <c r="L38" s="561"/>
      <c r="M38" s="210"/>
    </row>
    <row r="39" spans="1:14" ht="28" customHeight="1">
      <c r="B39" s="209"/>
      <c r="C39" s="562" t="s">
        <v>20</v>
      </c>
      <c r="D39" s="563"/>
      <c r="E39" s="568" t="s">
        <v>21</v>
      </c>
      <c r="F39" s="568" t="s">
        <v>22</v>
      </c>
      <c r="G39" s="571" t="s">
        <v>221</v>
      </c>
      <c r="H39" s="572"/>
      <c r="I39" s="562" t="s">
        <v>23</v>
      </c>
      <c r="J39" s="563"/>
      <c r="K39" s="573" t="s">
        <v>24</v>
      </c>
      <c r="L39" s="211" t="s">
        <v>25</v>
      </c>
      <c r="M39" s="210"/>
    </row>
    <row r="40" spans="1:14" ht="28" customHeight="1">
      <c r="B40" s="209"/>
      <c r="C40" s="564"/>
      <c r="D40" s="565"/>
      <c r="E40" s="569"/>
      <c r="F40" s="569"/>
      <c r="G40" s="212"/>
      <c r="H40" s="213"/>
      <c r="I40" s="214" t="s">
        <v>222</v>
      </c>
      <c r="J40" s="214" t="s">
        <v>26</v>
      </c>
      <c r="K40" s="574"/>
      <c r="L40" s="215"/>
      <c r="M40" s="210"/>
    </row>
    <row r="41" spans="1:14" ht="14" customHeight="1">
      <c r="B41" s="209"/>
      <c r="C41" s="564"/>
      <c r="D41" s="565"/>
      <c r="E41" s="569"/>
      <c r="F41" s="569"/>
      <c r="G41" s="576" t="s">
        <v>27</v>
      </c>
      <c r="H41" s="578" t="s">
        <v>1</v>
      </c>
      <c r="I41" s="580" t="s">
        <v>1</v>
      </c>
      <c r="J41" s="578" t="s">
        <v>1</v>
      </c>
      <c r="K41" s="574"/>
      <c r="L41" s="582" t="s">
        <v>16</v>
      </c>
      <c r="M41" s="210"/>
    </row>
    <row r="42" spans="1:14" ht="15" customHeight="1">
      <c r="B42" s="209"/>
      <c r="C42" s="566"/>
      <c r="D42" s="567"/>
      <c r="E42" s="570"/>
      <c r="F42" s="570"/>
      <c r="G42" s="577"/>
      <c r="H42" s="579"/>
      <c r="I42" s="581"/>
      <c r="J42" s="579"/>
      <c r="K42" s="575"/>
      <c r="L42" s="583"/>
      <c r="M42" s="210"/>
    </row>
    <row r="43" spans="1:14" ht="14" customHeight="1">
      <c r="B43" s="209"/>
      <c r="C43" s="216" t="s">
        <v>28</v>
      </c>
      <c r="D43" s="217"/>
      <c r="E43" s="218"/>
      <c r="F43" s="219"/>
      <c r="G43" s="220"/>
      <c r="H43" s="221"/>
      <c r="I43" s="222"/>
      <c r="J43" s="222"/>
      <c r="K43" s="223"/>
      <c r="L43" s="224"/>
      <c r="M43" s="210"/>
    </row>
    <row r="44" spans="1:14" ht="16">
      <c r="B44" s="209"/>
      <c r="C44" s="589" t="s">
        <v>29</v>
      </c>
      <c r="D44" s="590"/>
      <c r="E44" s="225" t="s">
        <v>229</v>
      </c>
      <c r="F44" s="226" t="s">
        <v>34</v>
      </c>
      <c r="G44" s="588">
        <v>25.44</v>
      </c>
      <c r="H44" s="227">
        <f>I44/(I44+I45)*G44</f>
        <v>0</v>
      </c>
      <c r="I44" s="228">
        <v>0</v>
      </c>
      <c r="J44" s="227">
        <f>I44-H44</f>
        <v>0</v>
      </c>
      <c r="K44" s="229">
        <v>0.375</v>
      </c>
      <c r="L44" s="230">
        <f>J44/K44*3600/1000</f>
        <v>0</v>
      </c>
      <c r="M44" s="210"/>
      <c r="N44" s="231"/>
    </row>
    <row r="45" spans="1:14" ht="16">
      <c r="B45" s="209"/>
      <c r="C45" s="591"/>
      <c r="D45" s="592"/>
      <c r="E45" s="232" t="s">
        <v>0</v>
      </c>
      <c r="F45" s="233" t="s">
        <v>34</v>
      </c>
      <c r="G45" s="588"/>
      <c r="H45" s="227">
        <f>I45/(I45+I44)*G44</f>
        <v>25.44</v>
      </c>
      <c r="I45" s="228">
        <v>222</v>
      </c>
      <c r="J45" s="227">
        <f>I45-H45</f>
        <v>196.56</v>
      </c>
      <c r="K45" s="229">
        <v>0.375</v>
      </c>
      <c r="L45" s="230">
        <f>J45/K45*3600/1000</f>
        <v>1886.9760000000001</v>
      </c>
      <c r="M45" s="210"/>
      <c r="N45" s="231"/>
    </row>
    <row r="46" spans="1:14" ht="16">
      <c r="B46" s="209"/>
      <c r="C46" s="234"/>
      <c r="D46" s="234"/>
      <c r="E46" s="235"/>
      <c r="F46" s="236"/>
      <c r="G46" s="237"/>
      <c r="H46" s="238"/>
      <c r="I46" s="239"/>
      <c r="J46" s="239"/>
      <c r="K46" s="240"/>
      <c r="L46" s="239"/>
      <c r="M46" s="210"/>
      <c r="N46" s="231"/>
    </row>
    <row r="47" spans="1:14" ht="15" customHeight="1">
      <c r="B47" s="209"/>
      <c r="C47" s="584" t="s">
        <v>31</v>
      </c>
      <c r="D47" s="585"/>
      <c r="E47" s="225" t="s">
        <v>229</v>
      </c>
      <c r="F47" s="226" t="s">
        <v>30</v>
      </c>
      <c r="G47" s="588">
        <v>15.9</v>
      </c>
      <c r="H47" s="227">
        <f>I47/(I47+I48)*G47</f>
        <v>0</v>
      </c>
      <c r="I47" s="228">
        <v>0</v>
      </c>
      <c r="J47" s="227">
        <f>I47-H47</f>
        <v>0</v>
      </c>
      <c r="K47" s="229">
        <v>0.3</v>
      </c>
      <c r="L47" s="230">
        <f>J47/K47*3600/1000</f>
        <v>0</v>
      </c>
      <c r="M47" s="210"/>
      <c r="N47" s="231"/>
    </row>
    <row r="48" spans="1:14" ht="15" customHeight="1">
      <c r="B48" s="209"/>
      <c r="C48" s="586"/>
      <c r="D48" s="587"/>
      <c r="E48" s="232" t="s">
        <v>0</v>
      </c>
      <c r="F48" s="233" t="s">
        <v>30</v>
      </c>
      <c r="G48" s="588"/>
      <c r="H48" s="227">
        <f>I48/(I48+I47)*G47</f>
        <v>15.9</v>
      </c>
      <c r="I48" s="228">
        <v>531.5</v>
      </c>
      <c r="J48" s="227">
        <f>I48-H48</f>
        <v>515.6</v>
      </c>
      <c r="K48" s="229">
        <v>0.3</v>
      </c>
      <c r="L48" s="230">
        <f>J48/K48*3600/1000</f>
        <v>6187.2</v>
      </c>
      <c r="M48" s="210"/>
      <c r="N48" s="231"/>
    </row>
    <row r="49" spans="2:14" ht="16">
      <c r="B49" s="209"/>
      <c r="C49" s="241"/>
      <c r="D49" s="234"/>
      <c r="E49" s="235"/>
      <c r="F49" s="236"/>
      <c r="G49" s="237"/>
      <c r="H49" s="242"/>
      <c r="I49" s="243"/>
      <c r="J49" s="243"/>
      <c r="K49" s="240"/>
      <c r="L49" s="244"/>
      <c r="M49" s="210"/>
      <c r="N49" s="231"/>
    </row>
    <row r="50" spans="2:14" ht="18">
      <c r="B50" s="209"/>
      <c r="C50" s="589" t="s">
        <v>32</v>
      </c>
      <c r="D50" s="245"/>
      <c r="E50" s="225" t="s">
        <v>229</v>
      </c>
      <c r="F50" s="226" t="s">
        <v>30</v>
      </c>
      <c r="G50" s="588">
        <v>14.91</v>
      </c>
      <c r="H50" s="227">
        <f>I50/(I50+I51)*G50</f>
        <v>0</v>
      </c>
      <c r="I50" s="228">
        <v>0</v>
      </c>
      <c r="J50" s="227">
        <f>I50-H50</f>
        <v>0</v>
      </c>
      <c r="K50" s="229">
        <v>0.3</v>
      </c>
      <c r="L50" s="230">
        <f>J50/K50*3600/1000</f>
        <v>0</v>
      </c>
      <c r="M50" s="210"/>
      <c r="N50" s="231"/>
    </row>
    <row r="51" spans="2:14" ht="18">
      <c r="B51" s="209"/>
      <c r="C51" s="591"/>
      <c r="D51" s="246"/>
      <c r="E51" s="232" t="s">
        <v>0</v>
      </c>
      <c r="F51" s="233" t="s">
        <v>30</v>
      </c>
      <c r="G51" s="588"/>
      <c r="H51" s="227">
        <f>I51/(I51+I50)*G50</f>
        <v>14.91</v>
      </c>
      <c r="I51" s="228">
        <v>508.3</v>
      </c>
      <c r="J51" s="227">
        <f>I51-H51</f>
        <v>493.39</v>
      </c>
      <c r="K51" s="229">
        <v>0.3</v>
      </c>
      <c r="L51" s="230">
        <f>J51/K51*3600/1000</f>
        <v>5920.68</v>
      </c>
      <c r="M51" s="210"/>
      <c r="N51" s="231"/>
    </row>
    <row r="52" spans="2:14" ht="16">
      <c r="B52" s="209"/>
      <c r="C52" s="234"/>
      <c r="D52" s="234"/>
      <c r="E52" s="235"/>
      <c r="F52" s="236"/>
      <c r="G52" s="237"/>
      <c r="H52" s="238"/>
      <c r="I52" s="239"/>
      <c r="J52" s="239"/>
      <c r="K52" s="240"/>
      <c r="L52" s="239"/>
      <c r="M52" s="210"/>
      <c r="N52" s="231"/>
    </row>
    <row r="53" spans="2:14" ht="15" customHeight="1">
      <c r="B53" s="209"/>
      <c r="C53" s="584" t="s">
        <v>33</v>
      </c>
      <c r="D53" s="585"/>
      <c r="E53" s="225" t="s">
        <v>229</v>
      </c>
      <c r="F53" s="226" t="s">
        <v>34</v>
      </c>
      <c r="G53" s="588">
        <v>455.68</v>
      </c>
      <c r="H53" s="227">
        <f>I53/(I53+I54)*G53</f>
        <v>151.45744487631225</v>
      </c>
      <c r="I53" s="228">
        <v>1830</v>
      </c>
      <c r="J53" s="227">
        <f>I53-H53</f>
        <v>1678.5425551236876</v>
      </c>
      <c r="K53" s="229">
        <v>0.375</v>
      </c>
      <c r="L53" s="230">
        <f>J53/K53*3600/1000</f>
        <v>16114.008529187402</v>
      </c>
      <c r="M53" s="210"/>
      <c r="N53" s="231"/>
    </row>
    <row r="54" spans="2:14" ht="15" customHeight="1">
      <c r="B54" s="209"/>
      <c r="C54" s="586"/>
      <c r="D54" s="587"/>
      <c r="E54" s="232" t="s">
        <v>0</v>
      </c>
      <c r="F54" s="233" t="s">
        <v>34</v>
      </c>
      <c r="G54" s="588"/>
      <c r="H54" s="227">
        <f>I54/(I54+I53)*G53</f>
        <v>304.22255512368775</v>
      </c>
      <c r="I54" s="228">
        <v>3675.8</v>
      </c>
      <c r="J54" s="227">
        <f>I54-H54</f>
        <v>3371.5774448763123</v>
      </c>
      <c r="K54" s="229">
        <v>0.375</v>
      </c>
      <c r="L54" s="230">
        <f>J54/K54*3600/1000</f>
        <v>32367.143470812596</v>
      </c>
      <c r="M54" s="210"/>
      <c r="N54" s="231"/>
    </row>
    <row r="55" spans="2:14" ht="16">
      <c r="B55" s="209"/>
      <c r="C55" s="247"/>
      <c r="D55" s="248"/>
      <c r="E55" s="249"/>
      <c r="F55" s="249"/>
      <c r="G55" s="250"/>
      <c r="H55" s="251"/>
      <c r="I55" s="252"/>
      <c r="J55" s="251"/>
      <c r="K55" s="253"/>
      <c r="L55" s="254"/>
      <c r="M55" s="210"/>
      <c r="N55" s="231"/>
    </row>
    <row r="56" spans="2:14" ht="16">
      <c r="B56" s="209"/>
      <c r="C56" s="584" t="s">
        <v>35</v>
      </c>
      <c r="D56" s="585"/>
      <c r="E56" s="225" t="s">
        <v>229</v>
      </c>
      <c r="F56" s="226" t="s">
        <v>30</v>
      </c>
      <c r="G56" s="588">
        <v>79.48</v>
      </c>
      <c r="H56" s="227">
        <f>I56/(I56+I57)*G56</f>
        <v>0</v>
      </c>
      <c r="I56" s="228">
        <v>0</v>
      </c>
      <c r="J56" s="227">
        <f>I56-H56</f>
        <v>0</v>
      </c>
      <c r="K56" s="229">
        <v>0.6</v>
      </c>
      <c r="L56" s="230">
        <f>J56/K56*3600/1000</f>
        <v>0</v>
      </c>
      <c r="M56" s="210"/>
      <c r="N56" s="231"/>
    </row>
    <row r="57" spans="2:14" ht="16">
      <c r="B57" s="209"/>
      <c r="C57" s="586"/>
      <c r="D57" s="587"/>
      <c r="E57" s="232" t="s">
        <v>0</v>
      </c>
      <c r="F57" s="233" t="s">
        <v>30</v>
      </c>
      <c r="G57" s="588"/>
      <c r="H57" s="227">
        <f>I57/(I57+I56)*G56</f>
        <v>79.48</v>
      </c>
      <c r="I57" s="228">
        <v>1196.5999999999999</v>
      </c>
      <c r="J57" s="227">
        <f>I57-H57</f>
        <v>1117.1199999999999</v>
      </c>
      <c r="K57" s="229">
        <v>0.6</v>
      </c>
      <c r="L57" s="230">
        <f>J57/K57*3600/1000</f>
        <v>6702.72</v>
      </c>
      <c r="M57" s="210"/>
      <c r="N57" s="231"/>
    </row>
    <row r="58" spans="2:14" ht="16">
      <c r="B58" s="209"/>
      <c r="C58" s="255" t="s">
        <v>36</v>
      </c>
      <c r="D58" s="234"/>
      <c r="E58" s="235"/>
      <c r="F58" s="236"/>
      <c r="G58" s="237"/>
      <c r="H58" s="242"/>
      <c r="I58" s="243"/>
      <c r="J58" s="243"/>
      <c r="K58" s="240"/>
      <c r="L58" s="244"/>
      <c r="M58" s="210"/>
      <c r="N58" s="231"/>
    </row>
    <row r="59" spans="2:14" ht="16">
      <c r="B59" s="209"/>
      <c r="C59" s="256" t="s">
        <v>37</v>
      </c>
      <c r="D59" s="257"/>
      <c r="E59" s="258" t="s">
        <v>229</v>
      </c>
      <c r="F59" s="259" t="s">
        <v>38</v>
      </c>
      <c r="G59" s="260"/>
      <c r="H59" s="228">
        <v>17.79</v>
      </c>
      <c r="I59" s="228">
        <v>630.9</v>
      </c>
      <c r="J59" s="227">
        <f>I59-H59</f>
        <v>613.11</v>
      </c>
      <c r="K59" s="229">
        <v>0.45</v>
      </c>
      <c r="L59" s="230">
        <f>J59/K59*3600/1000</f>
        <v>4904.88</v>
      </c>
      <c r="M59" s="210"/>
      <c r="N59" s="231"/>
    </row>
    <row r="60" spans="2:14" ht="16">
      <c r="B60" s="209"/>
      <c r="C60" s="261"/>
      <c r="D60" s="262"/>
      <c r="E60" s="235"/>
      <c r="F60" s="236"/>
      <c r="G60" s="237"/>
      <c r="H60" s="242"/>
      <c r="I60" s="243"/>
      <c r="J60" s="243"/>
      <c r="K60" s="263"/>
      <c r="L60" s="244"/>
      <c r="M60" s="210"/>
      <c r="N60" s="231"/>
    </row>
    <row r="61" spans="2:14" ht="16">
      <c r="B61" s="209"/>
      <c r="C61" s="264" t="s">
        <v>39</v>
      </c>
      <c r="D61" s="257"/>
      <c r="E61" s="258" t="s">
        <v>229</v>
      </c>
      <c r="F61" s="259" t="s">
        <v>38</v>
      </c>
      <c r="G61" s="260"/>
      <c r="H61" s="228">
        <v>7.44</v>
      </c>
      <c r="I61" s="228">
        <v>644.79999999999995</v>
      </c>
      <c r="J61" s="227">
        <f>I61-H61</f>
        <v>637.3599999999999</v>
      </c>
      <c r="K61" s="229">
        <v>0.45</v>
      </c>
      <c r="L61" s="230">
        <f>J61/K61*3600/1000</f>
        <v>5098.8799999999992</v>
      </c>
      <c r="M61" s="210"/>
      <c r="N61" s="231"/>
    </row>
    <row r="62" spans="2:14" ht="14">
      <c r="B62" s="209"/>
      <c r="C62" s="265"/>
      <c r="D62" s="265"/>
      <c r="E62" s="266"/>
      <c r="F62" s="265"/>
      <c r="G62" s="267"/>
      <c r="H62" s="268"/>
      <c r="I62" s="277"/>
      <c r="J62" s="265"/>
      <c r="K62" s="266"/>
      <c r="L62" s="269"/>
      <c r="M62" s="210"/>
    </row>
    <row r="63" spans="2:14" ht="16">
      <c r="B63" s="209"/>
      <c r="C63" s="265"/>
      <c r="D63" s="265"/>
      <c r="E63" s="265"/>
      <c r="F63" s="265"/>
      <c r="G63" s="265"/>
      <c r="H63" s="265"/>
      <c r="I63" s="270" t="s">
        <v>40</v>
      </c>
      <c r="J63" s="230">
        <f>SUM(J44:J61)</f>
        <v>8623.26</v>
      </c>
      <c r="K63" s="234"/>
      <c r="L63" s="265"/>
      <c r="M63" s="210"/>
    </row>
    <row r="64" spans="2:14" ht="16">
      <c r="B64" s="209"/>
      <c r="C64" s="265"/>
      <c r="D64" s="265"/>
      <c r="E64" s="265"/>
      <c r="F64" s="265"/>
      <c r="G64" s="265"/>
      <c r="H64" s="265"/>
      <c r="I64" s="234"/>
      <c r="J64" s="234"/>
      <c r="K64" s="270" t="s">
        <v>240</v>
      </c>
      <c r="L64" s="230">
        <f>L44+L47+L50+L53+L56+L59+L61</f>
        <v>26117.7685291874</v>
      </c>
      <c r="M64" s="210"/>
    </row>
    <row r="65" spans="2:13" ht="16">
      <c r="B65" s="209"/>
      <c r="C65" s="265"/>
      <c r="D65" s="265"/>
      <c r="E65" s="265"/>
      <c r="F65" s="265"/>
      <c r="G65" s="265"/>
      <c r="H65" s="265"/>
      <c r="I65" s="234"/>
      <c r="J65" s="234"/>
      <c r="K65" s="271" t="s">
        <v>42</v>
      </c>
      <c r="L65" s="230">
        <f>L45+L48+L51+L54+L57</f>
        <v>53064.719470812597</v>
      </c>
      <c r="M65" s="210"/>
    </row>
    <row r="66" spans="2:13" ht="15" thickBot="1">
      <c r="B66" s="272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4"/>
    </row>
    <row r="68" spans="2:13">
      <c r="B68" s="5" t="s">
        <v>162</v>
      </c>
    </row>
  </sheetData>
  <mergeCells count="22">
    <mergeCell ref="C44:D45"/>
    <mergeCell ref="G44:G45"/>
    <mergeCell ref="C38:L38"/>
    <mergeCell ref="C39:D42"/>
    <mergeCell ref="E39:E42"/>
    <mergeCell ref="F39:F42"/>
    <mergeCell ref="G39:H39"/>
    <mergeCell ref="I39:J39"/>
    <mergeCell ref="K39:K42"/>
    <mergeCell ref="G41:G42"/>
    <mergeCell ref="H41:H42"/>
    <mergeCell ref="I41:I42"/>
    <mergeCell ref="J41:J42"/>
    <mergeCell ref="L41:L42"/>
    <mergeCell ref="C56:D57"/>
    <mergeCell ref="G56:G57"/>
    <mergeCell ref="C47:D48"/>
    <mergeCell ref="G47:G48"/>
    <mergeCell ref="C50:C51"/>
    <mergeCell ref="G50:G51"/>
    <mergeCell ref="C53:D54"/>
    <mergeCell ref="G53:G54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N73"/>
  <sheetViews>
    <sheetView zoomScale="125" zoomScaleNormal="125" zoomScalePageLayoutView="125" workbookViewId="0">
      <selection activeCell="F12" sqref="F12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8" style="5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164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94385</v>
      </c>
      <c r="G3" s="176" t="s">
        <v>1</v>
      </c>
      <c r="I3" s="178" t="s">
        <v>233</v>
      </c>
      <c r="J3" s="179"/>
      <c r="K3" s="180">
        <f>F32*F17</f>
        <v>23464753.945098236</v>
      </c>
      <c r="L3" s="181" t="s">
        <v>9</v>
      </c>
    </row>
    <row r="4" spans="1:12" ht="17" thickBot="1">
      <c r="A4" s="176" t="s">
        <v>53</v>
      </c>
      <c r="B4" s="176"/>
      <c r="F4" s="182">
        <f>SUM(I46:I66)</f>
        <v>9401.75</v>
      </c>
      <c r="G4" s="176" t="s">
        <v>1</v>
      </c>
      <c r="I4" s="183" t="s">
        <v>15</v>
      </c>
      <c r="J4" s="12"/>
      <c r="K4" s="184">
        <f>F33*F18</f>
        <v>337450.02719999995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84983.25</v>
      </c>
      <c r="G5" s="176" t="s">
        <v>1</v>
      </c>
      <c r="I5" s="183" t="s">
        <v>8</v>
      </c>
      <c r="J5" s="12"/>
      <c r="K5" s="186">
        <f>F34*F19</f>
        <v>13117141.868868154</v>
      </c>
      <c r="L5" s="185" t="s">
        <v>9</v>
      </c>
    </row>
    <row r="6" spans="1:12" ht="16">
      <c r="A6" s="176" t="s">
        <v>63</v>
      </c>
      <c r="B6" s="176"/>
      <c r="F6" s="177">
        <v>31811</v>
      </c>
      <c r="G6" s="176" t="s">
        <v>1</v>
      </c>
      <c r="I6" s="183" t="s">
        <v>54</v>
      </c>
      <c r="J6" s="12"/>
      <c r="K6" s="187">
        <f>F35*F20</f>
        <v>166574.49354000002</v>
      </c>
      <c r="L6" s="185" t="s">
        <v>9</v>
      </c>
    </row>
    <row r="7" spans="1:12" ht="16">
      <c r="A7" s="176" t="s">
        <v>64</v>
      </c>
      <c r="B7" s="176"/>
      <c r="F7" s="177">
        <v>3420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276">
        <f>SUM(F6:F7)/F5</f>
        <v>0.41456404644444639</v>
      </c>
      <c r="G8" s="176"/>
      <c r="I8" s="191" t="s">
        <v>18</v>
      </c>
      <c r="J8" s="192"/>
      <c r="K8" s="193">
        <f>SUM(K3:K6)/F11/1000</f>
        <v>0.76149988931896662</v>
      </c>
      <c r="L8" s="194" t="s">
        <v>10</v>
      </c>
    </row>
    <row r="9" spans="1:12" ht="16">
      <c r="A9" s="176" t="s">
        <v>171</v>
      </c>
      <c r="B9" s="176"/>
      <c r="F9" s="195">
        <v>1.0900000000000001</v>
      </c>
      <c r="G9" s="176" t="s">
        <v>1</v>
      </c>
      <c r="H9" s="176" t="s">
        <v>174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v>1050.01</v>
      </c>
      <c r="G10" s="176" t="s">
        <v>1</v>
      </c>
      <c r="H10" s="176" t="s">
        <v>174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48701.149999999994</v>
      </c>
      <c r="G11" s="176" t="s">
        <v>1</v>
      </c>
      <c r="H11" s="176"/>
      <c r="I11" s="196"/>
      <c r="J11" s="12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244</v>
      </c>
    </row>
    <row r="16" spans="1:12" ht="16">
      <c r="A16" s="176"/>
      <c r="B16" s="176"/>
      <c r="G16" s="202"/>
    </row>
    <row r="17" spans="1:8" ht="16">
      <c r="A17" s="176" t="s">
        <v>231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7827500</v>
      </c>
      <c r="G22" s="202" t="s">
        <v>47</v>
      </c>
      <c r="H22" s="176" t="s">
        <v>166</v>
      </c>
    </row>
    <row r="23" spans="1:8" ht="16">
      <c r="A23" s="176" t="s">
        <v>57</v>
      </c>
      <c r="F23" s="203">
        <v>105160</v>
      </c>
      <c r="G23" s="202" t="s">
        <v>47</v>
      </c>
      <c r="H23" s="176" t="s">
        <v>166</v>
      </c>
    </row>
    <row r="24" spans="1:8" ht="16">
      <c r="A24" s="204" t="s">
        <v>46</v>
      </c>
      <c r="F24" s="203">
        <v>6493766</v>
      </c>
      <c r="G24" s="202" t="s">
        <v>47</v>
      </c>
      <c r="H24" s="176" t="s">
        <v>166</v>
      </c>
    </row>
    <row r="25" spans="1:8" ht="16">
      <c r="A25" s="176" t="s">
        <v>45</v>
      </c>
      <c r="F25" s="203">
        <v>43169</v>
      </c>
      <c r="G25" s="202" t="s">
        <v>47</v>
      </c>
      <c r="H25" s="176" t="s">
        <v>166</v>
      </c>
    </row>
    <row r="27" spans="1:8" ht="16">
      <c r="A27" s="176" t="s">
        <v>235</v>
      </c>
      <c r="F27" s="205">
        <f>F22*$F$15</f>
        <v>345975.5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4648.0720000000001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287024.4572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1908.0698000000002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F27-L69</f>
        <v>310791.44298143359</v>
      </c>
      <c r="G32" s="202" t="s">
        <v>16</v>
      </c>
      <c r="H32" s="176" t="s">
        <v>167</v>
      </c>
    </row>
    <row r="33" spans="1:14" ht="16">
      <c r="A33" s="204" t="s">
        <v>59</v>
      </c>
      <c r="F33" s="205">
        <f>F28</f>
        <v>4648.0720000000001</v>
      </c>
      <c r="G33" s="202" t="s">
        <v>16</v>
      </c>
      <c r="H33" s="176" t="s">
        <v>167</v>
      </c>
    </row>
    <row r="34" spans="1:14" ht="16">
      <c r="A34" s="204" t="s">
        <v>50</v>
      </c>
      <c r="F34" s="205">
        <f>F29-L70</f>
        <v>241567.99021856638</v>
      </c>
      <c r="G34" s="202" t="s">
        <v>16</v>
      </c>
      <c r="H34" s="176" t="s">
        <v>167</v>
      </c>
    </row>
    <row r="35" spans="1:14" ht="17" customHeight="1">
      <c r="A35" s="204" t="s">
        <v>49</v>
      </c>
      <c r="F35" s="205">
        <f>F30</f>
        <v>1908.0698000000002</v>
      </c>
      <c r="G35" s="202" t="s">
        <v>16</v>
      </c>
      <c r="H35" s="176" t="s">
        <v>167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282" t="s">
        <v>165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288"/>
      <c r="E39" s="289"/>
      <c r="F39" s="288"/>
      <c r="G39" s="606" t="s">
        <v>223</v>
      </c>
      <c r="H39" s="607"/>
      <c r="I39" s="600" t="s">
        <v>23</v>
      </c>
      <c r="J39" s="601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288"/>
      <c r="E40" s="289" t="s">
        <v>71</v>
      </c>
      <c r="F40" s="288" t="s">
        <v>22</v>
      </c>
      <c r="G40" s="608"/>
      <c r="H40" s="609"/>
      <c r="I40" s="288" t="s">
        <v>224</v>
      </c>
      <c r="J40" s="288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288"/>
      <c r="E41" s="291"/>
      <c r="F41" s="292"/>
      <c r="G41" s="293"/>
      <c r="H41" s="290"/>
      <c r="I41" s="288"/>
      <c r="J41" s="288"/>
      <c r="K41" s="289"/>
      <c r="L41" s="290"/>
      <c r="M41" s="286"/>
    </row>
    <row r="42" spans="1:14" ht="15" customHeight="1">
      <c r="B42" s="281"/>
      <c r="C42" s="287"/>
      <c r="D42" s="292"/>
      <c r="E42" s="291"/>
      <c r="F42" s="292"/>
      <c r="G42" s="293"/>
      <c r="H42" s="290"/>
      <c r="I42" s="288"/>
      <c r="J42" s="288"/>
      <c r="K42" s="289"/>
      <c r="L42" s="290"/>
      <c r="M42" s="286"/>
    </row>
    <row r="43" spans="1:14" ht="14" customHeight="1">
      <c r="B43" s="281"/>
      <c r="C43" s="294"/>
      <c r="D43" s="295"/>
      <c r="E43" s="296" t="s">
        <v>73</v>
      </c>
      <c r="F43" s="297"/>
      <c r="G43" s="294" t="s">
        <v>74</v>
      </c>
      <c r="H43" s="298"/>
      <c r="I43" s="295"/>
      <c r="J43" s="295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598" t="s">
        <v>1</v>
      </c>
      <c r="H44" s="599"/>
      <c r="I44" s="598" t="s">
        <v>1</v>
      </c>
      <c r="J44" s="599"/>
      <c r="K44" s="305"/>
      <c r="L44" s="306" t="s">
        <v>16</v>
      </c>
      <c r="M44" s="286"/>
      <c r="N44" s="231"/>
    </row>
    <row r="45" spans="1:14" ht="15">
      <c r="B45" s="281"/>
      <c r="C45" s="307" t="s">
        <v>28</v>
      </c>
      <c r="D45" s="308"/>
      <c r="E45" s="309"/>
      <c r="F45" s="310"/>
      <c r="G45" s="311"/>
      <c r="H45" s="312"/>
      <c r="I45" s="313"/>
      <c r="J45" s="313"/>
      <c r="K45" s="314"/>
      <c r="L45" s="315"/>
      <c r="M45" s="286"/>
      <c r="N45" s="231"/>
    </row>
    <row r="46" spans="1:14" ht="15">
      <c r="B46" s="281"/>
      <c r="C46" s="610" t="s">
        <v>29</v>
      </c>
      <c r="D46" s="371"/>
      <c r="E46" s="316" t="s">
        <v>229</v>
      </c>
      <c r="F46" s="317" t="s">
        <v>34</v>
      </c>
      <c r="G46" s="602">
        <v>34.1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11"/>
      <c r="D47" s="321"/>
      <c r="E47" s="322"/>
      <c r="F47" s="323"/>
      <c r="G47" s="613"/>
      <c r="H47" s="324"/>
      <c r="I47" s="321"/>
      <c r="J47" s="321"/>
      <c r="K47" s="373"/>
      <c r="L47" s="324"/>
      <c r="M47" s="286"/>
      <c r="N47" s="231"/>
    </row>
    <row r="48" spans="1:14" ht="15" customHeight="1">
      <c r="B48" s="281"/>
      <c r="C48" s="612"/>
      <c r="D48" s="325"/>
      <c r="E48" s="326" t="s">
        <v>0</v>
      </c>
      <c r="F48" s="327" t="s">
        <v>34</v>
      </c>
      <c r="G48" s="603"/>
      <c r="H48" s="328">
        <f>I48/(I48+I46)*G46</f>
        <v>34.1</v>
      </c>
      <c r="I48" s="329">
        <v>270.5</v>
      </c>
      <c r="J48" s="329">
        <f>I48-H48</f>
        <v>236.4</v>
      </c>
      <c r="K48" s="374">
        <v>0.375</v>
      </c>
      <c r="L48" s="330">
        <f>J48/K48*3600/1000</f>
        <v>2269.44</v>
      </c>
      <c r="M48" s="286"/>
      <c r="N48" s="231"/>
    </row>
    <row r="49" spans="2:14">
      <c r="B49" s="281"/>
      <c r="C49" s="331"/>
      <c r="D49" s="331"/>
      <c r="E49" s="332"/>
      <c r="F49" s="333"/>
      <c r="G49" s="334"/>
      <c r="H49" s="335"/>
      <c r="I49" s="331"/>
      <c r="J49" s="331"/>
      <c r="K49" s="314"/>
      <c r="L49" s="331"/>
      <c r="M49" s="286"/>
      <c r="N49" s="231"/>
    </row>
    <row r="50" spans="2:14" ht="13" customHeight="1">
      <c r="B50" s="281"/>
      <c r="C50" s="604" t="s">
        <v>31</v>
      </c>
      <c r="D50" s="399"/>
      <c r="E50" s="316" t="s">
        <v>229</v>
      </c>
      <c r="F50" s="317" t="s">
        <v>30</v>
      </c>
      <c r="G50" s="602">
        <v>15.11</v>
      </c>
      <c r="H50" s="318">
        <f>I50/(I50+I51)*G50</f>
        <v>0</v>
      </c>
      <c r="I50" s="319">
        <v>0</v>
      </c>
      <c r="J50" s="319">
        <f>I50-H50</f>
        <v>0</v>
      </c>
      <c r="K50" s="372">
        <v>0.3</v>
      </c>
      <c r="L50" s="320">
        <f>J50/K50*3600/1000</f>
        <v>0</v>
      </c>
      <c r="M50" s="286"/>
      <c r="N50" s="231"/>
    </row>
    <row r="51" spans="2:14">
      <c r="B51" s="281"/>
      <c r="C51" s="605"/>
      <c r="D51" s="337"/>
      <c r="E51" s="326" t="s">
        <v>0</v>
      </c>
      <c r="F51" s="327" t="s">
        <v>30</v>
      </c>
      <c r="G51" s="603"/>
      <c r="H51" s="328">
        <f>I51/(I51+I50)*G50</f>
        <v>15.11</v>
      </c>
      <c r="I51" s="329">
        <v>675.7</v>
      </c>
      <c r="J51" s="329">
        <f>I51-H51</f>
        <v>660.59</v>
      </c>
      <c r="K51" s="374">
        <v>0.3</v>
      </c>
      <c r="L51" s="330">
        <f>J51/K51*3600/1000</f>
        <v>7927.08</v>
      </c>
      <c r="M51" s="286"/>
      <c r="N51" s="231"/>
    </row>
    <row r="52" spans="2:14">
      <c r="B52" s="281"/>
      <c r="C52" s="338"/>
      <c r="D52" s="331"/>
      <c r="E52" s="332"/>
      <c r="F52" s="333"/>
      <c r="G52" s="334"/>
      <c r="H52" s="339"/>
      <c r="I52" s="340"/>
      <c r="J52" s="340"/>
      <c r="K52" s="375"/>
      <c r="L52" s="341"/>
      <c r="M52" s="286"/>
      <c r="N52" s="231"/>
    </row>
    <row r="53" spans="2:14" ht="15" customHeight="1">
      <c r="B53" s="281"/>
      <c r="C53" s="369" t="s">
        <v>32</v>
      </c>
      <c r="D53" s="376"/>
      <c r="E53" s="316" t="s">
        <v>229</v>
      </c>
      <c r="F53" s="317" t="s">
        <v>30</v>
      </c>
      <c r="G53" s="602">
        <v>17.420000000000002</v>
      </c>
      <c r="H53" s="318">
        <f>I53/(I53+I55)*G53</f>
        <v>0</v>
      </c>
      <c r="I53" s="319">
        <v>0</v>
      </c>
      <c r="J53" s="319">
        <f>I53-H53</f>
        <v>0</v>
      </c>
      <c r="K53" s="372">
        <v>0.3</v>
      </c>
      <c r="L53" s="320">
        <f>J53/K53*3600/1000</f>
        <v>0</v>
      </c>
      <c r="M53" s="286"/>
      <c r="N53" s="231"/>
    </row>
    <row r="54" spans="2:14" ht="15" customHeight="1">
      <c r="B54" s="281"/>
      <c r="C54" s="342"/>
      <c r="D54" s="321"/>
      <c r="E54" s="322"/>
      <c r="F54" s="323"/>
      <c r="G54" s="613"/>
      <c r="H54" s="324"/>
      <c r="I54" s="321"/>
      <c r="J54" s="321"/>
      <c r="K54" s="373"/>
      <c r="L54" s="324"/>
      <c r="M54" s="286"/>
      <c r="N54" s="231"/>
    </row>
    <row r="55" spans="2:14" ht="15">
      <c r="B55" s="281"/>
      <c r="C55" s="343" t="s">
        <v>32</v>
      </c>
      <c r="D55" s="377"/>
      <c r="E55" s="326" t="s">
        <v>0</v>
      </c>
      <c r="F55" s="327" t="s">
        <v>30</v>
      </c>
      <c r="G55" s="603"/>
      <c r="H55" s="328">
        <f>I55/(I55+I53)*G53</f>
        <v>17.420000000000002</v>
      </c>
      <c r="I55" s="329">
        <v>586.29999999999995</v>
      </c>
      <c r="J55" s="329">
        <f>I55-H55</f>
        <v>568.88</v>
      </c>
      <c r="K55" s="374">
        <v>0.3</v>
      </c>
      <c r="L55" s="330">
        <f>J55/K55*3600/1000</f>
        <v>6826.56</v>
      </c>
      <c r="M55" s="286"/>
      <c r="N55" s="231"/>
    </row>
    <row r="56" spans="2:14">
      <c r="B56" s="281"/>
      <c r="C56" s="331"/>
      <c r="D56" s="331"/>
      <c r="E56" s="332"/>
      <c r="F56" s="333"/>
      <c r="G56" s="334"/>
      <c r="H56" s="335"/>
      <c r="I56" s="331"/>
      <c r="J56" s="331"/>
      <c r="K56" s="314"/>
      <c r="L56" s="331"/>
      <c r="M56" s="286"/>
      <c r="N56" s="231"/>
    </row>
    <row r="57" spans="2:14" ht="13" customHeight="1">
      <c r="B57" s="281"/>
      <c r="C57" s="368" t="s">
        <v>33</v>
      </c>
      <c r="D57" s="344"/>
      <c r="E57" s="316" t="s">
        <v>229</v>
      </c>
      <c r="F57" s="317" t="s">
        <v>34</v>
      </c>
      <c r="G57" s="602">
        <v>435.91</v>
      </c>
      <c r="H57" s="318">
        <f>I57/(I57+I58)*G57</f>
        <v>223.90239389933512</v>
      </c>
      <c r="I57" s="319">
        <v>2603.3000000000002</v>
      </c>
      <c r="J57" s="319">
        <f>I57-H57</f>
        <v>2379.3976061006651</v>
      </c>
      <c r="K57" s="372">
        <v>0.375</v>
      </c>
      <c r="L57" s="320">
        <f>J57/K57*3600/1000</f>
        <v>22842.217018566385</v>
      </c>
      <c r="M57" s="286"/>
      <c r="N57" s="231"/>
    </row>
    <row r="58" spans="2:14" ht="13" customHeight="1">
      <c r="B58" s="281"/>
      <c r="C58" s="343" t="s">
        <v>33</v>
      </c>
      <c r="D58" s="337"/>
      <c r="E58" s="326" t="s">
        <v>0</v>
      </c>
      <c r="F58" s="327" t="s">
        <v>34</v>
      </c>
      <c r="G58" s="603"/>
      <c r="H58" s="328">
        <f>I58/(I58+I57)*G57</f>
        <v>212.00760610066493</v>
      </c>
      <c r="I58" s="329">
        <v>2465</v>
      </c>
      <c r="J58" s="329">
        <f>I58-H58</f>
        <v>2252.9923938993352</v>
      </c>
      <c r="K58" s="374">
        <v>0.375</v>
      </c>
      <c r="L58" s="330">
        <f>J58/K58*3600/1000</f>
        <v>21628.726981433614</v>
      </c>
      <c r="M58" s="286"/>
      <c r="N58" s="231"/>
    </row>
    <row r="59" spans="2:14">
      <c r="B59" s="378"/>
      <c r="C59" s="379"/>
      <c r="D59" s="380"/>
      <c r="E59" s="381"/>
      <c r="F59" s="381"/>
      <c r="G59" s="382"/>
      <c r="H59" s="383"/>
      <c r="I59" s="384"/>
      <c r="J59" s="383"/>
      <c r="K59" s="385"/>
      <c r="L59" s="386"/>
      <c r="M59" s="387"/>
      <c r="N59" s="231"/>
    </row>
    <row r="60" spans="2:14">
      <c r="B60" s="378"/>
      <c r="C60" s="593" t="s">
        <v>35</v>
      </c>
      <c r="D60" s="594"/>
      <c r="E60" s="388" t="s">
        <v>229</v>
      </c>
      <c r="F60" s="389" t="s">
        <v>30</v>
      </c>
      <c r="G60" s="597">
        <v>91.39</v>
      </c>
      <c r="H60" s="390">
        <f>I60/(I60+I61)*G60</f>
        <v>0</v>
      </c>
      <c r="I60" s="391">
        <v>0</v>
      </c>
      <c r="J60" s="390">
        <f>I60-H60</f>
        <v>0</v>
      </c>
      <c r="K60" s="392">
        <v>0.6</v>
      </c>
      <c r="L60" s="393">
        <f>J60/K60*3600/1000</f>
        <v>0</v>
      </c>
      <c r="M60" s="387"/>
      <c r="N60" s="231"/>
    </row>
    <row r="61" spans="2:14">
      <c r="B61" s="378"/>
      <c r="C61" s="595"/>
      <c r="D61" s="596"/>
      <c r="E61" s="394" t="s">
        <v>0</v>
      </c>
      <c r="F61" s="395" t="s">
        <v>30</v>
      </c>
      <c r="G61" s="597"/>
      <c r="H61" s="390">
        <f>I61/(I61+I60)*G60</f>
        <v>91.39</v>
      </c>
      <c r="I61" s="391">
        <v>1225.5</v>
      </c>
      <c r="J61" s="390">
        <f>I61-H61</f>
        <v>1134.1099999999999</v>
      </c>
      <c r="K61" s="392">
        <v>0.6</v>
      </c>
      <c r="L61" s="393">
        <f>J61/K61*3600/1000</f>
        <v>6804.6599999999989</v>
      </c>
      <c r="M61" s="387"/>
      <c r="N61" s="231"/>
    </row>
    <row r="62" spans="2:14" ht="14">
      <c r="B62" s="281"/>
      <c r="C62" s="307" t="s">
        <v>36</v>
      </c>
      <c r="D62" s="331"/>
      <c r="E62" s="332"/>
      <c r="F62" s="333"/>
      <c r="G62" s="334"/>
      <c r="H62" s="335"/>
      <c r="I62" s="331"/>
      <c r="J62" s="331"/>
      <c r="K62" s="336"/>
      <c r="L62" s="331"/>
      <c r="M62" s="286"/>
    </row>
    <row r="63" spans="2:14" ht="14">
      <c r="B63" s="281"/>
      <c r="C63" s="331"/>
      <c r="D63" s="331"/>
      <c r="E63" s="332"/>
      <c r="F63" s="333"/>
      <c r="G63" s="334"/>
      <c r="H63" s="339"/>
      <c r="I63" s="340"/>
      <c r="J63" s="340"/>
      <c r="K63" s="336"/>
      <c r="L63" s="341"/>
      <c r="M63" s="286"/>
    </row>
    <row r="64" spans="2:14" ht="14">
      <c r="B64" s="281"/>
      <c r="C64" s="345" t="s">
        <v>37</v>
      </c>
      <c r="D64" s="346"/>
      <c r="E64" s="347" t="s">
        <v>229</v>
      </c>
      <c r="F64" s="348" t="s">
        <v>38</v>
      </c>
      <c r="G64" s="345"/>
      <c r="H64" s="349">
        <v>21.73</v>
      </c>
      <c r="I64" s="350">
        <v>771.3</v>
      </c>
      <c r="J64" s="350">
        <f>I64-H64</f>
        <v>749.56999999999994</v>
      </c>
      <c r="K64" s="351">
        <v>0.45</v>
      </c>
      <c r="L64" s="352">
        <f>J64/K64*3600/1000</f>
        <v>5996.56</v>
      </c>
      <c r="M64" s="286"/>
    </row>
    <row r="65" spans="2:13" ht="14">
      <c r="B65" s="281"/>
      <c r="C65" s="353"/>
      <c r="D65" s="331"/>
      <c r="E65" s="332"/>
      <c r="F65" s="333"/>
      <c r="G65" s="334"/>
      <c r="H65" s="339"/>
      <c r="I65" s="340"/>
      <c r="J65" s="340"/>
      <c r="K65" s="336"/>
      <c r="L65" s="341"/>
      <c r="M65" s="286"/>
    </row>
    <row r="66" spans="2:13" ht="14">
      <c r="B66" s="281"/>
      <c r="C66" s="354" t="s">
        <v>39</v>
      </c>
      <c r="D66" s="346"/>
      <c r="E66" s="347" t="s">
        <v>229</v>
      </c>
      <c r="F66" s="348" t="s">
        <v>38</v>
      </c>
      <c r="G66" s="345"/>
      <c r="H66" s="349">
        <v>10.99</v>
      </c>
      <c r="I66" s="350">
        <v>804.15</v>
      </c>
      <c r="J66" s="350">
        <f>I66-H66</f>
        <v>793.16</v>
      </c>
      <c r="K66" s="351">
        <v>0.45</v>
      </c>
      <c r="L66" s="352">
        <f>J66/K66*3600/1000</f>
        <v>6345.2799999999988</v>
      </c>
      <c r="M66" s="286"/>
    </row>
    <row r="67" spans="2:13" ht="14">
      <c r="B67" s="281"/>
      <c r="C67" s="331"/>
      <c r="D67" s="331"/>
      <c r="E67" s="355"/>
      <c r="F67" s="331"/>
      <c r="G67" s="356"/>
      <c r="H67" s="357"/>
      <c r="I67" s="331"/>
      <c r="J67" s="331"/>
      <c r="K67" s="355"/>
      <c r="L67" s="358"/>
      <c r="M67" s="286"/>
    </row>
    <row r="68" spans="2:13" ht="14">
      <c r="B68" s="281"/>
      <c r="C68" s="331"/>
      <c r="D68" s="331"/>
      <c r="E68" s="331"/>
      <c r="F68" s="331"/>
      <c r="G68" s="331"/>
      <c r="H68" s="331"/>
      <c r="I68" s="359" t="s">
        <v>40</v>
      </c>
      <c r="J68" s="360">
        <f>SUM(J46:J66)</f>
        <v>8775.1</v>
      </c>
      <c r="K68" s="331"/>
      <c r="L68" s="331"/>
      <c r="M68" s="286"/>
    </row>
    <row r="69" spans="2:13" ht="14">
      <c r="B69" s="281"/>
      <c r="C69" s="331"/>
      <c r="D69" s="331"/>
      <c r="E69" s="331"/>
      <c r="F69" s="331"/>
      <c r="G69" s="361"/>
      <c r="H69" s="361"/>
      <c r="I69" s="331"/>
      <c r="J69" s="340"/>
      <c r="K69" s="362" t="s">
        <v>240</v>
      </c>
      <c r="L69" s="358">
        <f>L46+L50+L53+L57+L60+L64+L66</f>
        <v>35184.057018566382</v>
      </c>
      <c r="M69" s="286"/>
    </row>
    <row r="70" spans="2:13" ht="14">
      <c r="B70" s="281"/>
      <c r="C70" s="331"/>
      <c r="D70" s="331"/>
      <c r="E70" s="331"/>
      <c r="F70" s="331"/>
      <c r="G70" s="361"/>
      <c r="H70" s="361"/>
      <c r="I70" s="331"/>
      <c r="J70" s="331"/>
      <c r="K70" s="362" t="s">
        <v>42</v>
      </c>
      <c r="L70" s="358">
        <f>L48+L51+L55+L58+L61</f>
        <v>45456.466981433616</v>
      </c>
      <c r="M70" s="286"/>
    </row>
    <row r="71" spans="2:13" ht="14" thickBot="1">
      <c r="B71" s="363"/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5"/>
    </row>
    <row r="73" spans="2:13">
      <c r="B73" s="5" t="s">
        <v>168</v>
      </c>
    </row>
  </sheetData>
  <mergeCells count="12">
    <mergeCell ref="C60:D61"/>
    <mergeCell ref="G60:G61"/>
    <mergeCell ref="I44:J44"/>
    <mergeCell ref="I39:J39"/>
    <mergeCell ref="G57:G58"/>
    <mergeCell ref="C50:C51"/>
    <mergeCell ref="G50:G51"/>
    <mergeCell ref="G39:H40"/>
    <mergeCell ref="G44:H44"/>
    <mergeCell ref="C46:C48"/>
    <mergeCell ref="G46:G48"/>
    <mergeCell ref="G53:G55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8"/>
  <sheetViews>
    <sheetView zoomScale="125" zoomScaleNormal="125" zoomScalePageLayoutView="125" workbookViewId="0">
      <selection activeCell="I12" sqref="I12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177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95091</v>
      </c>
      <c r="G3" s="176" t="s">
        <v>1</v>
      </c>
      <c r="I3" s="178" t="s">
        <v>234</v>
      </c>
      <c r="J3" s="179"/>
      <c r="K3" s="180">
        <f>F32*F17</f>
        <v>22078249.006351702</v>
      </c>
      <c r="L3" s="181" t="s">
        <v>9</v>
      </c>
    </row>
    <row r="4" spans="1:12" ht="17" thickBot="1">
      <c r="A4" s="176" t="s">
        <v>53</v>
      </c>
      <c r="B4" s="176"/>
      <c r="F4" s="182">
        <f>SUM(I46:I71)</f>
        <v>8988.4</v>
      </c>
      <c r="G4" s="176" t="s">
        <v>1</v>
      </c>
      <c r="I4" s="183" t="s">
        <v>15</v>
      </c>
      <c r="J4" s="12"/>
      <c r="K4" s="184">
        <f>F33*F18</f>
        <v>651641.80223999999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86102.6</v>
      </c>
      <c r="G5" s="176" t="s">
        <v>1</v>
      </c>
      <c r="I5" s="183" t="s">
        <v>8</v>
      </c>
      <c r="J5" s="12"/>
      <c r="K5" s="186">
        <f>F34*F19</f>
        <v>13371060.920276195</v>
      </c>
      <c r="L5" s="185" t="s">
        <v>9</v>
      </c>
    </row>
    <row r="6" spans="1:12" ht="16">
      <c r="A6" s="176" t="s">
        <v>63</v>
      </c>
      <c r="B6" s="176"/>
      <c r="F6" s="177">
        <v>28516.9</v>
      </c>
      <c r="G6" s="176" t="s">
        <v>1</v>
      </c>
      <c r="I6" s="183" t="s">
        <v>54</v>
      </c>
      <c r="J6" s="12"/>
      <c r="K6" s="187">
        <f>F35*F20</f>
        <v>180585.288</v>
      </c>
      <c r="L6" s="185" t="s">
        <v>9</v>
      </c>
    </row>
    <row r="7" spans="1:12" ht="16">
      <c r="A7" s="176" t="s">
        <v>64</v>
      </c>
      <c r="B7" s="176"/>
      <c r="F7" s="177">
        <v>5265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276">
        <f>SUM(F6:F7)/F5</f>
        <v>0.392344714329184</v>
      </c>
      <c r="G8" s="176"/>
      <c r="I8" s="191" t="s">
        <v>18</v>
      </c>
      <c r="J8" s="192"/>
      <c r="K8" s="193">
        <f>SUM(K3:K6)/F11/1000</f>
        <v>0.70988617486502659</v>
      </c>
      <c r="L8" s="194" t="s">
        <v>10</v>
      </c>
    </row>
    <row r="9" spans="1:12" ht="16">
      <c r="A9" s="176" t="s">
        <v>171</v>
      </c>
      <c r="B9" s="176"/>
      <c r="F9" s="195">
        <v>0.94</v>
      </c>
      <c r="G9" s="176" t="s">
        <v>1</v>
      </c>
      <c r="H9" s="176" t="s">
        <v>188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f>1234.46-14.6-9.05</f>
        <v>1210.8100000000002</v>
      </c>
      <c r="G10" s="176" t="s">
        <v>1</v>
      </c>
      <c r="H10" s="176" t="s">
        <v>188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51108.950000000004</v>
      </c>
      <c r="G11" s="176" t="s">
        <v>1</v>
      </c>
      <c r="H11" s="176"/>
      <c r="I11" s="196"/>
      <c r="J11" s="12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243</v>
      </c>
    </row>
    <row r="16" spans="1:12" ht="16">
      <c r="A16" s="176"/>
      <c r="B16" s="176"/>
      <c r="G16" s="202"/>
    </row>
    <row r="17" spans="1:8" ht="16">
      <c r="A17" s="176" t="s">
        <v>239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7206839</v>
      </c>
      <c r="G22" s="202" t="s">
        <v>47</v>
      </c>
      <c r="H22" s="176" t="s">
        <v>183</v>
      </c>
    </row>
    <row r="23" spans="1:8" ht="16">
      <c r="A23" s="176" t="s">
        <v>57</v>
      </c>
      <c r="F23" s="203">
        <v>203072</v>
      </c>
      <c r="G23" s="202" t="s">
        <v>47</v>
      </c>
      <c r="H23" s="176" t="s">
        <v>184</v>
      </c>
    </row>
    <row r="24" spans="1:8" ht="16">
      <c r="A24" s="204" t="s">
        <v>46</v>
      </c>
      <c r="F24" s="203">
        <v>6732876</v>
      </c>
      <c r="G24" s="202" t="s">
        <v>47</v>
      </c>
      <c r="H24" s="176" t="s">
        <v>184</v>
      </c>
    </row>
    <row r="25" spans="1:8" ht="16">
      <c r="A25" s="176" t="s">
        <v>45</v>
      </c>
      <c r="F25" s="203">
        <v>46800</v>
      </c>
      <c r="G25" s="202" t="s">
        <v>47</v>
      </c>
      <c r="H25" s="176" t="s">
        <v>185</v>
      </c>
    </row>
    <row r="27" spans="1:8" ht="16">
      <c r="A27" s="176" t="s">
        <v>235</v>
      </c>
      <c r="F27" s="205">
        <f>F22*$F$15</f>
        <v>318542.28380000003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8975.7824000000001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297593.11920000002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2068.56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F27-L74</f>
        <v>292427.13915697619</v>
      </c>
      <c r="G32" s="202" t="s">
        <v>16</v>
      </c>
      <c r="H32" s="176" t="s">
        <v>186</v>
      </c>
    </row>
    <row r="33" spans="1:14" ht="16">
      <c r="A33" s="204" t="s">
        <v>59</v>
      </c>
      <c r="F33" s="205">
        <f>F28</f>
        <v>8975.7824000000001</v>
      </c>
      <c r="G33" s="202" t="s">
        <v>16</v>
      </c>
      <c r="H33" s="176" t="s">
        <v>187</v>
      </c>
    </row>
    <row r="34" spans="1:14" ht="16">
      <c r="A34" s="204" t="s">
        <v>50</v>
      </c>
      <c r="F34" s="205">
        <f>F29-L75</f>
        <v>246244.21584302385</v>
      </c>
      <c r="G34" s="202" t="s">
        <v>16</v>
      </c>
      <c r="H34" s="176" t="s">
        <v>186</v>
      </c>
    </row>
    <row r="35" spans="1:14" ht="17" customHeight="1">
      <c r="A35" s="204" t="s">
        <v>49</v>
      </c>
      <c r="F35" s="205">
        <f>F30</f>
        <v>2068.56</v>
      </c>
      <c r="G35" s="202" t="s">
        <v>16</v>
      </c>
      <c r="H35" s="176" t="s">
        <v>187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282" t="s">
        <v>182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288"/>
      <c r="E39" s="289"/>
      <c r="F39" s="288"/>
      <c r="G39" s="606" t="s">
        <v>223</v>
      </c>
      <c r="H39" s="607"/>
      <c r="I39" s="600" t="s">
        <v>23</v>
      </c>
      <c r="J39" s="601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288"/>
      <c r="E40" s="289" t="s">
        <v>71</v>
      </c>
      <c r="F40" s="288" t="s">
        <v>22</v>
      </c>
      <c r="G40" s="608"/>
      <c r="H40" s="609"/>
      <c r="I40" s="288" t="s">
        <v>224</v>
      </c>
      <c r="J40" s="288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288"/>
      <c r="E41" s="291"/>
      <c r="F41" s="292"/>
      <c r="G41" s="293"/>
      <c r="H41" s="290"/>
      <c r="I41" s="288"/>
      <c r="J41" s="288"/>
      <c r="K41" s="289"/>
      <c r="L41" s="290"/>
      <c r="M41" s="286"/>
    </row>
    <row r="42" spans="1:14" ht="15" customHeight="1">
      <c r="B42" s="281"/>
      <c r="C42" s="287"/>
      <c r="D42" s="292"/>
      <c r="E42" s="291"/>
      <c r="F42" s="292"/>
      <c r="G42" s="293"/>
      <c r="H42" s="290"/>
      <c r="I42" s="288"/>
      <c r="J42" s="288"/>
      <c r="K42" s="289"/>
      <c r="L42" s="290"/>
      <c r="M42" s="286"/>
    </row>
    <row r="43" spans="1:14" ht="14" customHeight="1">
      <c r="B43" s="281"/>
      <c r="C43" s="294"/>
      <c r="D43" s="295"/>
      <c r="E43" s="296" t="s">
        <v>73</v>
      </c>
      <c r="F43" s="297"/>
      <c r="G43" s="294" t="s">
        <v>74</v>
      </c>
      <c r="H43" s="298"/>
      <c r="I43" s="295"/>
      <c r="J43" s="295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598" t="s">
        <v>1</v>
      </c>
      <c r="H44" s="599"/>
      <c r="I44" s="598" t="s">
        <v>1</v>
      </c>
      <c r="J44" s="599"/>
      <c r="K44" s="305"/>
      <c r="L44" s="306" t="s">
        <v>16</v>
      </c>
      <c r="M44" s="286"/>
      <c r="N44" s="231"/>
    </row>
    <row r="45" spans="1:14" ht="15">
      <c r="B45" s="281"/>
      <c r="C45" s="307" t="s">
        <v>28</v>
      </c>
      <c r="D45" s="308"/>
      <c r="E45" s="309"/>
      <c r="F45" s="310"/>
      <c r="G45" s="311"/>
      <c r="H45" s="312"/>
      <c r="I45" s="313"/>
      <c r="J45" s="313"/>
      <c r="K45" s="314"/>
      <c r="L45" s="315"/>
      <c r="M45" s="286"/>
      <c r="N45" s="231"/>
    </row>
    <row r="46" spans="1:14" ht="15">
      <c r="B46" s="281"/>
      <c r="C46" s="610" t="s">
        <v>29</v>
      </c>
      <c r="D46" s="371"/>
      <c r="E46" s="316" t="s">
        <v>229</v>
      </c>
      <c r="F46" s="317" t="s">
        <v>34</v>
      </c>
      <c r="G46" s="602">
        <v>20.39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11"/>
      <c r="D47" s="321"/>
      <c r="E47" s="322"/>
      <c r="F47" s="323"/>
      <c r="G47" s="613"/>
      <c r="H47" s="324"/>
      <c r="I47" s="321"/>
      <c r="J47" s="321"/>
      <c r="K47" s="373"/>
      <c r="L47" s="324"/>
      <c r="M47" s="286"/>
      <c r="N47" s="231"/>
    </row>
    <row r="48" spans="1:14" ht="15" customHeight="1">
      <c r="B48" s="281"/>
      <c r="C48" s="612"/>
      <c r="D48" s="325"/>
      <c r="E48" s="326" t="s">
        <v>0</v>
      </c>
      <c r="F48" s="327" t="s">
        <v>34</v>
      </c>
      <c r="G48" s="603"/>
      <c r="H48" s="328">
        <f>I48/(I48+I46)*G46</f>
        <v>20.39</v>
      </c>
      <c r="I48" s="329">
        <v>163.19999999999999</v>
      </c>
      <c r="J48" s="329">
        <f>I48-H48</f>
        <v>142.81</v>
      </c>
      <c r="K48" s="374">
        <v>0.375</v>
      </c>
      <c r="L48" s="330">
        <f>J48/K48*3600/1000</f>
        <v>1370.9760000000001</v>
      </c>
      <c r="M48" s="286"/>
      <c r="N48" s="231"/>
    </row>
    <row r="49" spans="2:14">
      <c r="B49" s="281"/>
      <c r="C49" s="331"/>
      <c r="D49" s="331"/>
      <c r="E49" s="332"/>
      <c r="F49" s="333"/>
      <c r="G49" s="334"/>
      <c r="H49" s="335"/>
      <c r="I49" s="331"/>
      <c r="J49" s="331"/>
      <c r="K49" s="314"/>
      <c r="L49" s="331"/>
      <c r="M49" s="286"/>
      <c r="N49" s="231"/>
    </row>
    <row r="50" spans="2:14" ht="13" customHeight="1">
      <c r="B50" s="281"/>
      <c r="C50" s="604" t="s">
        <v>31</v>
      </c>
      <c r="D50" s="399"/>
      <c r="E50" s="316" t="s">
        <v>229</v>
      </c>
      <c r="F50" s="317" t="s">
        <v>30</v>
      </c>
      <c r="G50" s="602">
        <v>13.74</v>
      </c>
      <c r="H50" s="318">
        <f>I50/(I50+I51)*G50</f>
        <v>0</v>
      </c>
      <c r="I50" s="319">
        <v>0</v>
      </c>
      <c r="J50" s="319">
        <f>I50-H50</f>
        <v>0</v>
      </c>
      <c r="K50" s="372">
        <v>0.3</v>
      </c>
      <c r="L50" s="320">
        <f>J50/K50*3600/1000</f>
        <v>0</v>
      </c>
      <c r="M50" s="286"/>
      <c r="N50" s="231"/>
    </row>
    <row r="51" spans="2:14">
      <c r="B51" s="281"/>
      <c r="C51" s="605"/>
      <c r="D51" s="337"/>
      <c r="E51" s="326" t="s">
        <v>0</v>
      </c>
      <c r="F51" s="327" t="s">
        <v>30</v>
      </c>
      <c r="G51" s="603"/>
      <c r="H51" s="328">
        <f>I51/(I51+I50)*G50</f>
        <v>13.74</v>
      </c>
      <c r="I51" s="329">
        <v>595.29999999999995</v>
      </c>
      <c r="J51" s="329">
        <f>I51-H51</f>
        <v>581.55999999999995</v>
      </c>
      <c r="K51" s="374">
        <v>0.3</v>
      </c>
      <c r="L51" s="330">
        <f>J51/K51*3600/1000</f>
        <v>6978.72</v>
      </c>
      <c r="M51" s="286"/>
      <c r="N51" s="231"/>
    </row>
    <row r="52" spans="2:14">
      <c r="B52" s="281"/>
      <c r="C52" s="338"/>
      <c r="D52" s="331"/>
      <c r="E52" s="332"/>
      <c r="F52" s="333"/>
      <c r="G52" s="334"/>
      <c r="H52" s="339"/>
      <c r="I52" s="340"/>
      <c r="J52" s="340"/>
      <c r="K52" s="375"/>
      <c r="L52" s="341"/>
      <c r="M52" s="286"/>
      <c r="N52" s="231"/>
    </row>
    <row r="53" spans="2:14" ht="15" customHeight="1">
      <c r="B53" s="281"/>
      <c r="C53" s="369" t="s">
        <v>32</v>
      </c>
      <c r="D53" s="376"/>
      <c r="E53" s="316" t="s">
        <v>229</v>
      </c>
      <c r="F53" s="317" t="s">
        <v>30</v>
      </c>
      <c r="G53" s="602">
        <v>11.16</v>
      </c>
      <c r="H53" s="318">
        <f>I53/(I53+I55)*G53</f>
        <v>0</v>
      </c>
      <c r="I53" s="319">
        <v>0</v>
      </c>
      <c r="J53" s="319">
        <f>I53-H53</f>
        <v>0</v>
      </c>
      <c r="K53" s="372">
        <v>0.3</v>
      </c>
      <c r="L53" s="320">
        <f>J53/K53*3600/1000</f>
        <v>0</v>
      </c>
      <c r="M53" s="286"/>
      <c r="N53" s="231"/>
    </row>
    <row r="54" spans="2:14" ht="15" customHeight="1">
      <c r="B54" s="281"/>
      <c r="C54" s="342"/>
      <c r="D54" s="321"/>
      <c r="E54" s="322"/>
      <c r="F54" s="323"/>
      <c r="G54" s="613"/>
      <c r="H54" s="324"/>
      <c r="I54" s="321"/>
      <c r="J54" s="321"/>
      <c r="K54" s="373"/>
      <c r="L54" s="324"/>
      <c r="M54" s="286"/>
      <c r="N54" s="231"/>
    </row>
    <row r="55" spans="2:14" ht="15">
      <c r="B55" s="281"/>
      <c r="C55" s="343" t="s">
        <v>32</v>
      </c>
      <c r="D55" s="377"/>
      <c r="E55" s="326" t="s">
        <v>0</v>
      </c>
      <c r="F55" s="327" t="s">
        <v>30</v>
      </c>
      <c r="G55" s="603"/>
      <c r="H55" s="328">
        <f>I55/(I55+I53)*G53</f>
        <v>11.16</v>
      </c>
      <c r="I55" s="329">
        <v>416.4</v>
      </c>
      <c r="J55" s="329">
        <f>I55-H55</f>
        <v>405.23999999999995</v>
      </c>
      <c r="K55" s="374">
        <v>0.3</v>
      </c>
      <c r="L55" s="330">
        <f>J55/K55*3600/1000</f>
        <v>4862.88</v>
      </c>
      <c r="M55" s="286"/>
      <c r="N55" s="231"/>
    </row>
    <row r="56" spans="2:14">
      <c r="B56" s="281"/>
      <c r="C56" s="331"/>
      <c r="D56" s="331"/>
      <c r="E56" s="332"/>
      <c r="F56" s="333"/>
      <c r="G56" s="334"/>
      <c r="H56" s="335"/>
      <c r="I56" s="331"/>
      <c r="J56" s="331"/>
      <c r="K56" s="314"/>
      <c r="L56" s="331"/>
      <c r="M56" s="286"/>
      <c r="N56" s="231"/>
    </row>
    <row r="57" spans="2:14" ht="28" customHeight="1">
      <c r="B57" s="281"/>
      <c r="C57" s="368" t="s">
        <v>178</v>
      </c>
      <c r="D57" s="344"/>
      <c r="E57" s="316" t="s">
        <v>229</v>
      </c>
      <c r="F57" s="317" t="s">
        <v>34</v>
      </c>
      <c r="G57" s="602">
        <v>413.84</v>
      </c>
      <c r="H57" s="318">
        <f>I57/(I57+I58)*G57</f>
        <v>187.16054761904763</v>
      </c>
      <c r="I57" s="319">
        <v>2127.4</v>
      </c>
      <c r="J57" s="319">
        <f>I57-H57</f>
        <v>1940.2394523809526</v>
      </c>
      <c r="K57" s="372">
        <v>0.375</v>
      </c>
      <c r="L57" s="320">
        <f>J57/K57*3600/1000</f>
        <v>18626.298742857147</v>
      </c>
      <c r="M57" s="286"/>
      <c r="N57" s="231"/>
    </row>
    <row r="58" spans="2:14" ht="26" customHeight="1">
      <c r="B58" s="281"/>
      <c r="C58" s="343" t="s">
        <v>178</v>
      </c>
      <c r="D58" s="337"/>
      <c r="E58" s="326" t="s">
        <v>0</v>
      </c>
      <c r="F58" s="327" t="s">
        <v>34</v>
      </c>
      <c r="G58" s="603"/>
      <c r="H58" s="328">
        <f>I58/(I58+I57)*G57</f>
        <v>226.67945238095234</v>
      </c>
      <c r="I58" s="329">
        <v>2576.6</v>
      </c>
      <c r="J58" s="329">
        <f>I58-H58</f>
        <v>2349.9205476190477</v>
      </c>
      <c r="K58" s="374">
        <v>0.375</v>
      </c>
      <c r="L58" s="330">
        <f>J58/K58*3600/1000</f>
        <v>22559.23725714286</v>
      </c>
      <c r="M58" s="286"/>
      <c r="N58" s="231"/>
    </row>
    <row r="59" spans="2:14">
      <c r="B59" s="378"/>
      <c r="C59" s="379"/>
      <c r="D59" s="380"/>
      <c r="E59" s="381"/>
      <c r="F59" s="381"/>
      <c r="G59" s="382"/>
      <c r="H59" s="383"/>
      <c r="I59" s="384"/>
      <c r="J59" s="383"/>
      <c r="K59" s="385"/>
      <c r="L59" s="386"/>
      <c r="M59" s="387"/>
      <c r="N59" s="231"/>
    </row>
    <row r="60" spans="2:14">
      <c r="B60" s="378"/>
      <c r="C60" s="593" t="s">
        <v>35</v>
      </c>
      <c r="D60" s="594"/>
      <c r="E60" s="388" t="s">
        <v>229</v>
      </c>
      <c r="F60" s="389" t="s">
        <v>30</v>
      </c>
      <c r="G60" s="597">
        <v>74.5</v>
      </c>
      <c r="H60" s="390">
        <f>I60/(I60+I61)*G60</f>
        <v>0</v>
      </c>
      <c r="I60" s="391">
        <v>0</v>
      </c>
      <c r="J60" s="390">
        <f>I60-H60</f>
        <v>0</v>
      </c>
      <c r="K60" s="392">
        <v>0.6</v>
      </c>
      <c r="L60" s="393">
        <f>J60/K60*3600/1000</f>
        <v>0</v>
      </c>
      <c r="M60" s="387"/>
      <c r="N60" s="231"/>
    </row>
    <row r="61" spans="2:14">
      <c r="B61" s="378"/>
      <c r="C61" s="595"/>
      <c r="D61" s="596"/>
      <c r="E61" s="394" t="s">
        <v>0</v>
      </c>
      <c r="F61" s="395" t="s">
        <v>30</v>
      </c>
      <c r="G61" s="597"/>
      <c r="H61" s="390">
        <f>I61/(I61+I60)*G60</f>
        <v>74.5</v>
      </c>
      <c r="I61" s="391">
        <v>1010.5</v>
      </c>
      <c r="J61" s="390">
        <f>I61-H61</f>
        <v>936</v>
      </c>
      <c r="K61" s="392">
        <v>0.6</v>
      </c>
      <c r="L61" s="393">
        <f>J61/K61*3600/1000</f>
        <v>5616</v>
      </c>
      <c r="M61" s="387"/>
      <c r="N61" s="231"/>
    </row>
    <row r="62" spans="2:14">
      <c r="B62" s="378"/>
      <c r="C62" s="396"/>
      <c r="D62" s="396"/>
      <c r="E62" s="397"/>
      <c r="F62" s="381"/>
      <c r="G62" s="398"/>
      <c r="H62" s="390"/>
      <c r="I62" s="391"/>
      <c r="J62" s="390"/>
      <c r="K62" s="392"/>
      <c r="L62" s="393"/>
      <c r="M62" s="387"/>
      <c r="N62" s="231"/>
    </row>
    <row r="63" spans="2:14" ht="28" customHeight="1">
      <c r="B63" s="281"/>
      <c r="C63" s="368" t="s">
        <v>179</v>
      </c>
      <c r="D63" s="344"/>
      <c r="E63" s="316" t="s">
        <v>229</v>
      </c>
      <c r="F63" s="317" t="s">
        <v>34</v>
      </c>
      <c r="G63" s="602">
        <v>101.74</v>
      </c>
      <c r="H63" s="318">
        <f>I63/(I63+I64)*G63</f>
        <v>5.3552065970699184E-2</v>
      </c>
      <c r="I63" s="319">
        <v>0.6</v>
      </c>
      <c r="J63" s="319">
        <f>I63-H63</f>
        <v>0.54644793402930081</v>
      </c>
      <c r="K63" s="372">
        <v>0.375</v>
      </c>
      <c r="L63" s="320">
        <f>J63/K63*3600/1000</f>
        <v>5.2459001666812881</v>
      </c>
      <c r="M63" s="286"/>
      <c r="N63" s="231"/>
    </row>
    <row r="64" spans="2:14" ht="26" customHeight="1">
      <c r="B64" s="281"/>
      <c r="C64" s="343" t="s">
        <v>180</v>
      </c>
      <c r="D64" s="337"/>
      <c r="E64" s="326" t="s">
        <v>0</v>
      </c>
      <c r="F64" s="327" t="s">
        <v>34</v>
      </c>
      <c r="G64" s="603"/>
      <c r="H64" s="328">
        <f>I64/(I64+I63)*G63</f>
        <v>101.6864479340293</v>
      </c>
      <c r="I64" s="329">
        <v>1139.3</v>
      </c>
      <c r="J64" s="329">
        <f>I64-H64</f>
        <v>1037.6135520659707</v>
      </c>
      <c r="K64" s="374">
        <v>0.375</v>
      </c>
      <c r="L64" s="330">
        <f>J64/K64*3600/1000</f>
        <v>9961.0900998333182</v>
      </c>
      <c r="M64" s="286"/>
      <c r="N64" s="231"/>
    </row>
    <row r="65" spans="2:14" ht="16">
      <c r="B65" s="209"/>
      <c r="C65" s="366"/>
      <c r="D65" s="366"/>
      <c r="E65" s="235"/>
      <c r="F65" s="249"/>
      <c r="G65" s="367"/>
      <c r="H65" s="227"/>
      <c r="I65" s="228"/>
      <c r="J65" s="227"/>
      <c r="K65" s="229"/>
      <c r="L65" s="230"/>
      <c r="M65" s="210"/>
      <c r="N65" s="231"/>
    </row>
    <row r="66" spans="2:14" ht="16">
      <c r="B66" s="209"/>
      <c r="C66" s="366"/>
      <c r="D66" s="366"/>
      <c r="E66" s="235"/>
      <c r="F66" s="249"/>
      <c r="G66" s="367"/>
      <c r="H66" s="227"/>
      <c r="I66" s="228"/>
      <c r="J66" s="227"/>
      <c r="K66" s="229"/>
      <c r="L66" s="230"/>
      <c r="M66" s="210"/>
      <c r="N66" s="231"/>
    </row>
    <row r="67" spans="2:14" ht="14">
      <c r="B67" s="281"/>
      <c r="C67" s="307" t="s">
        <v>36</v>
      </c>
      <c r="D67" s="331"/>
      <c r="E67" s="332"/>
      <c r="F67" s="333"/>
      <c r="G67" s="334"/>
      <c r="H67" s="335"/>
      <c r="I67" s="331"/>
      <c r="J67" s="331"/>
      <c r="K67" s="336"/>
      <c r="L67" s="331"/>
      <c r="M67" s="286"/>
    </row>
    <row r="68" spans="2:14" ht="14">
      <c r="B68" s="281"/>
      <c r="C68" s="331"/>
      <c r="D68" s="331"/>
      <c r="E68" s="332"/>
      <c r="F68" s="333"/>
      <c r="G68" s="334"/>
      <c r="H68" s="339"/>
      <c r="I68" s="340"/>
      <c r="J68" s="340"/>
      <c r="K68" s="336"/>
      <c r="L68" s="341"/>
      <c r="M68" s="286"/>
    </row>
    <row r="69" spans="2:14" ht="14">
      <c r="B69" s="281"/>
      <c r="C69" s="345" t="s">
        <v>37</v>
      </c>
      <c r="D69" s="346"/>
      <c r="E69" s="347" t="s">
        <v>229</v>
      </c>
      <c r="F69" s="348" t="s">
        <v>38</v>
      </c>
      <c r="G69" s="345"/>
      <c r="H69" s="349">
        <v>14.6</v>
      </c>
      <c r="I69" s="350">
        <v>468.6</v>
      </c>
      <c r="J69" s="350">
        <f>I69-H69</f>
        <v>454</v>
      </c>
      <c r="K69" s="351">
        <v>0.45</v>
      </c>
      <c r="L69" s="352">
        <f>J69/K69*3600/1000</f>
        <v>3632</v>
      </c>
      <c r="M69" s="286"/>
    </row>
    <row r="70" spans="2:14" ht="14">
      <c r="B70" s="281"/>
      <c r="C70" s="353"/>
      <c r="D70" s="331"/>
      <c r="E70" s="332"/>
      <c r="F70" s="333"/>
      <c r="G70" s="334"/>
      <c r="H70" s="339"/>
      <c r="I70" s="340"/>
      <c r="J70" s="340"/>
      <c r="K70" s="336"/>
      <c r="L70" s="341"/>
      <c r="M70" s="286"/>
    </row>
    <row r="71" spans="2:14" ht="14">
      <c r="B71" s="281"/>
      <c r="C71" s="354" t="s">
        <v>39</v>
      </c>
      <c r="D71" s="346"/>
      <c r="E71" s="347" t="s">
        <v>229</v>
      </c>
      <c r="F71" s="348" t="s">
        <v>38</v>
      </c>
      <c r="G71" s="345"/>
      <c r="H71" s="349">
        <v>9.0500000000000007</v>
      </c>
      <c r="I71" s="350">
        <v>490.5</v>
      </c>
      <c r="J71" s="350">
        <f>I71-H71</f>
        <v>481.45</v>
      </c>
      <c r="K71" s="351">
        <v>0.45</v>
      </c>
      <c r="L71" s="352">
        <f>J71/K71*3600/1000</f>
        <v>3851.6</v>
      </c>
      <c r="M71" s="286"/>
    </row>
    <row r="72" spans="2:14" ht="14">
      <c r="B72" s="281"/>
      <c r="C72" s="331"/>
      <c r="D72" s="331"/>
      <c r="E72" s="355"/>
      <c r="F72" s="331"/>
      <c r="G72" s="356"/>
      <c r="H72" s="357"/>
      <c r="I72" s="331"/>
      <c r="J72" s="331"/>
      <c r="K72" s="355"/>
      <c r="L72" s="358"/>
      <c r="M72" s="286"/>
    </row>
    <row r="73" spans="2:14" ht="14">
      <c r="B73" s="281"/>
      <c r="C73" s="331"/>
      <c r="D73" s="331"/>
      <c r="E73" s="331"/>
      <c r="F73" s="331"/>
      <c r="G73" s="331"/>
      <c r="H73" s="331"/>
      <c r="I73" s="359" t="s">
        <v>40</v>
      </c>
      <c r="J73" s="360">
        <f>SUM(J46:J71)</f>
        <v>8329.380000000001</v>
      </c>
      <c r="K73" s="331"/>
      <c r="L73" s="331"/>
      <c r="M73" s="286"/>
    </row>
    <row r="74" spans="2:14" ht="14">
      <c r="B74" s="281"/>
      <c r="C74" s="331"/>
      <c r="D74" s="331"/>
      <c r="E74" s="331"/>
      <c r="F74" s="331"/>
      <c r="G74" s="361"/>
      <c r="H74" s="361"/>
      <c r="I74" s="331"/>
      <c r="J74" s="340"/>
      <c r="K74" s="362" t="s">
        <v>241</v>
      </c>
      <c r="L74" s="358">
        <f>L46+L50+L53+L57+L60+L63+L69+L71</f>
        <v>26115.144643023828</v>
      </c>
      <c r="M74" s="286"/>
    </row>
    <row r="75" spans="2:14" ht="14">
      <c r="B75" s="281"/>
      <c r="C75" s="331"/>
      <c r="D75" s="331"/>
      <c r="E75" s="331"/>
      <c r="F75" s="331"/>
      <c r="G75" s="361"/>
      <c r="H75" s="361"/>
      <c r="I75" s="331"/>
      <c r="J75" s="331"/>
      <c r="K75" s="362" t="s">
        <v>42</v>
      </c>
      <c r="L75" s="358">
        <f>L48+L51+L55+L58+L61+L64</f>
        <v>51348.903356976174</v>
      </c>
      <c r="M75" s="286"/>
    </row>
    <row r="76" spans="2:14" ht="14" thickBot="1">
      <c r="B76" s="363"/>
      <c r="C76" s="364"/>
      <c r="D76" s="364"/>
      <c r="E76" s="364"/>
      <c r="F76" s="364"/>
      <c r="G76" s="364"/>
      <c r="H76" s="364"/>
      <c r="I76" s="364"/>
      <c r="J76" s="364"/>
      <c r="K76" s="364"/>
      <c r="L76" s="364"/>
      <c r="M76" s="365"/>
    </row>
    <row r="78" spans="2:14">
      <c r="B78" s="5" t="s">
        <v>181</v>
      </c>
    </row>
  </sheetData>
  <mergeCells count="13">
    <mergeCell ref="G39:H40"/>
    <mergeCell ref="I39:J39"/>
    <mergeCell ref="G44:H44"/>
    <mergeCell ref="I44:J44"/>
    <mergeCell ref="C46:C48"/>
    <mergeCell ref="G46:G48"/>
    <mergeCell ref="G63:G64"/>
    <mergeCell ref="C50:C51"/>
    <mergeCell ref="G50:G51"/>
    <mergeCell ref="G53:G55"/>
    <mergeCell ref="G57:G58"/>
    <mergeCell ref="C60:D61"/>
    <mergeCell ref="G60:G61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3"/>
  <sheetViews>
    <sheetView topLeftCell="F1" workbookViewId="0">
      <selection activeCell="O8" sqref="O8"/>
    </sheetView>
  </sheetViews>
  <sheetFormatPr baseColWidth="10" defaultColWidth="8.83203125" defaultRowHeight="13"/>
  <cols>
    <col min="1" max="1" width="10.6640625" style="5" customWidth="1"/>
    <col min="2" max="2" width="24.5" style="5" bestFit="1" customWidth="1"/>
    <col min="3" max="3" width="12" style="5" customWidth="1"/>
    <col min="4" max="4" width="55.83203125" style="8" customWidth="1"/>
    <col min="5" max="5" width="20.1640625" style="9" customWidth="1"/>
    <col min="6" max="6" width="8" style="5" bestFit="1" customWidth="1"/>
    <col min="7" max="7" width="12.33203125" style="5" bestFit="1" customWidth="1"/>
    <col min="8" max="8" width="9.6640625" style="5" bestFit="1" customWidth="1"/>
    <col min="9" max="9" width="11" style="5" bestFit="1" customWidth="1"/>
    <col min="10" max="10" width="13.83203125" style="5" customWidth="1"/>
    <col min="11" max="11" width="11" style="5" customWidth="1"/>
    <col min="12" max="12" width="8.1640625" style="5" customWidth="1"/>
    <col min="13" max="13" width="15.83203125" style="5" customWidth="1"/>
    <col min="14" max="14" width="19.6640625" style="5" customWidth="1"/>
    <col min="15" max="15" width="13.5" style="5" bestFit="1" customWidth="1"/>
    <col min="16" max="16" width="10.6640625" style="5" bestFit="1" customWidth="1"/>
    <col min="17" max="17" width="25.83203125" style="5" bestFit="1" customWidth="1"/>
    <col min="18" max="18" width="8.5" style="5" bestFit="1" customWidth="1"/>
    <col min="19" max="19" width="9.6640625" style="5" bestFit="1" customWidth="1"/>
    <col min="20" max="20" width="6.5" style="5" bestFit="1" customWidth="1"/>
    <col min="21" max="21" width="6" style="5" bestFit="1" customWidth="1"/>
    <col min="22" max="22" width="8.33203125" style="5" bestFit="1" customWidth="1"/>
    <col min="23" max="23" width="10.1640625" style="5" customWidth="1"/>
    <col min="24" max="24" width="8.1640625" style="5" bestFit="1" customWidth="1"/>
    <col min="25" max="25" width="10" style="5" bestFit="1" customWidth="1"/>
    <col min="26" max="16384" width="8.83203125" style="5"/>
  </cols>
  <sheetData>
    <row r="1" spans="1:26" ht="56">
      <c r="A1" s="1" t="s">
        <v>73</v>
      </c>
      <c r="B1" s="1" t="s">
        <v>84</v>
      </c>
      <c r="C1" s="2" t="s">
        <v>148</v>
      </c>
      <c r="D1" s="2" t="s">
        <v>149</v>
      </c>
      <c r="E1" s="1" t="s">
        <v>22</v>
      </c>
      <c r="F1" s="3" t="s">
        <v>133</v>
      </c>
      <c r="G1" s="3" t="s">
        <v>134</v>
      </c>
      <c r="H1" s="3" t="s">
        <v>147</v>
      </c>
      <c r="I1" s="4" t="s">
        <v>150</v>
      </c>
      <c r="J1" s="3" t="s">
        <v>217</v>
      </c>
      <c r="O1" s="6"/>
    </row>
    <row r="2" spans="1:26" ht="14" thickBot="1">
      <c r="A2" s="7"/>
      <c r="H2" s="10"/>
      <c r="I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>
      <c r="A3" s="13" t="s">
        <v>131</v>
      </c>
      <c r="B3" s="14" t="s">
        <v>191</v>
      </c>
      <c r="C3" s="15" t="s">
        <v>226</v>
      </c>
      <c r="D3" s="16" t="s">
        <v>242</v>
      </c>
      <c r="E3" s="17" t="s">
        <v>195</v>
      </c>
      <c r="F3" s="14">
        <v>96</v>
      </c>
      <c r="G3" s="18">
        <v>202010</v>
      </c>
      <c r="H3" s="19" t="s">
        <v>196</v>
      </c>
      <c r="I3" s="20" t="s">
        <v>128</v>
      </c>
      <c r="J3" s="21">
        <f>G3/$G$64</f>
        <v>2.4862365312957376E-3</v>
      </c>
      <c r="L3" s="22"/>
      <c r="M3" s="23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>
      <c r="A4" s="26" t="s">
        <v>131</v>
      </c>
      <c r="B4" s="27" t="s">
        <v>192</v>
      </c>
      <c r="C4" s="28" t="s">
        <v>226</v>
      </c>
      <c r="D4" s="32" t="s">
        <v>196</v>
      </c>
      <c r="E4" s="30" t="s">
        <v>195</v>
      </c>
      <c r="F4" s="27">
        <v>121</v>
      </c>
      <c r="G4" s="31">
        <v>75270</v>
      </c>
      <c r="H4" s="32" t="s">
        <v>196</v>
      </c>
      <c r="I4" s="33" t="s">
        <v>128</v>
      </c>
      <c r="J4" s="21">
        <f>G4/$G$64</f>
        <v>9.2638494980758462E-4</v>
      </c>
      <c r="L4" s="22"/>
      <c r="M4" s="23"/>
      <c r="N4" s="23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>
      <c r="A5" s="26" t="s">
        <v>131</v>
      </c>
      <c r="B5" s="27" t="s">
        <v>190</v>
      </c>
      <c r="C5" s="28" t="s">
        <v>227</v>
      </c>
      <c r="D5" s="32" t="s">
        <v>196</v>
      </c>
      <c r="E5" s="30" t="s">
        <v>195</v>
      </c>
      <c r="F5" s="27">
        <v>72</v>
      </c>
      <c r="G5" s="31">
        <v>296650</v>
      </c>
      <c r="H5" s="32" t="s">
        <v>196</v>
      </c>
      <c r="I5" s="33" t="s">
        <v>128</v>
      </c>
      <c r="J5" s="21">
        <f>G5/$G$64</f>
        <v>3.651017608083167E-3</v>
      </c>
      <c r="L5" s="22"/>
      <c r="M5" s="23"/>
      <c r="N5" s="23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" thickBot="1">
      <c r="A6" s="34" t="s">
        <v>132</v>
      </c>
      <c r="B6" s="27" t="s">
        <v>193</v>
      </c>
      <c r="C6" s="28">
        <v>40556</v>
      </c>
      <c r="D6" s="29" t="s">
        <v>201</v>
      </c>
      <c r="E6" s="30"/>
      <c r="F6" s="27">
        <v>200</v>
      </c>
      <c r="G6" s="31">
        <v>1468210</v>
      </c>
      <c r="H6" s="32" t="s">
        <v>196</v>
      </c>
      <c r="I6" s="33" t="s">
        <v>128</v>
      </c>
      <c r="J6" s="21">
        <f>G6/$G$64</f>
        <v>1.8069983355347336E-2</v>
      </c>
      <c r="L6" s="22"/>
      <c r="M6" s="23"/>
      <c r="N6" s="23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2" customHeight="1" thickTop="1">
      <c r="A7" s="34" t="s">
        <v>132</v>
      </c>
      <c r="B7" s="27" t="s">
        <v>153</v>
      </c>
      <c r="C7" s="28">
        <v>40710</v>
      </c>
      <c r="D7" s="35" t="s">
        <v>200</v>
      </c>
      <c r="E7" s="30" t="s">
        <v>158</v>
      </c>
      <c r="F7" s="27">
        <v>207</v>
      </c>
      <c r="G7" s="36"/>
      <c r="H7" s="37" t="s">
        <v>141</v>
      </c>
      <c r="I7" s="38" t="s">
        <v>86</v>
      </c>
      <c r="J7" s="39"/>
      <c r="L7" s="12"/>
      <c r="M7" s="40" t="s">
        <v>215</v>
      </c>
      <c r="N7" s="41"/>
      <c r="O7" s="42">
        <f>G64</f>
        <v>81251320</v>
      </c>
      <c r="P7" s="41"/>
      <c r="Q7" s="41"/>
      <c r="R7" s="41"/>
      <c r="S7" s="43"/>
      <c r="T7" s="12"/>
      <c r="U7" s="12"/>
      <c r="V7" s="12"/>
      <c r="W7" s="12"/>
      <c r="Z7" s="12"/>
    </row>
    <row r="8" spans="1:26">
      <c r="A8" s="34" t="s">
        <v>132</v>
      </c>
      <c r="B8" s="27" t="s">
        <v>152</v>
      </c>
      <c r="C8" s="28">
        <v>40679</v>
      </c>
      <c r="D8" s="29" t="s">
        <v>137</v>
      </c>
      <c r="E8" s="30" t="s">
        <v>158</v>
      </c>
      <c r="F8" s="27">
        <v>185</v>
      </c>
      <c r="G8" s="36">
        <v>1381300</v>
      </c>
      <c r="H8" s="32" t="s">
        <v>196</v>
      </c>
      <c r="I8" s="33" t="s">
        <v>128</v>
      </c>
      <c r="J8" s="44">
        <f>G8/$G$64</f>
        <v>1.7000339194489393E-2</v>
      </c>
      <c r="L8" s="45"/>
      <c r="M8" s="46" t="s">
        <v>146</v>
      </c>
      <c r="N8" s="47"/>
      <c r="O8" s="6">
        <f>W81*1000</f>
        <v>19574472.751584288</v>
      </c>
      <c r="P8" s="48" t="s">
        <v>13</v>
      </c>
      <c r="Q8" s="49"/>
      <c r="R8" s="12"/>
      <c r="S8" s="50"/>
      <c r="T8" s="49"/>
      <c r="U8" s="49"/>
      <c r="V8" s="27"/>
      <c r="W8" s="12"/>
    </row>
    <row r="9" spans="1:26">
      <c r="A9" s="34" t="s">
        <v>151</v>
      </c>
      <c r="B9" s="27" t="s">
        <v>204</v>
      </c>
      <c r="C9" s="51">
        <v>40655</v>
      </c>
      <c r="D9" s="29" t="s">
        <v>137</v>
      </c>
      <c r="E9" s="30" t="s">
        <v>38</v>
      </c>
      <c r="F9" s="27">
        <v>225</v>
      </c>
      <c r="G9" s="52">
        <v>820000</v>
      </c>
      <c r="H9" s="32" t="s">
        <v>196</v>
      </c>
      <c r="I9" s="33" t="s">
        <v>128</v>
      </c>
      <c r="J9" s="21">
        <f>G9/$G$64</f>
        <v>1.0092143733787955E-2</v>
      </c>
      <c r="L9" s="45"/>
      <c r="M9" s="46"/>
      <c r="N9" s="47"/>
      <c r="O9" s="6"/>
      <c r="P9" s="48"/>
      <c r="Q9" s="49"/>
      <c r="R9" s="12"/>
      <c r="S9" s="50"/>
      <c r="T9" s="49"/>
      <c r="U9" s="49"/>
      <c r="V9" s="27"/>
      <c r="W9" s="12"/>
    </row>
    <row r="10" spans="1:26">
      <c r="A10" s="53" t="s">
        <v>89</v>
      </c>
      <c r="B10" s="27" t="s">
        <v>155</v>
      </c>
      <c r="C10" s="51">
        <v>40570</v>
      </c>
      <c r="D10" s="29" t="s">
        <v>140</v>
      </c>
      <c r="E10" s="30" t="s">
        <v>126</v>
      </c>
      <c r="F10" s="27">
        <v>325</v>
      </c>
      <c r="G10" s="31">
        <v>1652000</v>
      </c>
      <c r="H10" s="32" t="s">
        <v>196</v>
      </c>
      <c r="I10" s="33" t="s">
        <v>128</v>
      </c>
      <c r="J10" s="44">
        <f>G10/$G$64</f>
        <v>2.0331977375875249E-2</v>
      </c>
      <c r="L10" s="45"/>
      <c r="M10" s="46"/>
      <c r="N10" s="47"/>
      <c r="O10" s="6"/>
      <c r="P10" s="48"/>
      <c r="Q10" s="49"/>
      <c r="R10" s="12"/>
      <c r="S10" s="50"/>
      <c r="T10" s="49"/>
      <c r="U10" s="49"/>
      <c r="V10" s="27"/>
      <c r="W10" s="12"/>
    </row>
    <row r="11" spans="1:26">
      <c r="A11" s="34" t="s">
        <v>132</v>
      </c>
      <c r="B11" s="27" t="s">
        <v>197</v>
      </c>
      <c r="C11" s="28">
        <v>40455</v>
      </c>
      <c r="D11" s="29" t="s">
        <v>137</v>
      </c>
      <c r="E11" s="30" t="s">
        <v>158</v>
      </c>
      <c r="F11" s="27">
        <v>212</v>
      </c>
      <c r="G11" s="36"/>
      <c r="H11" s="37" t="s">
        <v>141</v>
      </c>
      <c r="I11" s="38" t="s">
        <v>86</v>
      </c>
      <c r="J11" s="21"/>
      <c r="L11" s="45"/>
      <c r="M11" s="54"/>
      <c r="N11" s="12"/>
      <c r="O11" s="12"/>
      <c r="P11" s="12"/>
      <c r="Q11" s="49"/>
      <c r="R11" s="12"/>
      <c r="S11" s="50"/>
      <c r="T11" s="49"/>
      <c r="U11" s="49"/>
      <c r="V11" s="55"/>
      <c r="W11" s="12"/>
    </row>
    <row r="12" spans="1:26">
      <c r="A12" s="34" t="s">
        <v>132</v>
      </c>
      <c r="B12" s="27" t="s">
        <v>198</v>
      </c>
      <c r="C12" s="28">
        <v>40380</v>
      </c>
      <c r="D12" s="29" t="s">
        <v>137</v>
      </c>
      <c r="E12" s="30" t="s">
        <v>157</v>
      </c>
      <c r="F12" s="27">
        <v>200</v>
      </c>
      <c r="G12" s="31">
        <v>1250250</v>
      </c>
      <c r="H12" s="32" t="s">
        <v>196</v>
      </c>
      <c r="I12" s="33" t="s">
        <v>128</v>
      </c>
      <c r="J12" s="21">
        <f t="shared" ref="J12:J17" si="0">G12/$G$64</f>
        <v>1.5387442320937063E-2</v>
      </c>
      <c r="L12" s="12"/>
      <c r="M12" s="46" t="s">
        <v>228</v>
      </c>
      <c r="N12" s="47"/>
      <c r="O12" s="56">
        <f>Y82*O16</f>
        <v>3745599.9060869562</v>
      </c>
      <c r="P12" s="48" t="s">
        <v>9</v>
      </c>
      <c r="Q12" s="49"/>
      <c r="R12" s="12"/>
      <c r="S12" s="50"/>
      <c r="T12" s="49"/>
      <c r="U12" s="49"/>
      <c r="V12" s="27"/>
      <c r="W12" s="12"/>
    </row>
    <row r="13" spans="1:26">
      <c r="A13" s="34" t="s">
        <v>132</v>
      </c>
      <c r="B13" s="27" t="s">
        <v>206</v>
      </c>
      <c r="C13" s="28">
        <v>40338</v>
      </c>
      <c r="D13" s="29" t="s">
        <v>137</v>
      </c>
      <c r="E13" s="30" t="s">
        <v>158</v>
      </c>
      <c r="F13" s="27">
        <v>200</v>
      </c>
      <c r="G13" s="36">
        <v>1309910</v>
      </c>
      <c r="H13" s="32" t="s">
        <v>196</v>
      </c>
      <c r="I13" s="33" t="s">
        <v>128</v>
      </c>
      <c r="J13" s="21">
        <f t="shared" si="0"/>
        <v>1.6121707315031927E-2</v>
      </c>
      <c r="L13" s="12"/>
      <c r="M13" s="46" t="s">
        <v>88</v>
      </c>
      <c r="N13" s="47"/>
      <c r="O13" s="6">
        <f>Y83*O17</f>
        <v>1355539.7700000003</v>
      </c>
      <c r="P13" s="48" t="s">
        <v>9</v>
      </c>
      <c r="Q13" s="49"/>
      <c r="R13" s="12"/>
      <c r="S13" s="50"/>
      <c r="T13" s="49"/>
      <c r="U13" s="49"/>
      <c r="V13" s="27"/>
      <c r="W13" s="12"/>
    </row>
    <row r="14" spans="1:26">
      <c r="A14" s="34" t="s">
        <v>132</v>
      </c>
      <c r="B14" s="27" t="s">
        <v>75</v>
      </c>
      <c r="C14" s="28">
        <v>40322</v>
      </c>
      <c r="D14" s="29" t="s">
        <v>137</v>
      </c>
      <c r="E14" s="30" t="s">
        <v>159</v>
      </c>
      <c r="F14" s="27">
        <v>213</v>
      </c>
      <c r="G14" s="31">
        <v>573450</v>
      </c>
      <c r="H14" s="32" t="s">
        <v>196</v>
      </c>
      <c r="I14" s="33" t="s">
        <v>128</v>
      </c>
      <c r="J14" s="21">
        <f t="shared" si="0"/>
        <v>7.0577314928545161E-3</v>
      </c>
      <c r="L14" s="12"/>
      <c r="M14" s="46" t="s">
        <v>216</v>
      </c>
      <c r="N14" s="12"/>
      <c r="O14" s="6">
        <f>Y84*O18</f>
        <v>130623.18260869561</v>
      </c>
      <c r="P14" s="48" t="s">
        <v>9</v>
      </c>
      <c r="Q14" s="12"/>
      <c r="R14" s="12"/>
      <c r="S14" s="57"/>
      <c r="T14" s="49"/>
      <c r="U14" s="49"/>
      <c r="V14" s="27"/>
      <c r="W14" s="12"/>
    </row>
    <row r="15" spans="1:26">
      <c r="A15" s="34" t="s">
        <v>132</v>
      </c>
      <c r="B15" s="27" t="s">
        <v>76</v>
      </c>
      <c r="C15" s="28">
        <v>40295</v>
      </c>
      <c r="D15" s="29" t="s">
        <v>137</v>
      </c>
      <c r="E15" s="30" t="s">
        <v>158</v>
      </c>
      <c r="F15" s="27">
        <v>229</v>
      </c>
      <c r="G15" s="36">
        <v>742450</v>
      </c>
      <c r="H15" s="32" t="s">
        <v>196</v>
      </c>
      <c r="I15" s="33" t="s">
        <v>128</v>
      </c>
      <c r="J15" s="44">
        <f t="shared" si="0"/>
        <v>9.137697701403498E-3</v>
      </c>
      <c r="L15" s="12"/>
      <c r="M15" s="46"/>
      <c r="S15" s="57"/>
      <c r="T15" s="49"/>
      <c r="U15" s="49"/>
      <c r="V15" s="27"/>
      <c r="W15" s="12"/>
    </row>
    <row r="16" spans="1:26" ht="12.75" customHeight="1">
      <c r="A16" s="34" t="s">
        <v>132</v>
      </c>
      <c r="B16" s="27" t="s">
        <v>77</v>
      </c>
      <c r="C16" s="28">
        <v>40264</v>
      </c>
      <c r="D16" s="29" t="s">
        <v>137</v>
      </c>
      <c r="E16" s="30" t="s">
        <v>158</v>
      </c>
      <c r="F16" s="27">
        <v>221</v>
      </c>
      <c r="G16" s="31">
        <v>1693410</v>
      </c>
      <c r="H16" s="32" t="s">
        <v>196</v>
      </c>
      <c r="I16" s="33" t="s">
        <v>128</v>
      </c>
      <c r="J16" s="21">
        <f t="shared" si="0"/>
        <v>2.0841630634431538E-2</v>
      </c>
      <c r="L16" s="12"/>
      <c r="M16" s="46" t="s">
        <v>232</v>
      </c>
      <c r="N16" s="47"/>
      <c r="O16" s="58">
        <v>75.5</v>
      </c>
      <c r="P16" s="48" t="s">
        <v>4</v>
      </c>
      <c r="Q16" s="48" t="s">
        <v>5</v>
      </c>
      <c r="R16" s="12"/>
      <c r="S16" s="57"/>
      <c r="T16" s="47"/>
      <c r="U16" s="49"/>
      <c r="V16" s="27"/>
      <c r="W16" s="12"/>
    </row>
    <row r="17" spans="1:26">
      <c r="A17" s="34" t="s">
        <v>132</v>
      </c>
      <c r="B17" s="27" t="s">
        <v>78</v>
      </c>
      <c r="C17" s="28">
        <v>40165</v>
      </c>
      <c r="D17" s="59" t="s">
        <v>137</v>
      </c>
      <c r="E17" s="30" t="s">
        <v>158</v>
      </c>
      <c r="F17" s="27">
        <v>225</v>
      </c>
      <c r="G17" s="31">
        <v>1383020</v>
      </c>
      <c r="H17" s="32" t="s">
        <v>196</v>
      </c>
      <c r="I17" s="33" t="s">
        <v>128</v>
      </c>
      <c r="J17" s="44">
        <f t="shared" si="0"/>
        <v>1.7021508081345633E-2</v>
      </c>
      <c r="L17" s="12"/>
      <c r="M17" s="46" t="s">
        <v>3</v>
      </c>
      <c r="N17" s="47"/>
      <c r="O17" s="58">
        <v>54.3</v>
      </c>
      <c r="P17" s="48" t="s">
        <v>4</v>
      </c>
      <c r="Q17" s="48" t="s">
        <v>5</v>
      </c>
      <c r="R17" s="12"/>
      <c r="S17" s="60"/>
      <c r="T17" s="12"/>
      <c r="U17" s="49"/>
      <c r="V17" s="27"/>
      <c r="W17" s="12"/>
    </row>
    <row r="18" spans="1:26">
      <c r="A18" s="34" t="s">
        <v>132</v>
      </c>
      <c r="B18" s="27" t="s">
        <v>79</v>
      </c>
      <c r="C18" s="28">
        <v>39889</v>
      </c>
      <c r="D18" s="29" t="s">
        <v>137</v>
      </c>
      <c r="E18" s="30" t="s">
        <v>135</v>
      </c>
      <c r="F18" s="27">
        <v>165</v>
      </c>
      <c r="G18" s="36"/>
      <c r="H18" s="37" t="s">
        <v>141</v>
      </c>
      <c r="I18" s="38" t="s">
        <v>86</v>
      </c>
      <c r="J18" s="21"/>
      <c r="L18" s="12"/>
      <c r="M18" s="46" t="s">
        <v>214</v>
      </c>
      <c r="O18" s="5">
        <v>72.599999999999994</v>
      </c>
      <c r="P18" s="48" t="s">
        <v>4</v>
      </c>
      <c r="Q18" s="48" t="s">
        <v>5</v>
      </c>
      <c r="R18" s="12"/>
      <c r="S18" s="60"/>
      <c r="T18" s="47"/>
      <c r="U18" s="12"/>
      <c r="V18" s="27"/>
      <c r="W18" s="12"/>
    </row>
    <row r="19" spans="1:26">
      <c r="A19" s="26" t="s">
        <v>131</v>
      </c>
      <c r="B19" s="27" t="s">
        <v>80</v>
      </c>
      <c r="C19" s="28">
        <v>37803</v>
      </c>
      <c r="D19" s="29" t="s">
        <v>136</v>
      </c>
      <c r="E19" s="30" t="s">
        <v>131</v>
      </c>
      <c r="F19" s="27">
        <v>1450</v>
      </c>
      <c r="G19" s="31">
        <v>7164660</v>
      </c>
      <c r="H19" s="32" t="s">
        <v>196</v>
      </c>
      <c r="I19" s="33" t="s">
        <v>128</v>
      </c>
      <c r="J19" s="21">
        <f>G19/$G$64</f>
        <v>8.8178998199660019E-2</v>
      </c>
      <c r="K19" s="61">
        <f>SUM(J3:J19)</f>
        <v>0.24630479849435064</v>
      </c>
      <c r="L19" s="12"/>
      <c r="M19" s="54"/>
      <c r="N19" s="12"/>
      <c r="O19" s="12"/>
      <c r="P19" s="12"/>
      <c r="Q19" s="12"/>
      <c r="R19" s="12"/>
      <c r="S19" s="60"/>
      <c r="T19" s="47"/>
      <c r="U19" s="49"/>
      <c r="V19" s="27"/>
      <c r="W19" s="12"/>
    </row>
    <row r="20" spans="1:26" ht="21" thickBot="1">
      <c r="A20" s="34" t="s">
        <v>132</v>
      </c>
      <c r="B20" s="27" t="s">
        <v>81</v>
      </c>
      <c r="C20" s="28">
        <v>37144</v>
      </c>
      <c r="D20" s="29" t="s">
        <v>137</v>
      </c>
      <c r="E20" s="30" t="s">
        <v>158</v>
      </c>
      <c r="F20" s="27">
        <v>235</v>
      </c>
      <c r="G20" s="31">
        <v>891810</v>
      </c>
      <c r="H20" s="32" t="s">
        <v>196</v>
      </c>
      <c r="I20" s="33" t="s">
        <v>128</v>
      </c>
      <c r="J20" s="62"/>
      <c r="L20" s="12"/>
      <c r="M20" s="63" t="s">
        <v>212</v>
      </c>
      <c r="N20" s="64"/>
      <c r="O20" s="65">
        <f>(O12+O13+O14)/O8</f>
        <v>0.26727477797695531</v>
      </c>
      <c r="P20" s="66" t="s">
        <v>10</v>
      </c>
      <c r="Q20" s="67"/>
      <c r="R20" s="68"/>
      <c r="S20" s="69"/>
      <c r="T20" s="12"/>
      <c r="U20" s="12"/>
      <c r="V20" s="27"/>
      <c r="W20" s="12"/>
    </row>
    <row r="21" spans="1:26" ht="14" thickTop="1">
      <c r="A21" s="34" t="s">
        <v>132</v>
      </c>
      <c r="B21" s="27" t="s">
        <v>82</v>
      </c>
      <c r="C21" s="28">
        <v>37048</v>
      </c>
      <c r="D21" s="29" t="s">
        <v>137</v>
      </c>
      <c r="E21" s="30" t="s">
        <v>38</v>
      </c>
      <c r="F21" s="27">
        <v>31</v>
      </c>
      <c r="G21" s="36"/>
      <c r="H21" s="37" t="s">
        <v>141</v>
      </c>
      <c r="I21" s="38" t="s">
        <v>86</v>
      </c>
      <c r="J21" s="62"/>
      <c r="L21" s="12"/>
      <c r="M21" s="12"/>
      <c r="N21" s="12"/>
      <c r="O21" s="12"/>
      <c r="P21" s="12"/>
      <c r="Q21" s="12"/>
      <c r="R21" s="12"/>
      <c r="S21" s="12"/>
      <c r="T21" s="47"/>
      <c r="U21" s="49"/>
      <c r="V21" s="27"/>
      <c r="W21" s="12"/>
    </row>
    <row r="22" spans="1:26">
      <c r="A22" s="26" t="s">
        <v>131</v>
      </c>
      <c r="B22" s="27" t="s">
        <v>83</v>
      </c>
      <c r="C22" s="28">
        <v>37043</v>
      </c>
      <c r="D22" s="29" t="s">
        <v>136</v>
      </c>
      <c r="E22" s="30" t="s">
        <v>131</v>
      </c>
      <c r="F22" s="27">
        <v>184</v>
      </c>
      <c r="G22" s="31">
        <v>1122110</v>
      </c>
      <c r="H22" s="32" t="s">
        <v>196</v>
      </c>
      <c r="I22" s="33" t="s">
        <v>128</v>
      </c>
      <c r="J22" s="62"/>
      <c r="L22" s="12"/>
      <c r="M22" s="12"/>
      <c r="N22" s="12"/>
      <c r="O22" s="12"/>
      <c r="P22" s="12"/>
      <c r="Q22" s="48"/>
      <c r="R22" s="12"/>
      <c r="S22" s="48"/>
      <c r="T22" s="47"/>
      <c r="U22" s="49"/>
      <c r="V22" s="27"/>
      <c r="W22" s="12"/>
    </row>
    <row r="23" spans="1:26">
      <c r="A23" s="34" t="s">
        <v>132</v>
      </c>
      <c r="B23" s="27" t="s">
        <v>90</v>
      </c>
      <c r="C23" s="28">
        <v>36817</v>
      </c>
      <c r="D23" s="29" t="s">
        <v>137</v>
      </c>
      <c r="E23" s="30" t="s">
        <v>158</v>
      </c>
      <c r="F23" s="27">
        <v>586</v>
      </c>
      <c r="G23" s="31">
        <v>3795840</v>
      </c>
      <c r="H23" s="32" t="s">
        <v>196</v>
      </c>
      <c r="I23" s="33" t="s">
        <v>128</v>
      </c>
      <c r="J23" s="62"/>
      <c r="L23" s="12"/>
      <c r="M23" s="70"/>
      <c r="N23" s="71"/>
      <c r="O23" s="72"/>
      <c r="P23" s="70"/>
      <c r="Q23" s="48"/>
      <c r="R23" s="12"/>
      <c r="S23" s="48"/>
      <c r="T23" s="47"/>
      <c r="U23" s="49"/>
      <c r="V23" s="27"/>
      <c r="W23" s="12"/>
    </row>
    <row r="24" spans="1:26">
      <c r="A24" s="53" t="s">
        <v>89</v>
      </c>
      <c r="B24" s="27" t="s">
        <v>154</v>
      </c>
      <c r="C24" s="28">
        <v>36683</v>
      </c>
      <c r="D24" s="29" t="s">
        <v>140</v>
      </c>
      <c r="E24" s="30" t="s">
        <v>126</v>
      </c>
      <c r="F24" s="27">
        <v>325</v>
      </c>
      <c r="G24" s="31">
        <v>2295000</v>
      </c>
      <c r="H24" s="32" t="s">
        <v>196</v>
      </c>
      <c r="I24" s="33" t="s">
        <v>128</v>
      </c>
      <c r="J24" s="62"/>
      <c r="L24" s="12"/>
      <c r="M24" s="48"/>
      <c r="N24" s="47"/>
      <c r="O24" s="12"/>
      <c r="P24" s="47"/>
      <c r="Q24" s="73"/>
      <c r="R24" s="48"/>
      <c r="S24" s="47"/>
      <c r="T24" s="47"/>
      <c r="U24" s="49"/>
      <c r="V24" s="27"/>
    </row>
    <row r="25" spans="1:26">
      <c r="A25" s="34" t="s">
        <v>132</v>
      </c>
      <c r="B25" s="27" t="s">
        <v>91</v>
      </c>
      <c r="C25" s="28">
        <v>36599</v>
      </c>
      <c r="D25" s="29" t="s">
        <v>137</v>
      </c>
      <c r="E25" s="30" t="s">
        <v>38</v>
      </c>
      <c r="F25" s="27">
        <v>135</v>
      </c>
      <c r="G25" s="31">
        <v>106410</v>
      </c>
      <c r="H25" s="32" t="s">
        <v>196</v>
      </c>
      <c r="I25" s="33" t="s">
        <v>128</v>
      </c>
      <c r="J25" s="62"/>
      <c r="L25" s="12"/>
      <c r="M25" s="48"/>
      <c r="N25" s="47"/>
      <c r="O25" s="12"/>
      <c r="P25" s="47"/>
      <c r="Q25" s="73"/>
      <c r="R25" s="48"/>
      <c r="S25" s="48"/>
      <c r="T25" s="47"/>
      <c r="U25" s="49"/>
      <c r="V25" s="27"/>
    </row>
    <row r="26" spans="1:26" ht="14">
      <c r="A26" s="34" t="s">
        <v>132</v>
      </c>
      <c r="B26" s="27" t="s">
        <v>92</v>
      </c>
      <c r="C26" s="28">
        <v>36525</v>
      </c>
      <c r="D26" s="29" t="s">
        <v>137</v>
      </c>
      <c r="E26" s="30"/>
      <c r="F26" s="27">
        <v>134</v>
      </c>
      <c r="G26" s="31">
        <v>90630</v>
      </c>
      <c r="H26" s="32" t="s">
        <v>196</v>
      </c>
      <c r="I26" s="33" t="s">
        <v>128</v>
      </c>
      <c r="J26" s="62"/>
      <c r="P26" s="22"/>
      <c r="Q26" s="74"/>
      <c r="R26" s="22"/>
      <c r="S26" s="22"/>
      <c r="T26" s="22"/>
      <c r="U26" s="75"/>
      <c r="V26" s="22"/>
    </row>
    <row r="27" spans="1:26">
      <c r="A27" s="34" t="s">
        <v>132</v>
      </c>
      <c r="B27" s="27" t="s">
        <v>93</v>
      </c>
      <c r="C27" s="28">
        <v>36505</v>
      </c>
      <c r="D27" s="29" t="s">
        <v>137</v>
      </c>
      <c r="E27" s="30"/>
      <c r="F27" s="27">
        <v>450</v>
      </c>
      <c r="G27" s="31">
        <v>2581040</v>
      </c>
      <c r="H27" s="32" t="s">
        <v>196</v>
      </c>
      <c r="I27" s="33" t="s">
        <v>128</v>
      </c>
      <c r="J27" s="62"/>
      <c r="U27" s="22"/>
      <c r="V27" s="22"/>
    </row>
    <row r="28" spans="1:26">
      <c r="A28" s="34" t="s">
        <v>132</v>
      </c>
      <c r="B28" s="27" t="s">
        <v>94</v>
      </c>
      <c r="C28" s="28">
        <v>36454</v>
      </c>
      <c r="D28" s="29" t="s">
        <v>137</v>
      </c>
      <c r="E28" s="30"/>
      <c r="F28" s="27">
        <v>157</v>
      </c>
      <c r="G28" s="31">
        <v>1139280</v>
      </c>
      <c r="H28" s="32" t="s">
        <v>196</v>
      </c>
      <c r="I28" s="33" t="s">
        <v>128</v>
      </c>
      <c r="J28" s="62"/>
      <c r="U28" s="22"/>
      <c r="V28" s="22"/>
    </row>
    <row r="29" spans="1:26">
      <c r="A29" s="34" t="s">
        <v>132</v>
      </c>
      <c r="B29" s="27" t="s">
        <v>95</v>
      </c>
      <c r="C29" s="28">
        <v>36414</v>
      </c>
      <c r="D29" s="29" t="s">
        <v>137</v>
      </c>
      <c r="E29" s="30"/>
      <c r="F29" s="27">
        <v>129</v>
      </c>
      <c r="G29" s="31">
        <v>674270</v>
      </c>
      <c r="H29" s="32" t="s">
        <v>196</v>
      </c>
      <c r="I29" s="33" t="s">
        <v>128</v>
      </c>
      <c r="J29" s="62"/>
      <c r="O29" s="76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8"/>
    </row>
    <row r="30" spans="1:26">
      <c r="A30" s="34" t="s">
        <v>132</v>
      </c>
      <c r="B30" s="27" t="s">
        <v>96</v>
      </c>
      <c r="C30" s="28">
        <v>36353</v>
      </c>
      <c r="D30" s="29" t="s">
        <v>137</v>
      </c>
      <c r="E30" s="30"/>
      <c r="F30" s="27">
        <v>135</v>
      </c>
      <c r="G30" s="79"/>
      <c r="H30" s="37" t="s">
        <v>141</v>
      </c>
      <c r="I30" s="38" t="s">
        <v>86</v>
      </c>
      <c r="J30" s="62"/>
      <c r="O30" s="24"/>
      <c r="P30" s="624" t="s">
        <v>160</v>
      </c>
      <c r="Q30" s="625"/>
      <c r="R30" s="625"/>
      <c r="S30" s="625"/>
      <c r="T30" s="625"/>
      <c r="U30" s="625"/>
      <c r="V30" s="625"/>
      <c r="W30" s="625"/>
      <c r="X30" s="625"/>
      <c r="Y30" s="626"/>
      <c r="Z30" s="25"/>
    </row>
    <row r="31" spans="1:26" ht="28">
      <c r="A31" s="34" t="s">
        <v>132</v>
      </c>
      <c r="B31" s="27" t="s">
        <v>97</v>
      </c>
      <c r="C31" s="28">
        <v>35827</v>
      </c>
      <c r="D31" s="29" t="s">
        <v>137</v>
      </c>
      <c r="E31" s="30"/>
      <c r="F31" s="27">
        <v>365</v>
      </c>
      <c r="G31" s="31">
        <v>2066780</v>
      </c>
      <c r="H31" s="32" t="s">
        <v>196</v>
      </c>
      <c r="I31" s="33" t="s">
        <v>128</v>
      </c>
      <c r="J31" s="62"/>
      <c r="O31" s="24"/>
      <c r="P31" s="627" t="s">
        <v>20</v>
      </c>
      <c r="Q31" s="628"/>
      <c r="R31" s="633" t="s">
        <v>21</v>
      </c>
      <c r="S31" s="633" t="s">
        <v>22</v>
      </c>
      <c r="T31" s="636" t="s">
        <v>67</v>
      </c>
      <c r="U31" s="637"/>
      <c r="V31" s="627" t="s">
        <v>23</v>
      </c>
      <c r="W31" s="628"/>
      <c r="X31" s="640" t="s">
        <v>130</v>
      </c>
      <c r="Y31" s="80" t="s">
        <v>25</v>
      </c>
      <c r="Z31" s="25"/>
    </row>
    <row r="32" spans="1:26">
      <c r="A32" s="34" t="s">
        <v>132</v>
      </c>
      <c r="B32" s="27" t="s">
        <v>98</v>
      </c>
      <c r="C32" s="28">
        <v>35740</v>
      </c>
      <c r="D32" s="29" t="s">
        <v>137</v>
      </c>
      <c r="E32" s="30" t="s">
        <v>85</v>
      </c>
      <c r="F32" s="27">
        <v>362</v>
      </c>
      <c r="G32" s="31">
        <v>1643440</v>
      </c>
      <c r="H32" s="32" t="s">
        <v>196</v>
      </c>
      <c r="I32" s="33" t="s">
        <v>128</v>
      </c>
      <c r="J32" s="62"/>
      <c r="O32" s="24"/>
      <c r="P32" s="629"/>
      <c r="Q32" s="630"/>
      <c r="R32" s="634"/>
      <c r="S32" s="634"/>
      <c r="T32" s="638"/>
      <c r="U32" s="639"/>
      <c r="V32" s="81" t="s">
        <v>66</v>
      </c>
      <c r="W32" s="81" t="s">
        <v>26</v>
      </c>
      <c r="X32" s="641"/>
      <c r="Y32" s="82" t="s">
        <v>16</v>
      </c>
      <c r="Z32" s="25"/>
    </row>
    <row r="33" spans="1:26" ht="42">
      <c r="A33" s="34" t="s">
        <v>132</v>
      </c>
      <c r="B33" s="27" t="s">
        <v>99</v>
      </c>
      <c r="C33" s="28">
        <v>35601</v>
      </c>
      <c r="D33" s="29" t="s">
        <v>137</v>
      </c>
      <c r="E33" s="30"/>
      <c r="F33" s="27">
        <v>131</v>
      </c>
      <c r="G33" s="31">
        <v>457580</v>
      </c>
      <c r="H33" s="32" t="s">
        <v>196</v>
      </c>
      <c r="I33" s="33" t="s">
        <v>128</v>
      </c>
      <c r="J33" s="62"/>
      <c r="O33" s="24"/>
      <c r="P33" s="629"/>
      <c r="Q33" s="630"/>
      <c r="R33" s="634"/>
      <c r="S33" s="634"/>
      <c r="T33" s="83" t="s">
        <v>27</v>
      </c>
      <c r="U33" s="84" t="s">
        <v>1</v>
      </c>
      <c r="V33" s="85" t="s">
        <v>1</v>
      </c>
      <c r="W33" s="84" t="s">
        <v>1</v>
      </c>
      <c r="X33" s="641"/>
      <c r="Y33" s="82"/>
      <c r="Z33" s="25"/>
    </row>
    <row r="34" spans="1:26">
      <c r="A34" s="34" t="s">
        <v>132</v>
      </c>
      <c r="B34" s="27" t="s">
        <v>100</v>
      </c>
      <c r="C34" s="28">
        <v>35520</v>
      </c>
      <c r="D34" s="59" t="s">
        <v>137</v>
      </c>
      <c r="E34" s="30"/>
      <c r="F34" s="27">
        <v>1292</v>
      </c>
      <c r="G34" s="31">
        <v>8104000</v>
      </c>
      <c r="H34" s="32" t="s">
        <v>196</v>
      </c>
      <c r="I34" s="33" t="s">
        <v>128</v>
      </c>
      <c r="J34" s="62"/>
      <c r="O34" s="24"/>
      <c r="P34" s="631"/>
      <c r="Q34" s="632"/>
      <c r="R34" s="635"/>
      <c r="S34" s="635"/>
      <c r="T34" s="86"/>
      <c r="U34" s="87"/>
      <c r="V34" s="88"/>
      <c r="W34" s="87"/>
      <c r="X34" s="642"/>
      <c r="Y34" s="89"/>
      <c r="Z34" s="25"/>
    </row>
    <row r="35" spans="1:26">
      <c r="A35" s="34" t="s">
        <v>132</v>
      </c>
      <c r="B35" s="27" t="s">
        <v>101</v>
      </c>
      <c r="C35" s="28">
        <v>35400</v>
      </c>
      <c r="D35" s="29" t="s">
        <v>137</v>
      </c>
      <c r="E35" s="30"/>
      <c r="F35" s="27">
        <v>1466</v>
      </c>
      <c r="G35" s="31">
        <v>5678980</v>
      </c>
      <c r="H35" s="32" t="s">
        <v>196</v>
      </c>
      <c r="I35" s="33" t="s">
        <v>128</v>
      </c>
      <c r="J35" s="62"/>
      <c r="O35" s="24"/>
      <c r="P35" s="90" t="s">
        <v>124</v>
      </c>
      <c r="Q35" s="90"/>
      <c r="R35" s="91"/>
      <c r="S35" s="91"/>
      <c r="T35" s="91"/>
      <c r="U35" s="90"/>
      <c r="V35" s="91"/>
      <c r="W35" s="91"/>
      <c r="X35" s="91"/>
      <c r="Y35" s="92"/>
      <c r="Z35" s="25"/>
    </row>
    <row r="36" spans="1:26">
      <c r="A36" s="34" t="s">
        <v>132</v>
      </c>
      <c r="B36" s="27" t="s">
        <v>102</v>
      </c>
      <c r="C36" s="28">
        <v>34213</v>
      </c>
      <c r="D36" s="29" t="s">
        <v>139</v>
      </c>
      <c r="E36" s="30"/>
      <c r="F36" s="27">
        <v>1350</v>
      </c>
      <c r="G36" s="31">
        <v>4955510</v>
      </c>
      <c r="H36" s="32" t="s">
        <v>196</v>
      </c>
      <c r="I36" s="33" t="s">
        <v>128</v>
      </c>
      <c r="J36" s="62"/>
      <c r="O36" s="24"/>
      <c r="P36" s="90"/>
      <c r="Q36" s="90"/>
      <c r="R36" s="91"/>
      <c r="S36" s="91"/>
      <c r="T36" s="91"/>
      <c r="U36" s="90"/>
      <c r="V36" s="91"/>
      <c r="W36" s="91"/>
      <c r="X36" s="91"/>
      <c r="Y36" s="92"/>
      <c r="Z36" s="25"/>
    </row>
    <row r="37" spans="1:26" ht="12.75" customHeight="1">
      <c r="A37" s="34" t="s">
        <v>132</v>
      </c>
      <c r="B37" s="27" t="s">
        <v>103</v>
      </c>
      <c r="C37" s="28">
        <v>32874</v>
      </c>
      <c r="D37" s="29" t="s">
        <v>138</v>
      </c>
      <c r="E37" s="30"/>
      <c r="F37" s="27">
        <v>850</v>
      </c>
      <c r="G37" s="31">
        <v>1886920</v>
      </c>
      <c r="H37" s="32" t="s">
        <v>196</v>
      </c>
      <c r="I37" s="33" t="s">
        <v>128</v>
      </c>
      <c r="J37" s="62"/>
      <c r="O37" s="24"/>
      <c r="P37" s="619" t="s">
        <v>155</v>
      </c>
      <c r="Q37" s="620"/>
      <c r="R37" s="93" t="s">
        <v>126</v>
      </c>
      <c r="S37" s="94"/>
      <c r="T37" s="623">
        <f>1652/4553*243692/1000</f>
        <v>88.420642213924893</v>
      </c>
      <c r="U37" s="95">
        <f>V37/(V37+V38)*T37</f>
        <v>88.420642213924893</v>
      </c>
      <c r="V37" s="96">
        <v>1652</v>
      </c>
      <c r="W37" s="95">
        <f>V37-U37</f>
        <v>1563.5793577860752</v>
      </c>
      <c r="X37" s="97"/>
      <c r="Y37" s="98"/>
      <c r="Z37" s="25"/>
    </row>
    <row r="38" spans="1:26">
      <c r="A38" s="34" t="s">
        <v>132</v>
      </c>
      <c r="B38" s="27" t="s">
        <v>117</v>
      </c>
      <c r="C38" s="28">
        <v>31048</v>
      </c>
      <c r="D38" s="29" t="s">
        <v>139</v>
      </c>
      <c r="E38" s="30"/>
      <c r="F38" s="27">
        <v>50</v>
      </c>
      <c r="G38" s="31">
        <v>60760</v>
      </c>
      <c r="H38" s="32" t="s">
        <v>196</v>
      </c>
      <c r="I38" s="33" t="s">
        <v>128</v>
      </c>
      <c r="J38" s="62"/>
      <c r="O38" s="24"/>
      <c r="P38" s="621"/>
      <c r="Q38" s="622"/>
      <c r="R38" s="99"/>
      <c r="S38" s="100"/>
      <c r="T38" s="623"/>
      <c r="U38" s="95"/>
      <c r="V38" s="96"/>
      <c r="W38" s="95"/>
      <c r="X38" s="97"/>
      <c r="Y38" s="98"/>
      <c r="Z38" s="25"/>
    </row>
    <row r="39" spans="1:26" ht="12.75" customHeight="1">
      <c r="A39" s="26" t="s">
        <v>131</v>
      </c>
      <c r="B39" s="27" t="s">
        <v>104</v>
      </c>
      <c r="C39" s="28">
        <v>28307</v>
      </c>
      <c r="D39" s="29" t="s">
        <v>202</v>
      </c>
      <c r="E39" s="30"/>
      <c r="F39" s="27">
        <v>3478</v>
      </c>
      <c r="G39" s="31">
        <v>14788220</v>
      </c>
      <c r="H39" s="32" t="s">
        <v>196</v>
      </c>
      <c r="I39" s="33" t="s">
        <v>128</v>
      </c>
      <c r="J39" s="62"/>
      <c r="O39" s="24"/>
      <c r="P39" s="90"/>
      <c r="Q39" s="91"/>
      <c r="R39" s="91"/>
      <c r="S39" s="91"/>
      <c r="T39" s="91"/>
      <c r="U39" s="91"/>
      <c r="V39" s="91"/>
      <c r="W39" s="91"/>
      <c r="X39" s="101"/>
      <c r="Y39" s="92"/>
      <c r="Z39" s="25"/>
    </row>
    <row r="40" spans="1:26">
      <c r="A40" s="34" t="s">
        <v>132</v>
      </c>
      <c r="B40" s="27" t="s">
        <v>105</v>
      </c>
      <c r="C40" s="28">
        <v>27576</v>
      </c>
      <c r="D40" s="29" t="s">
        <v>139</v>
      </c>
      <c r="E40" s="30"/>
      <c r="F40" s="27">
        <v>244</v>
      </c>
      <c r="G40" s="31">
        <v>35450</v>
      </c>
      <c r="H40" s="32" t="s">
        <v>196</v>
      </c>
      <c r="I40" s="33" t="s">
        <v>128</v>
      </c>
      <c r="J40" s="62"/>
      <c r="O40" s="24"/>
      <c r="P40" s="614" t="s">
        <v>87</v>
      </c>
      <c r="Q40" s="615"/>
      <c r="R40" s="102" t="s">
        <v>230</v>
      </c>
      <c r="S40" s="94"/>
      <c r="T40" s="618">
        <v>26.18</v>
      </c>
      <c r="U40" s="95">
        <f>V40/(V40+V41)*T40</f>
        <v>26.18</v>
      </c>
      <c r="V40" s="96">
        <v>1250.25</v>
      </c>
      <c r="W40" s="95">
        <f>V40-U40</f>
        <v>1224.07</v>
      </c>
      <c r="X40" s="103">
        <v>0.45</v>
      </c>
      <c r="Y40" s="98">
        <f>V40/X40*3600/1000</f>
        <v>10002</v>
      </c>
      <c r="Z40" s="25"/>
    </row>
    <row r="41" spans="1:26">
      <c r="A41" s="26" t="s">
        <v>131</v>
      </c>
      <c r="B41" s="27" t="s">
        <v>119</v>
      </c>
      <c r="C41" s="28">
        <v>27395</v>
      </c>
      <c r="D41" s="29" t="s">
        <v>139</v>
      </c>
      <c r="E41" s="30"/>
      <c r="F41" s="27">
        <v>1</v>
      </c>
      <c r="G41" s="31">
        <v>3700</v>
      </c>
      <c r="H41" s="32" t="s">
        <v>196</v>
      </c>
      <c r="I41" s="33" t="s">
        <v>128</v>
      </c>
      <c r="J41" s="62"/>
      <c r="O41" s="24"/>
      <c r="P41" s="616"/>
      <c r="Q41" s="617"/>
      <c r="R41" s="104"/>
      <c r="S41" s="100"/>
      <c r="T41" s="618"/>
      <c r="U41" s="95"/>
      <c r="V41" s="96"/>
      <c r="W41" s="95"/>
      <c r="X41" s="103"/>
      <c r="Y41" s="98"/>
      <c r="Z41" s="25"/>
    </row>
    <row r="42" spans="1:26">
      <c r="A42" s="34" t="s">
        <v>132</v>
      </c>
      <c r="B42" s="27" t="s">
        <v>199</v>
      </c>
      <c r="C42" s="28">
        <v>27089</v>
      </c>
      <c r="D42" s="29" t="s">
        <v>139</v>
      </c>
      <c r="E42" s="30"/>
      <c r="F42" s="27">
        <v>640</v>
      </c>
      <c r="G42" s="31">
        <v>2121300</v>
      </c>
      <c r="H42" s="32" t="s">
        <v>196</v>
      </c>
      <c r="I42" s="33" t="s">
        <v>128</v>
      </c>
      <c r="J42" s="62"/>
      <c r="O42" s="24"/>
      <c r="P42" s="90"/>
      <c r="Q42" s="91"/>
      <c r="R42" s="91"/>
      <c r="S42" s="91"/>
      <c r="T42" s="91"/>
      <c r="U42" s="91"/>
      <c r="V42" s="91"/>
      <c r="W42" s="91"/>
      <c r="X42" s="101"/>
      <c r="Y42" s="92"/>
      <c r="Z42" s="25"/>
    </row>
    <row r="43" spans="1:26">
      <c r="A43" s="34" t="s">
        <v>132</v>
      </c>
      <c r="B43" s="105" t="s">
        <v>120</v>
      </c>
      <c r="C43" s="28">
        <v>25569</v>
      </c>
      <c r="D43" s="29" t="s">
        <v>139</v>
      </c>
      <c r="E43" s="30"/>
      <c r="F43" s="27">
        <v>174</v>
      </c>
      <c r="G43" s="79"/>
      <c r="H43" s="37" t="s">
        <v>141</v>
      </c>
      <c r="I43" s="38" t="s">
        <v>86</v>
      </c>
      <c r="J43" s="62"/>
      <c r="O43" s="24"/>
      <c r="P43" s="614" t="s">
        <v>75</v>
      </c>
      <c r="Q43" s="615"/>
      <c r="R43" s="102" t="s">
        <v>156</v>
      </c>
      <c r="S43" s="94"/>
      <c r="T43" s="618">
        <v>2.0299999999999998</v>
      </c>
      <c r="U43" s="95">
        <f>V43/(V44+V43)*T43</f>
        <v>0.8054150680153469</v>
      </c>
      <c r="V43" s="96">
        <v>227.5</v>
      </c>
      <c r="W43" s="95">
        <f>V43-U43</f>
        <v>226.69458493198465</v>
      </c>
      <c r="X43" s="103">
        <v>0.46</v>
      </c>
      <c r="Y43" s="98">
        <f>V43/X43*3600/1000</f>
        <v>1780.4347826086955</v>
      </c>
      <c r="Z43" s="25"/>
    </row>
    <row r="44" spans="1:26">
      <c r="A44" s="26" t="s">
        <v>131</v>
      </c>
      <c r="B44" s="27" t="s">
        <v>106</v>
      </c>
      <c r="C44" s="28" t="s">
        <v>107</v>
      </c>
      <c r="D44" s="29" t="s">
        <v>136</v>
      </c>
      <c r="E44" s="30"/>
      <c r="F44" s="27">
        <v>1000</v>
      </c>
      <c r="G44" s="31">
        <v>4713190</v>
      </c>
      <c r="H44" s="32" t="s">
        <v>196</v>
      </c>
      <c r="I44" s="33" t="s">
        <v>128</v>
      </c>
      <c r="J44" s="62"/>
      <c r="O44" s="24"/>
      <c r="P44" s="616"/>
      <c r="Q44" s="617"/>
      <c r="R44" s="106" t="s">
        <v>0</v>
      </c>
      <c r="S44" s="100"/>
      <c r="T44" s="618"/>
      <c r="U44" s="95">
        <f>V44/(V44+V43)*T43</f>
        <v>1.2245849319846529</v>
      </c>
      <c r="V44" s="96">
        <v>345.9</v>
      </c>
      <c r="W44" s="95">
        <f>V44-U44</f>
        <v>344.6754150680153</v>
      </c>
      <c r="X44" s="103">
        <v>0.6</v>
      </c>
      <c r="Y44" s="98">
        <f>V44/X44*3600/1000</f>
        <v>2075.4</v>
      </c>
      <c r="Z44" s="25"/>
    </row>
    <row r="45" spans="1:26" ht="12.75" customHeight="1">
      <c r="A45" s="34" t="s">
        <v>132</v>
      </c>
      <c r="B45" s="27" t="s">
        <v>108</v>
      </c>
      <c r="C45" s="28">
        <v>24624</v>
      </c>
      <c r="D45" s="29" t="s">
        <v>139</v>
      </c>
      <c r="E45" s="30"/>
      <c r="F45" s="27">
        <v>132</v>
      </c>
      <c r="G45" s="79"/>
      <c r="H45" s="37" t="s">
        <v>141</v>
      </c>
      <c r="I45" s="38" t="s">
        <v>86</v>
      </c>
      <c r="J45" s="62"/>
      <c r="O45" s="24"/>
      <c r="P45" s="90"/>
      <c r="Q45" s="91"/>
      <c r="R45" s="91"/>
      <c r="S45" s="91"/>
      <c r="T45" s="91"/>
      <c r="U45" s="91"/>
      <c r="V45" s="91"/>
      <c r="W45" s="91"/>
      <c r="X45" s="101"/>
      <c r="Y45" s="92"/>
      <c r="Z45" s="25"/>
    </row>
    <row r="46" spans="1:26">
      <c r="A46" s="34" t="s">
        <v>132</v>
      </c>
      <c r="B46" s="27" t="s">
        <v>109</v>
      </c>
      <c r="C46" s="28">
        <v>23193</v>
      </c>
      <c r="D46" s="29" t="s">
        <v>139</v>
      </c>
      <c r="E46" s="30"/>
      <c r="F46" s="27">
        <v>130</v>
      </c>
      <c r="G46" s="79"/>
      <c r="H46" s="37" t="s">
        <v>141</v>
      </c>
      <c r="I46" s="38" t="s">
        <v>86</v>
      </c>
      <c r="J46" s="62"/>
      <c r="M46" s="23"/>
      <c r="N46" s="23"/>
      <c r="O46" s="24"/>
      <c r="P46" s="614" t="s">
        <v>77</v>
      </c>
      <c r="Q46" s="615"/>
      <c r="R46" s="102" t="s">
        <v>156</v>
      </c>
      <c r="S46" s="94"/>
      <c r="T46" s="618">
        <v>45.5</v>
      </c>
      <c r="U46" s="95">
        <f>V46/(V47+V46)*T46</f>
        <v>5.1051139718908699E-2</v>
      </c>
      <c r="V46" s="96">
        <v>1.9</v>
      </c>
      <c r="W46" s="95">
        <f>V46-U46</f>
        <v>1.8489488602810913</v>
      </c>
      <c r="X46" s="103">
        <v>0.46</v>
      </c>
      <c r="Y46" s="98">
        <f>V46/X46*3600/1000</f>
        <v>14.869565217391305</v>
      </c>
      <c r="Z46" s="25"/>
    </row>
    <row r="47" spans="1:26">
      <c r="A47" s="26" t="s">
        <v>131</v>
      </c>
      <c r="B47" s="27" t="s">
        <v>118</v>
      </c>
      <c r="C47" s="28">
        <v>23071</v>
      </c>
      <c r="D47" s="29" t="s">
        <v>139</v>
      </c>
      <c r="E47" s="30"/>
      <c r="F47" s="27">
        <v>13.8</v>
      </c>
      <c r="G47" s="31">
        <v>50390</v>
      </c>
      <c r="H47" s="32" t="s">
        <v>196</v>
      </c>
      <c r="I47" s="33" t="s">
        <v>128</v>
      </c>
      <c r="J47" s="62"/>
      <c r="M47" s="23"/>
      <c r="N47" s="23"/>
      <c r="O47" s="24"/>
      <c r="P47" s="616"/>
      <c r="Q47" s="617"/>
      <c r="R47" s="106" t="s">
        <v>0</v>
      </c>
      <c r="S47" s="100"/>
      <c r="T47" s="618"/>
      <c r="U47" s="95">
        <f>V47/(V47+V46)*T46</f>
        <v>45.448948860281092</v>
      </c>
      <c r="V47" s="96">
        <v>1691.5</v>
      </c>
      <c r="W47" s="95">
        <f>V47-U47</f>
        <v>1646.051051139719</v>
      </c>
      <c r="X47" s="103">
        <v>0.6</v>
      </c>
      <c r="Y47" s="98">
        <f>V47/X47*3600/1000</f>
        <v>10149.000000000002</v>
      </c>
      <c r="Z47" s="25"/>
    </row>
    <row r="48" spans="1:26">
      <c r="A48" s="26" t="s">
        <v>131</v>
      </c>
      <c r="B48" s="27" t="s">
        <v>110</v>
      </c>
      <c r="C48" s="28">
        <v>22282</v>
      </c>
      <c r="D48" s="29" t="s">
        <v>136</v>
      </c>
      <c r="E48" s="30"/>
      <c r="F48" s="27">
        <v>13.5</v>
      </c>
      <c r="G48" s="31">
        <v>31420</v>
      </c>
      <c r="H48" s="32" t="s">
        <v>196</v>
      </c>
      <c r="I48" s="33" t="s">
        <v>128</v>
      </c>
      <c r="J48" s="62"/>
      <c r="M48" s="23"/>
      <c r="N48" s="23"/>
      <c r="O48" s="24"/>
      <c r="P48" s="90"/>
      <c r="Q48" s="91"/>
      <c r="R48" s="91"/>
      <c r="S48" s="91"/>
      <c r="T48" s="91"/>
      <c r="U48" s="91"/>
      <c r="V48" s="91"/>
      <c r="W48" s="91"/>
      <c r="X48" s="101"/>
      <c r="Y48" s="92"/>
      <c r="Z48" s="25"/>
    </row>
    <row r="49" spans="1:26" ht="12.75" customHeight="1">
      <c r="A49" s="26" t="s">
        <v>131</v>
      </c>
      <c r="B49" s="27" t="s">
        <v>111</v>
      </c>
      <c r="C49" s="28">
        <v>22098</v>
      </c>
      <c r="D49" s="29" t="s">
        <v>136</v>
      </c>
      <c r="E49" s="30"/>
      <c r="F49" s="27">
        <v>243</v>
      </c>
      <c r="G49" s="31">
        <v>1032960</v>
      </c>
      <c r="H49" s="32" t="s">
        <v>196</v>
      </c>
      <c r="I49" s="33" t="s">
        <v>128</v>
      </c>
      <c r="J49" s="62"/>
      <c r="M49" s="23"/>
      <c r="N49" s="23"/>
      <c r="O49" s="24"/>
      <c r="P49" s="619" t="s">
        <v>78</v>
      </c>
      <c r="Q49" s="620"/>
      <c r="R49" s="102" t="s">
        <v>230</v>
      </c>
      <c r="S49" s="94"/>
      <c r="T49" s="618">
        <f>1383.02/38996.19*1157.47</f>
        <v>41.050270793121065</v>
      </c>
      <c r="U49" s="95">
        <f>V49/(V49+V50)*T49</f>
        <v>41.050270793121065</v>
      </c>
      <c r="V49" s="96">
        <v>1383.02</v>
      </c>
      <c r="W49" s="95">
        <f>V49-U49</f>
        <v>1341.9697292068788</v>
      </c>
      <c r="X49" s="103">
        <v>0.46</v>
      </c>
      <c r="Y49" s="98">
        <f>V49/X49*3600/1000</f>
        <v>10823.634782608695</v>
      </c>
      <c r="Z49" s="25"/>
    </row>
    <row r="50" spans="1:26" ht="12.75" customHeight="1">
      <c r="A50" s="26" t="s">
        <v>131</v>
      </c>
      <c r="B50" s="27" t="s">
        <v>112</v>
      </c>
      <c r="C50" s="28">
        <v>21763</v>
      </c>
      <c r="D50" s="29" t="s">
        <v>136</v>
      </c>
      <c r="E50" s="30"/>
      <c r="F50" s="27">
        <v>13.2</v>
      </c>
      <c r="G50" s="31">
        <v>43100</v>
      </c>
      <c r="H50" s="32" t="s">
        <v>196</v>
      </c>
      <c r="I50" s="33" t="s">
        <v>128</v>
      </c>
      <c r="J50" s="62"/>
      <c r="M50" s="23"/>
      <c r="N50" s="23"/>
      <c r="O50" s="24"/>
      <c r="P50" s="621"/>
      <c r="Q50" s="622"/>
      <c r="R50" s="104"/>
      <c r="S50" s="100"/>
      <c r="T50" s="618"/>
      <c r="U50" s="95"/>
      <c r="V50" s="96"/>
      <c r="W50" s="95"/>
      <c r="X50" s="103"/>
      <c r="Y50" s="98"/>
      <c r="Z50" s="25"/>
    </row>
    <row r="51" spans="1:26">
      <c r="A51" s="26" t="s">
        <v>131</v>
      </c>
      <c r="B51" s="27" t="s">
        <v>113</v>
      </c>
      <c r="C51" s="28">
        <v>21217</v>
      </c>
      <c r="D51" s="29" t="s">
        <v>136</v>
      </c>
      <c r="E51" s="30"/>
      <c r="F51" s="27">
        <v>4</v>
      </c>
      <c r="G51" s="31">
        <v>14290</v>
      </c>
      <c r="H51" s="32" t="s">
        <v>196</v>
      </c>
      <c r="I51" s="33" t="s">
        <v>128</v>
      </c>
      <c r="J51" s="62"/>
      <c r="M51" s="23"/>
      <c r="N51" s="107"/>
      <c r="O51" s="24"/>
      <c r="P51" s="90"/>
      <c r="Q51" s="91"/>
      <c r="R51" s="91"/>
      <c r="S51" s="91"/>
      <c r="T51" s="91"/>
      <c r="U51" s="91"/>
      <c r="V51" s="91"/>
      <c r="W51" s="91"/>
      <c r="X51" s="101"/>
      <c r="Y51" s="92"/>
      <c r="Z51" s="25"/>
    </row>
    <row r="52" spans="1:26">
      <c r="A52" s="26" t="s">
        <v>131</v>
      </c>
      <c r="B52" s="27" t="s">
        <v>114</v>
      </c>
      <c r="C52" s="28">
        <v>19329</v>
      </c>
      <c r="D52" s="29" t="s">
        <v>136</v>
      </c>
      <c r="E52" s="30"/>
      <c r="F52" s="27">
        <v>20</v>
      </c>
      <c r="G52" s="31">
        <v>96700</v>
      </c>
      <c r="H52" s="32" t="s">
        <v>196</v>
      </c>
      <c r="I52" s="33" t="s">
        <v>128</v>
      </c>
      <c r="J52" s="62"/>
      <c r="M52" s="23"/>
      <c r="N52" s="23"/>
      <c r="O52" s="24"/>
      <c r="P52" s="619" t="s">
        <v>203</v>
      </c>
      <c r="Q52" s="620"/>
      <c r="R52" s="102" t="s">
        <v>156</v>
      </c>
      <c r="S52" s="94"/>
      <c r="T52" s="623">
        <f>1381.3/38996.19*1157.47</f>
        <v>40.999218410824234</v>
      </c>
      <c r="U52" s="95">
        <f>V52/(V53+V52)*T52</f>
        <v>1.484080880721937E-2</v>
      </c>
      <c r="V52" s="96">
        <v>0.5</v>
      </c>
      <c r="W52" s="95">
        <f>V52-U52</f>
        <v>0.48515919119278061</v>
      </c>
      <c r="X52" s="103">
        <v>0.46</v>
      </c>
      <c r="Y52" s="98">
        <f>V52/X52*3600/1000</f>
        <v>3.9130434782608696</v>
      </c>
      <c r="Z52" s="25"/>
    </row>
    <row r="53" spans="1:26" ht="13" customHeight="1">
      <c r="A53" s="26" t="s">
        <v>131</v>
      </c>
      <c r="B53" s="27" t="s">
        <v>115</v>
      </c>
      <c r="C53" s="28">
        <v>19176</v>
      </c>
      <c r="D53" s="29" t="s">
        <v>136</v>
      </c>
      <c r="E53" s="30"/>
      <c r="F53" s="27">
        <v>22</v>
      </c>
      <c r="G53" s="31">
        <v>49490</v>
      </c>
      <c r="H53" s="32" t="s">
        <v>196</v>
      </c>
      <c r="I53" s="33" t="s">
        <v>128</v>
      </c>
      <c r="J53" s="62"/>
      <c r="M53" s="23"/>
      <c r="N53" s="23"/>
      <c r="O53" s="24"/>
      <c r="P53" s="621"/>
      <c r="Q53" s="622"/>
      <c r="R53" s="106" t="s">
        <v>0</v>
      </c>
      <c r="S53" s="100"/>
      <c r="T53" s="623"/>
      <c r="U53" s="95">
        <f>V53/(V53+V52)*T52</f>
        <v>40.984377602017013</v>
      </c>
      <c r="V53" s="96">
        <v>1380.8</v>
      </c>
      <c r="W53" s="95">
        <f>V53-U53</f>
        <v>1339.8156223979829</v>
      </c>
      <c r="X53" s="103">
        <v>0.6</v>
      </c>
      <c r="Y53" s="98">
        <f>V53/X53*3600/1000</f>
        <v>8284.8000000000011</v>
      </c>
      <c r="Z53" s="25"/>
    </row>
    <row r="54" spans="1:26">
      <c r="A54" s="26" t="s">
        <v>131</v>
      </c>
      <c r="B54" s="27" t="s">
        <v>116</v>
      </c>
      <c r="C54" s="28">
        <v>9192</v>
      </c>
      <c r="D54" s="29" t="s">
        <v>136</v>
      </c>
      <c r="E54" s="30"/>
      <c r="F54" s="27">
        <v>1.1000000000000001</v>
      </c>
      <c r="G54" s="31">
        <v>3150</v>
      </c>
      <c r="H54" s="32" t="s">
        <v>196</v>
      </c>
      <c r="I54" s="33" t="s">
        <v>128</v>
      </c>
      <c r="J54" s="62"/>
      <c r="M54" s="23"/>
      <c r="N54" s="23"/>
      <c r="O54" s="24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25"/>
    </row>
    <row r="55" spans="1:26" ht="12.75" customHeight="1">
      <c r="A55" s="34" t="s">
        <v>132</v>
      </c>
      <c r="B55" s="27" t="s">
        <v>121</v>
      </c>
      <c r="C55" s="108" t="s">
        <v>141</v>
      </c>
      <c r="D55" s="109"/>
      <c r="E55" s="110"/>
      <c r="F55" s="27">
        <v>44</v>
      </c>
      <c r="G55" s="79"/>
      <c r="H55" s="37" t="s">
        <v>141</v>
      </c>
      <c r="I55" s="38" t="s">
        <v>129</v>
      </c>
      <c r="J55" s="62"/>
      <c r="M55" s="23"/>
      <c r="N55" s="23"/>
      <c r="O55" s="24"/>
      <c r="P55" s="614" t="s">
        <v>204</v>
      </c>
      <c r="Q55" s="615"/>
      <c r="R55" s="102" t="s">
        <v>230</v>
      </c>
      <c r="S55" s="94"/>
      <c r="T55" s="618">
        <v>18</v>
      </c>
      <c r="U55" s="95">
        <f>V55/(V55+V56)*T55</f>
        <v>18</v>
      </c>
      <c r="V55" s="96">
        <v>820</v>
      </c>
      <c r="W55" s="95">
        <f>V55-U55</f>
        <v>802</v>
      </c>
      <c r="X55" s="103">
        <v>0.45</v>
      </c>
      <c r="Y55" s="98">
        <f>V55/X55*3600/1000</f>
        <v>6560</v>
      </c>
      <c r="Z55" s="25"/>
    </row>
    <row r="56" spans="1:26">
      <c r="A56" s="34" t="s">
        <v>132</v>
      </c>
      <c r="B56" s="27" t="s">
        <v>122</v>
      </c>
      <c r="C56" s="108" t="s">
        <v>141</v>
      </c>
      <c r="D56" s="109"/>
      <c r="E56" s="110"/>
      <c r="F56" s="27">
        <v>35</v>
      </c>
      <c r="G56" s="31">
        <v>99010</v>
      </c>
      <c r="H56" s="32" t="s">
        <v>196</v>
      </c>
      <c r="I56" s="33" t="s">
        <v>128</v>
      </c>
      <c r="J56" s="62"/>
      <c r="L56" s="23"/>
      <c r="M56" s="23"/>
      <c r="N56" s="23"/>
      <c r="O56" s="24"/>
      <c r="P56" s="616"/>
      <c r="Q56" s="617"/>
      <c r="R56" s="104"/>
      <c r="S56" s="100"/>
      <c r="T56" s="618"/>
      <c r="U56" s="95"/>
      <c r="V56" s="96"/>
      <c r="W56" s="95"/>
      <c r="X56" s="103"/>
      <c r="Y56" s="98"/>
      <c r="Z56" s="25"/>
    </row>
    <row r="57" spans="1:26">
      <c r="A57" s="34" t="s">
        <v>132</v>
      </c>
      <c r="B57" s="27" t="s">
        <v>123</v>
      </c>
      <c r="C57" s="108" t="s">
        <v>141</v>
      </c>
      <c r="D57" s="109"/>
      <c r="E57" s="110"/>
      <c r="F57" s="27">
        <v>39</v>
      </c>
      <c r="G57" s="79"/>
      <c r="H57" s="37" t="s">
        <v>141</v>
      </c>
      <c r="I57" s="38" t="s">
        <v>86</v>
      </c>
      <c r="J57" s="62"/>
      <c r="L57" s="23"/>
      <c r="M57" s="23"/>
      <c r="N57" s="23"/>
      <c r="O57" s="24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25"/>
    </row>
    <row r="58" spans="1:26">
      <c r="A58" s="34" t="s">
        <v>132</v>
      </c>
      <c r="B58" s="27" t="s">
        <v>127</v>
      </c>
      <c r="C58" s="108" t="s">
        <v>141</v>
      </c>
      <c r="D58" s="109"/>
      <c r="E58" s="110"/>
      <c r="F58" s="27">
        <v>17</v>
      </c>
      <c r="G58" s="79"/>
      <c r="H58" s="37" t="s">
        <v>141</v>
      </c>
      <c r="I58" s="38" t="s">
        <v>129</v>
      </c>
      <c r="J58" s="62"/>
      <c r="L58" s="23"/>
      <c r="M58" s="23"/>
      <c r="N58" s="23"/>
      <c r="O58" s="24"/>
      <c r="P58" s="614" t="s">
        <v>205</v>
      </c>
      <c r="Q58" s="615"/>
      <c r="R58" s="102" t="s">
        <v>230</v>
      </c>
      <c r="S58" s="94"/>
      <c r="T58" s="618">
        <v>29.87</v>
      </c>
      <c r="U58" s="95">
        <f>V58/(V58+V59)*T58</f>
        <v>29.87</v>
      </c>
      <c r="V58" s="96">
        <v>1468.21</v>
      </c>
      <c r="W58" s="95">
        <f>V58-U58</f>
        <v>1438.3400000000001</v>
      </c>
      <c r="X58" s="103">
        <v>0.45</v>
      </c>
      <c r="Y58" s="98">
        <f>V58/X58*3600/1000</f>
        <v>11745.68</v>
      </c>
      <c r="Z58" s="25"/>
    </row>
    <row r="59" spans="1:26" ht="14" thickBot="1">
      <c r="A59" s="111" t="s">
        <v>89</v>
      </c>
      <c r="B59" s="112" t="s">
        <v>189</v>
      </c>
      <c r="C59" s="113"/>
      <c r="D59" s="114"/>
      <c r="E59" s="115" t="s">
        <v>194</v>
      </c>
      <c r="F59" s="112">
        <v>100</v>
      </c>
      <c r="G59" s="116">
        <v>606000</v>
      </c>
      <c r="H59" s="117" t="s">
        <v>196</v>
      </c>
      <c r="I59" s="118" t="s">
        <v>128</v>
      </c>
      <c r="J59" s="62"/>
      <c r="L59" s="22"/>
      <c r="M59" s="23"/>
      <c r="N59" s="23"/>
      <c r="O59" s="24"/>
      <c r="P59" s="616"/>
      <c r="Q59" s="617"/>
      <c r="R59" s="104"/>
      <c r="S59" s="100"/>
      <c r="T59" s="618"/>
      <c r="U59" s="95"/>
      <c r="V59" s="96"/>
      <c r="W59" s="95"/>
      <c r="X59" s="103"/>
      <c r="Y59" s="98"/>
      <c r="Z59" s="25"/>
    </row>
    <row r="60" spans="1:26">
      <c r="O60" s="119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0"/>
    </row>
    <row r="61" spans="1:26">
      <c r="O61" s="119"/>
      <c r="P61" s="614" t="s">
        <v>207</v>
      </c>
      <c r="Q61" s="615"/>
      <c r="R61" s="102" t="s">
        <v>230</v>
      </c>
      <c r="S61" s="94"/>
      <c r="T61" s="618">
        <v>33.44</v>
      </c>
      <c r="U61" s="95">
        <f>V61/(V61+V62)*T61</f>
        <v>33.44</v>
      </c>
      <c r="V61" s="96">
        <v>1309.9100000000001</v>
      </c>
      <c r="W61" s="95">
        <f>V61-U61</f>
        <v>1276.47</v>
      </c>
      <c r="X61" s="103">
        <v>0.45</v>
      </c>
      <c r="Y61" s="98">
        <f>V61/X61*3600/1000</f>
        <v>10479.280000000001</v>
      </c>
      <c r="Z61" s="120"/>
    </row>
    <row r="62" spans="1:26">
      <c r="B62" s="27"/>
      <c r="C62" s="28"/>
      <c r="D62" s="29"/>
      <c r="E62" s="30"/>
      <c r="F62" s="27"/>
      <c r="G62" s="31"/>
      <c r="H62" s="32"/>
      <c r="I62" s="121"/>
      <c r="L62" s="22"/>
      <c r="M62" s="23"/>
      <c r="N62" s="23"/>
      <c r="O62" s="119"/>
      <c r="P62" s="616"/>
      <c r="Q62" s="617"/>
      <c r="R62" s="104"/>
      <c r="S62" s="100"/>
      <c r="T62" s="618"/>
      <c r="U62" s="95"/>
      <c r="V62" s="96"/>
      <c r="W62" s="95"/>
      <c r="X62" s="103"/>
      <c r="Y62" s="98"/>
      <c r="Z62" s="120"/>
    </row>
    <row r="63" spans="1:26" ht="14" thickBot="1">
      <c r="B63" s="27"/>
      <c r="C63" s="28"/>
      <c r="D63" s="29"/>
      <c r="E63" s="30"/>
      <c r="F63" s="27"/>
      <c r="G63" s="31"/>
      <c r="H63" s="32"/>
      <c r="I63" s="121"/>
      <c r="L63" s="22"/>
      <c r="M63" s="23"/>
      <c r="N63" s="23"/>
      <c r="O63" s="119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0"/>
    </row>
    <row r="64" spans="1:26" ht="14" thickBot="1">
      <c r="A64" s="27"/>
      <c r="B64" s="122"/>
      <c r="C64" s="123"/>
      <c r="D64" s="124"/>
      <c r="E64" s="125" t="s">
        <v>218</v>
      </c>
      <c r="F64" s="126"/>
      <c r="G64" s="127">
        <f>SUM(G3:G59)</f>
        <v>81251320</v>
      </c>
      <c r="H64" s="128"/>
      <c r="I64" s="129"/>
      <c r="L64" s="22"/>
      <c r="M64" s="23"/>
      <c r="N64" s="23"/>
      <c r="O64" s="119"/>
      <c r="P64" s="619" t="s">
        <v>208</v>
      </c>
      <c r="Q64" s="620"/>
      <c r="R64" s="130"/>
      <c r="S64" s="94"/>
      <c r="T64" s="623">
        <f>742.45/38996.19*1157.47</f>
        <v>22.037116997840045</v>
      </c>
      <c r="U64" s="95"/>
      <c r="V64" s="96"/>
      <c r="W64" s="95"/>
      <c r="X64" s="103"/>
      <c r="Y64" s="98"/>
      <c r="Z64" s="120"/>
    </row>
    <row r="65" spans="1:26">
      <c r="A65" s="27"/>
      <c r="B65" s="122"/>
      <c r="C65" s="123"/>
      <c r="D65" s="124"/>
      <c r="E65" s="131"/>
      <c r="F65" s="122"/>
      <c r="G65" s="128"/>
      <c r="H65" s="128"/>
      <c r="I65" s="129"/>
      <c r="L65" s="22"/>
      <c r="M65" s="23"/>
      <c r="N65" s="23"/>
      <c r="O65" s="119"/>
      <c r="P65" s="621"/>
      <c r="Q65" s="622"/>
      <c r="R65" s="106" t="s">
        <v>0</v>
      </c>
      <c r="S65" s="100"/>
      <c r="T65" s="623"/>
      <c r="U65" s="95">
        <f>V65/(V65+V64)*T64</f>
        <v>22.037116997840045</v>
      </c>
      <c r="V65" s="96">
        <v>742.45</v>
      </c>
      <c r="W65" s="95">
        <f>V65-U65</f>
        <v>720.41288300216002</v>
      </c>
      <c r="X65" s="103">
        <v>0.6</v>
      </c>
      <c r="Y65" s="98">
        <f>V65/X65*3600/1000</f>
        <v>4454.7</v>
      </c>
      <c r="Z65" s="120"/>
    </row>
    <row r="66" spans="1:26">
      <c r="L66" s="22"/>
      <c r="M66" s="23"/>
      <c r="N66" s="23"/>
      <c r="O66" s="119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0"/>
    </row>
    <row r="67" spans="1:26">
      <c r="A67" s="5" t="s">
        <v>219</v>
      </c>
      <c r="L67" s="22"/>
      <c r="M67" s="23"/>
      <c r="N67" s="23"/>
      <c r="O67" s="119"/>
      <c r="P67" s="614" t="s">
        <v>80</v>
      </c>
      <c r="Q67" s="615"/>
      <c r="R67" s="132" t="s">
        <v>125</v>
      </c>
      <c r="S67" s="94"/>
      <c r="T67" s="618">
        <v>81.81</v>
      </c>
      <c r="U67" s="95">
        <f>V67/(V67+V68)*T67</f>
        <v>81.81</v>
      </c>
      <c r="V67" s="96">
        <v>7164.66</v>
      </c>
      <c r="W67" s="95">
        <f>V67-U67</f>
        <v>7082.8499999999995</v>
      </c>
      <c r="X67" s="103"/>
      <c r="Y67" s="98"/>
      <c r="Z67" s="120"/>
    </row>
    <row r="68" spans="1:26">
      <c r="A68" s="23"/>
      <c r="B68" s="23"/>
      <c r="C68" s="133"/>
      <c r="D68" s="134"/>
      <c r="E68" s="135"/>
      <c r="F68" s="23"/>
      <c r="G68" s="23"/>
      <c r="H68" s="23"/>
      <c r="I68" s="23"/>
      <c r="L68" s="22"/>
      <c r="M68" s="23"/>
      <c r="N68" s="23"/>
      <c r="O68" s="119"/>
      <c r="P68" s="616"/>
      <c r="Q68" s="617"/>
      <c r="R68" s="99"/>
      <c r="S68" s="100"/>
      <c r="T68" s="618"/>
      <c r="U68" s="95"/>
      <c r="V68" s="96"/>
      <c r="W68" s="95"/>
      <c r="X68" s="103"/>
      <c r="Y68" s="98"/>
      <c r="Z68" s="120"/>
    </row>
    <row r="69" spans="1:26">
      <c r="A69" s="23"/>
      <c r="B69" s="23"/>
      <c r="C69" s="133"/>
      <c r="D69" s="134"/>
      <c r="E69" s="135"/>
      <c r="F69" s="23"/>
      <c r="G69" s="23"/>
      <c r="H69" s="23"/>
      <c r="I69" s="23"/>
      <c r="L69" s="22"/>
      <c r="O69" s="119"/>
      <c r="P69" s="90"/>
      <c r="Q69" s="91"/>
      <c r="R69" s="91"/>
      <c r="S69" s="91"/>
      <c r="T69" s="91"/>
      <c r="U69" s="91"/>
      <c r="V69" s="91"/>
      <c r="W69" s="91"/>
      <c r="X69" s="101"/>
      <c r="Y69" s="92"/>
      <c r="Z69" s="120"/>
    </row>
    <row r="70" spans="1:26">
      <c r="A70" s="23"/>
      <c r="B70" s="23"/>
      <c r="C70" s="133"/>
      <c r="D70" s="134"/>
      <c r="E70" s="135"/>
      <c r="F70" s="23"/>
      <c r="G70" s="23"/>
      <c r="H70" s="23"/>
      <c r="I70" s="23"/>
      <c r="L70" s="22"/>
      <c r="O70" s="119"/>
      <c r="P70" s="614" t="s">
        <v>209</v>
      </c>
      <c r="Q70" s="615"/>
      <c r="R70" s="132" t="s">
        <v>125</v>
      </c>
      <c r="S70" s="94"/>
      <c r="T70" s="618">
        <v>3.88</v>
      </c>
      <c r="U70" s="95">
        <f>V70/(V70+V71)*T70</f>
        <v>3.88</v>
      </c>
      <c r="V70" s="96">
        <v>202.01</v>
      </c>
      <c r="W70" s="95">
        <f>V70-U70</f>
        <v>198.13</v>
      </c>
      <c r="X70" s="103"/>
      <c r="Y70" s="98"/>
      <c r="Z70" s="120"/>
    </row>
    <row r="71" spans="1:26">
      <c r="A71" s="23"/>
      <c r="B71" s="23"/>
      <c r="C71" s="133"/>
      <c r="D71" s="134"/>
      <c r="E71" s="135"/>
      <c r="F71" s="23"/>
      <c r="G71" s="23"/>
      <c r="H71" s="23"/>
      <c r="I71" s="23"/>
      <c r="L71" s="22"/>
      <c r="O71" s="119"/>
      <c r="P71" s="616"/>
      <c r="Q71" s="617"/>
      <c r="R71" s="99"/>
      <c r="S71" s="100"/>
      <c r="T71" s="618"/>
      <c r="U71" s="95"/>
      <c r="V71" s="96"/>
      <c r="W71" s="95"/>
      <c r="X71" s="103"/>
      <c r="Y71" s="98"/>
      <c r="Z71" s="120"/>
    </row>
    <row r="72" spans="1:26">
      <c r="A72" s="23"/>
      <c r="B72" s="23"/>
      <c r="C72" s="133"/>
      <c r="D72" s="134"/>
      <c r="E72" s="135"/>
      <c r="F72" s="23"/>
      <c r="G72" s="23"/>
      <c r="H72" s="23"/>
      <c r="I72" s="23"/>
      <c r="O72" s="119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0"/>
    </row>
    <row r="73" spans="1:26">
      <c r="A73" s="23"/>
      <c r="B73" s="23"/>
      <c r="C73" s="133"/>
      <c r="D73" s="134"/>
      <c r="E73" s="135"/>
      <c r="F73" s="23"/>
      <c r="G73" s="23"/>
      <c r="H73" s="23"/>
      <c r="I73" s="23"/>
      <c r="O73" s="119"/>
      <c r="P73" s="614" t="s">
        <v>210</v>
      </c>
      <c r="Q73" s="615"/>
      <c r="R73" s="132" t="s">
        <v>125</v>
      </c>
      <c r="S73" s="94"/>
      <c r="T73" s="618">
        <v>0.06</v>
      </c>
      <c r="U73" s="95">
        <f>V73/(V73+V74)*T73</f>
        <v>0.06</v>
      </c>
      <c r="V73" s="96">
        <v>75.27</v>
      </c>
      <c r="W73" s="95">
        <f>V73-U73</f>
        <v>75.209999999999994</v>
      </c>
      <c r="X73" s="103"/>
      <c r="Y73" s="98"/>
      <c r="Z73" s="120"/>
    </row>
    <row r="74" spans="1:26">
      <c r="A74" s="23"/>
      <c r="B74" s="23"/>
      <c r="C74" s="133"/>
      <c r="D74" s="134"/>
      <c r="E74" s="135"/>
      <c r="F74" s="23"/>
      <c r="G74" s="23"/>
      <c r="H74" s="23"/>
      <c r="I74" s="23"/>
      <c r="O74" s="119"/>
      <c r="P74" s="616"/>
      <c r="Q74" s="617"/>
      <c r="R74" s="99"/>
      <c r="S74" s="100"/>
      <c r="T74" s="618"/>
      <c r="U74" s="95"/>
      <c r="V74" s="96"/>
      <c r="W74" s="95"/>
      <c r="X74" s="103"/>
      <c r="Y74" s="98"/>
      <c r="Z74" s="120"/>
    </row>
    <row r="75" spans="1:26">
      <c r="A75" s="23"/>
      <c r="B75" s="23"/>
      <c r="C75" s="133"/>
      <c r="D75" s="134"/>
      <c r="E75" s="135"/>
      <c r="F75" s="23"/>
      <c r="G75" s="23"/>
      <c r="H75" s="23"/>
      <c r="I75" s="23"/>
      <c r="O75" s="119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0"/>
    </row>
    <row r="76" spans="1:26">
      <c r="A76" s="23"/>
      <c r="B76" s="23"/>
      <c r="C76" s="133"/>
      <c r="D76" s="134"/>
      <c r="E76" s="135"/>
      <c r="F76" s="23"/>
      <c r="G76" s="23"/>
      <c r="H76" s="23"/>
      <c r="I76" s="23"/>
      <c r="O76" s="119"/>
      <c r="P76" s="614" t="s">
        <v>211</v>
      </c>
      <c r="Q76" s="615"/>
      <c r="R76" s="132" t="s">
        <v>125</v>
      </c>
      <c r="S76" s="94"/>
      <c r="T76" s="618">
        <v>4.78</v>
      </c>
      <c r="U76" s="95">
        <f>V76/(V76+V77)*T76</f>
        <v>4.78</v>
      </c>
      <c r="V76" s="96">
        <v>296.64999999999998</v>
      </c>
      <c r="W76" s="95">
        <f>V76-U76</f>
        <v>291.87</v>
      </c>
      <c r="X76" s="103"/>
      <c r="Y76" s="98"/>
      <c r="Z76" s="120"/>
    </row>
    <row r="77" spans="1:26">
      <c r="A77" s="23"/>
      <c r="B77" s="23"/>
      <c r="C77" s="133"/>
      <c r="D77" s="134"/>
      <c r="E77" s="135"/>
      <c r="F77" s="23"/>
      <c r="G77" s="23"/>
      <c r="H77" s="23"/>
      <c r="I77" s="23"/>
      <c r="O77" s="119"/>
      <c r="P77" s="616"/>
      <c r="Q77" s="617"/>
      <c r="R77" s="99"/>
      <c r="S77" s="100"/>
      <c r="T77" s="618"/>
      <c r="U77" s="95"/>
      <c r="V77" s="96"/>
      <c r="W77" s="95"/>
      <c r="X77" s="103"/>
      <c r="Y77" s="98"/>
      <c r="Z77" s="120"/>
    </row>
    <row r="78" spans="1:26">
      <c r="A78" s="23"/>
      <c r="B78" s="23"/>
      <c r="C78" s="133"/>
      <c r="D78" s="134"/>
      <c r="E78" s="135"/>
      <c r="F78" s="23"/>
      <c r="G78" s="23"/>
      <c r="H78" s="23"/>
      <c r="I78" s="23"/>
      <c r="O78" s="119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0"/>
    </row>
    <row r="79" spans="1:26">
      <c r="A79" s="23"/>
      <c r="B79" s="23"/>
      <c r="C79" s="133"/>
      <c r="D79" s="134"/>
      <c r="E79" s="135"/>
      <c r="F79" s="23"/>
      <c r="G79" s="23"/>
      <c r="H79" s="23"/>
      <c r="I79" s="23"/>
      <c r="O79" s="119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0"/>
    </row>
    <row r="80" spans="1:26">
      <c r="A80" s="23"/>
      <c r="B80" s="23"/>
      <c r="C80" s="133"/>
      <c r="D80" s="134"/>
      <c r="E80" s="135"/>
      <c r="F80" s="23"/>
      <c r="G80" s="23"/>
      <c r="H80" s="23"/>
      <c r="I80" s="23"/>
      <c r="O80" s="24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25"/>
    </row>
    <row r="81" spans="1:26">
      <c r="A81" s="23"/>
      <c r="B81" s="23"/>
      <c r="C81" s="133"/>
      <c r="D81" s="134"/>
      <c r="E81" s="135"/>
      <c r="F81" s="23"/>
      <c r="G81" s="23"/>
      <c r="H81" s="23"/>
      <c r="I81" s="23"/>
      <c r="O81" s="24"/>
      <c r="P81" s="136"/>
      <c r="Q81" s="136"/>
      <c r="R81" s="101"/>
      <c r="S81" s="101"/>
      <c r="T81" s="101"/>
      <c r="U81" s="101"/>
      <c r="V81" s="137" t="s">
        <v>40</v>
      </c>
      <c r="W81" s="98">
        <f>SUM(W37:W77)</f>
        <v>19574.472751584286</v>
      </c>
      <c r="X81" s="101"/>
      <c r="Y81" s="101"/>
      <c r="Z81" s="25"/>
    </row>
    <row r="82" spans="1:26">
      <c r="A82" s="23"/>
      <c r="B82" s="23"/>
      <c r="C82" s="133"/>
      <c r="D82" s="134"/>
      <c r="E82" s="135"/>
      <c r="F82" s="23"/>
      <c r="G82" s="23"/>
      <c r="H82" s="23"/>
      <c r="I82" s="23"/>
      <c r="O82" s="24"/>
      <c r="P82" s="101"/>
      <c r="Q82" s="101"/>
      <c r="R82" s="101"/>
      <c r="S82" s="101"/>
      <c r="T82" s="101"/>
      <c r="U82" s="101"/>
      <c r="V82" s="101"/>
      <c r="W82" s="101"/>
      <c r="X82" s="137" t="s">
        <v>41</v>
      </c>
      <c r="Y82" s="98">
        <f>Y40+Y49+Y55+Y58+Y61</f>
        <v>49610.594782608692</v>
      </c>
      <c r="Z82" s="25"/>
    </row>
    <row r="83" spans="1:26">
      <c r="A83" s="23"/>
      <c r="B83" s="23"/>
      <c r="C83" s="133"/>
      <c r="D83" s="134"/>
      <c r="E83" s="135"/>
      <c r="F83" s="23"/>
      <c r="G83" s="23"/>
      <c r="H83" s="23"/>
      <c r="I83" s="23"/>
      <c r="O83" s="24"/>
      <c r="P83" s="101"/>
      <c r="Q83" s="101"/>
      <c r="R83" s="101"/>
      <c r="S83" s="101"/>
      <c r="T83" s="101"/>
      <c r="U83" s="101"/>
      <c r="V83" s="101"/>
      <c r="W83" s="101"/>
      <c r="X83" s="138" t="s">
        <v>42</v>
      </c>
      <c r="Y83" s="98">
        <f>Y44+Y47+Y53+Y65</f>
        <v>24963.900000000005</v>
      </c>
      <c r="Z83" s="25"/>
    </row>
    <row r="84" spans="1:26">
      <c r="A84" s="23"/>
      <c r="B84" s="23"/>
      <c r="C84" s="133"/>
      <c r="D84" s="134"/>
      <c r="E84" s="135"/>
      <c r="F84" s="23"/>
      <c r="G84" s="23"/>
      <c r="H84" s="23"/>
      <c r="I84" s="23"/>
      <c r="O84" s="24"/>
      <c r="P84" s="101"/>
      <c r="Q84" s="101"/>
      <c r="R84" s="101"/>
      <c r="S84" s="101"/>
      <c r="T84" s="101"/>
      <c r="U84" s="101"/>
      <c r="V84" s="101"/>
      <c r="W84" s="101"/>
      <c r="X84" s="138" t="s">
        <v>213</v>
      </c>
      <c r="Y84" s="98">
        <f>Y43+Y46+Y52</f>
        <v>1799.2173913043475</v>
      </c>
      <c r="Z84" s="25"/>
    </row>
    <row r="85" spans="1:26">
      <c r="A85" s="23"/>
      <c r="B85" s="23"/>
      <c r="C85" s="133"/>
      <c r="D85" s="134"/>
      <c r="E85" s="135"/>
      <c r="F85" s="23"/>
      <c r="G85" s="23"/>
      <c r="H85" s="23"/>
      <c r="I85" s="23"/>
      <c r="O85" s="139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1"/>
    </row>
    <row r="86" spans="1:26">
      <c r="A86" s="23"/>
      <c r="B86" s="23"/>
      <c r="C86" s="133"/>
      <c r="D86" s="134"/>
      <c r="E86" s="135"/>
      <c r="F86" s="23"/>
      <c r="G86" s="23"/>
      <c r="H86" s="23"/>
      <c r="I86" s="23"/>
    </row>
    <row r="87" spans="1:26">
      <c r="A87" s="23"/>
      <c r="B87" s="23"/>
      <c r="C87" s="133"/>
      <c r="D87" s="134"/>
      <c r="E87" s="135"/>
      <c r="F87" s="23"/>
      <c r="G87" s="23"/>
      <c r="H87" s="23"/>
      <c r="I87" s="23"/>
    </row>
    <row r="88" spans="1:26">
      <c r="A88" s="23"/>
      <c r="B88" s="23"/>
      <c r="C88" s="133"/>
      <c r="D88" s="134"/>
      <c r="E88" s="135"/>
      <c r="F88" s="23"/>
      <c r="G88" s="23"/>
      <c r="H88" s="23"/>
      <c r="I88" s="23"/>
    </row>
    <row r="89" spans="1:26">
      <c r="A89" s="23"/>
      <c r="B89" s="23"/>
      <c r="C89" s="133"/>
      <c r="D89" s="134"/>
      <c r="E89" s="135"/>
      <c r="F89" s="23"/>
      <c r="G89" s="23"/>
      <c r="H89" s="23"/>
      <c r="I89" s="23"/>
    </row>
    <row r="90" spans="1:26">
      <c r="A90" s="23"/>
      <c r="B90" s="23"/>
      <c r="C90" s="133"/>
      <c r="D90" s="134"/>
      <c r="E90" s="135"/>
      <c r="F90" s="23"/>
      <c r="G90" s="23"/>
      <c r="H90" s="23"/>
      <c r="I90" s="23"/>
    </row>
    <row r="91" spans="1:26">
      <c r="A91" s="23"/>
      <c r="B91" s="23"/>
      <c r="C91" s="133"/>
      <c r="D91" s="134"/>
      <c r="E91" s="135"/>
      <c r="F91" s="23"/>
      <c r="G91" s="23"/>
      <c r="H91" s="23"/>
      <c r="I91" s="23"/>
    </row>
    <row r="92" spans="1:26">
      <c r="A92" s="23"/>
      <c r="B92" s="23"/>
      <c r="C92" s="133"/>
      <c r="D92" s="134"/>
      <c r="E92" s="135"/>
      <c r="F92" s="23"/>
      <c r="G92" s="23"/>
      <c r="H92" s="23"/>
      <c r="I92" s="23"/>
    </row>
    <row r="93" spans="1:26" ht="13" customHeight="1">
      <c r="A93" s="23"/>
      <c r="B93" s="23"/>
      <c r="C93" s="133"/>
      <c r="D93" s="134"/>
      <c r="E93" s="135"/>
      <c r="F93" s="23"/>
      <c r="G93" s="23"/>
      <c r="H93" s="23"/>
      <c r="I93" s="23"/>
    </row>
    <row r="94" spans="1:26">
      <c r="A94" s="23"/>
      <c r="B94" s="23"/>
      <c r="C94" s="133"/>
      <c r="D94" s="134"/>
      <c r="E94" s="135"/>
      <c r="F94" s="23"/>
      <c r="G94" s="23"/>
      <c r="H94" s="23"/>
      <c r="I94" s="23"/>
    </row>
    <row r="95" spans="1:26" ht="15.75" customHeight="1">
      <c r="A95" s="23"/>
      <c r="B95" s="23"/>
      <c r="C95" s="133"/>
      <c r="D95" s="134"/>
      <c r="E95" s="135"/>
      <c r="F95" s="23"/>
      <c r="G95" s="23"/>
      <c r="H95" s="23"/>
      <c r="I95" s="23"/>
    </row>
    <row r="96" spans="1:26">
      <c r="A96" s="23"/>
      <c r="B96" s="23"/>
      <c r="C96" s="133"/>
      <c r="D96" s="134"/>
      <c r="E96" s="135"/>
      <c r="F96" s="23"/>
      <c r="G96" s="23"/>
      <c r="H96" s="23"/>
      <c r="I96" s="23"/>
    </row>
    <row r="97" spans="1:9">
      <c r="A97" s="23"/>
      <c r="B97" s="23"/>
      <c r="C97" s="133"/>
      <c r="D97" s="134"/>
      <c r="E97" s="135"/>
      <c r="F97" s="23"/>
      <c r="G97" s="23"/>
      <c r="H97" s="23"/>
      <c r="I97" s="23"/>
    </row>
    <row r="98" spans="1:9" ht="15.75" customHeight="1">
      <c r="A98" s="23"/>
      <c r="B98" s="23"/>
      <c r="C98" s="133"/>
      <c r="D98" s="134"/>
      <c r="E98" s="135"/>
      <c r="F98" s="23"/>
      <c r="G98" s="23"/>
      <c r="H98" s="23"/>
      <c r="I98" s="23"/>
    </row>
    <row r="99" spans="1:9">
      <c r="A99" s="23"/>
      <c r="B99" s="23"/>
      <c r="C99" s="133"/>
      <c r="D99" s="134"/>
      <c r="E99" s="135"/>
      <c r="F99" s="23"/>
      <c r="G99" s="23"/>
      <c r="H99" s="23"/>
      <c r="I99" s="23"/>
    </row>
    <row r="100" spans="1:9">
      <c r="A100" s="23"/>
      <c r="B100" s="23"/>
      <c r="C100" s="133"/>
      <c r="D100" s="134"/>
      <c r="E100" s="135"/>
      <c r="F100" s="23"/>
      <c r="G100" s="23"/>
      <c r="H100" s="23"/>
      <c r="I100" s="23"/>
    </row>
    <row r="101" spans="1:9">
      <c r="A101" s="23"/>
      <c r="B101" s="23"/>
      <c r="C101" s="133"/>
      <c r="D101" s="134"/>
      <c r="E101" s="135"/>
      <c r="F101" s="23"/>
      <c r="G101" s="23"/>
      <c r="H101" s="23"/>
      <c r="I101" s="23"/>
    </row>
    <row r="102" spans="1:9">
      <c r="A102" s="23"/>
      <c r="B102" s="23"/>
      <c r="C102" s="133"/>
      <c r="D102" s="134"/>
      <c r="E102" s="135"/>
      <c r="F102" s="23"/>
      <c r="G102" s="23"/>
      <c r="H102" s="23"/>
      <c r="I102" s="23"/>
    </row>
    <row r="103" spans="1:9">
      <c r="A103" s="23"/>
      <c r="B103" s="23"/>
      <c r="C103" s="133"/>
      <c r="D103" s="134"/>
      <c r="E103" s="135"/>
      <c r="F103" s="23"/>
      <c r="G103" s="23"/>
      <c r="H103" s="23"/>
      <c r="I103" s="23"/>
    </row>
    <row r="104" spans="1:9">
      <c r="A104" s="23"/>
      <c r="B104" s="7"/>
      <c r="C104" s="142"/>
      <c r="D104" s="143"/>
      <c r="E104" s="135"/>
      <c r="F104" s="27"/>
      <c r="G104" s="27"/>
      <c r="H104" s="27"/>
      <c r="I104" s="23"/>
    </row>
    <row r="105" spans="1:9">
      <c r="A105" s="23"/>
      <c r="B105" s="7"/>
      <c r="C105" s="142"/>
      <c r="D105" s="143"/>
      <c r="E105" s="135"/>
      <c r="F105" s="27"/>
      <c r="G105" s="27"/>
      <c r="H105" s="27"/>
      <c r="I105" s="23"/>
    </row>
    <row r="106" spans="1:9">
      <c r="A106" s="23"/>
      <c r="B106" s="7"/>
      <c r="C106" s="142"/>
      <c r="D106" s="143"/>
      <c r="E106" s="135"/>
      <c r="F106" s="27"/>
      <c r="G106" s="27"/>
      <c r="H106" s="27"/>
      <c r="I106" s="23"/>
    </row>
    <row r="107" spans="1:9">
      <c r="A107" s="23"/>
      <c r="B107" s="7"/>
      <c r="C107" s="142"/>
      <c r="D107" s="143"/>
      <c r="E107" s="135"/>
      <c r="F107" s="27"/>
      <c r="G107" s="27"/>
      <c r="H107" s="27"/>
      <c r="I107" s="23"/>
    </row>
    <row r="108" spans="1:9">
      <c r="A108" s="23"/>
      <c r="B108" s="7"/>
      <c r="C108" s="142"/>
      <c r="D108" s="143"/>
      <c r="E108" s="135"/>
      <c r="F108" s="27"/>
      <c r="G108" s="27"/>
      <c r="H108" s="27"/>
      <c r="I108" s="23"/>
    </row>
    <row r="109" spans="1:9">
      <c r="A109" s="23"/>
      <c r="B109" s="7"/>
      <c r="C109" s="142"/>
      <c r="D109" s="143"/>
      <c r="E109" s="135"/>
      <c r="F109" s="27"/>
      <c r="G109" s="27"/>
      <c r="H109" s="27"/>
      <c r="I109" s="23"/>
    </row>
    <row r="110" spans="1:9">
      <c r="A110" s="23"/>
      <c r="B110" s="7"/>
      <c r="C110" s="142"/>
      <c r="D110" s="143"/>
      <c r="E110" s="135"/>
      <c r="F110" s="27"/>
      <c r="G110" s="27"/>
      <c r="H110" s="27"/>
      <c r="I110" s="23"/>
    </row>
    <row r="111" spans="1:9">
      <c r="A111" s="23"/>
      <c r="B111" s="7"/>
      <c r="C111" s="142"/>
      <c r="D111" s="143"/>
      <c r="E111" s="135"/>
      <c r="F111" s="27"/>
      <c r="G111" s="27"/>
      <c r="H111" s="27"/>
      <c r="I111" s="23"/>
    </row>
    <row r="112" spans="1:9">
      <c r="A112" s="23"/>
      <c r="B112" s="23"/>
      <c r="C112" s="133"/>
      <c r="D112" s="134"/>
      <c r="E112" s="135"/>
      <c r="F112" s="23"/>
      <c r="G112" s="23"/>
      <c r="H112" s="23"/>
      <c r="I112" s="23"/>
    </row>
    <row r="113" spans="1:14">
      <c r="A113" s="23"/>
      <c r="B113" s="23"/>
      <c r="C113" s="133"/>
      <c r="D113" s="134"/>
      <c r="E113" s="135"/>
      <c r="F113" s="23"/>
      <c r="G113" s="23"/>
      <c r="H113" s="23"/>
      <c r="I113" s="23"/>
    </row>
    <row r="114" spans="1:14">
      <c r="A114" s="23"/>
      <c r="B114" s="23"/>
      <c r="C114" s="133"/>
      <c r="D114" s="134"/>
      <c r="E114" s="135"/>
      <c r="F114" s="23"/>
      <c r="G114" s="23"/>
      <c r="H114" s="23"/>
      <c r="I114" s="23"/>
    </row>
    <row r="115" spans="1:14">
      <c r="A115" s="23"/>
      <c r="B115" s="23"/>
      <c r="C115" s="133"/>
      <c r="D115" s="134"/>
      <c r="E115" s="135"/>
      <c r="F115" s="23"/>
      <c r="G115" s="23"/>
      <c r="H115" s="23"/>
      <c r="I115" s="23"/>
    </row>
    <row r="116" spans="1:14">
      <c r="A116" s="23"/>
      <c r="B116" s="23"/>
      <c r="C116" s="133"/>
      <c r="D116" s="134"/>
      <c r="E116" s="135"/>
      <c r="F116" s="23"/>
      <c r="G116" s="23"/>
      <c r="H116" s="23"/>
      <c r="I116" s="23"/>
    </row>
    <row r="117" spans="1:14">
      <c r="A117" s="23"/>
      <c r="B117" s="23"/>
      <c r="C117" s="133"/>
      <c r="D117" s="134"/>
      <c r="E117" s="135"/>
      <c r="F117" s="23"/>
      <c r="G117" s="23"/>
      <c r="H117" s="23"/>
      <c r="I117" s="23"/>
    </row>
    <row r="118" spans="1:14">
      <c r="A118" s="23"/>
      <c r="B118" s="23"/>
      <c r="C118" s="133"/>
      <c r="D118" s="134"/>
      <c r="E118" s="135"/>
      <c r="F118" s="23"/>
      <c r="G118" s="23"/>
      <c r="H118" s="23"/>
      <c r="I118" s="23"/>
    </row>
    <row r="119" spans="1:14">
      <c r="A119" s="23"/>
      <c r="B119" s="23"/>
      <c r="C119" s="133"/>
      <c r="D119" s="134"/>
      <c r="E119" s="135"/>
      <c r="F119" s="23"/>
      <c r="G119" s="23"/>
      <c r="H119" s="23"/>
      <c r="I119" s="23"/>
    </row>
    <row r="120" spans="1:14">
      <c r="A120" s="23"/>
      <c r="B120" s="23"/>
      <c r="C120" s="133"/>
      <c r="D120" s="134"/>
      <c r="E120" s="135"/>
      <c r="F120" s="23"/>
      <c r="G120" s="23"/>
      <c r="H120" s="23"/>
      <c r="I120" s="23"/>
    </row>
    <row r="121" spans="1:14">
      <c r="A121" s="23"/>
      <c r="B121" s="23"/>
      <c r="C121" s="133"/>
      <c r="D121" s="134"/>
      <c r="E121" s="135"/>
      <c r="F121" s="23"/>
      <c r="G121" s="23"/>
      <c r="H121" s="23"/>
      <c r="I121" s="23"/>
    </row>
    <row r="122" spans="1:14">
      <c r="A122" s="23"/>
      <c r="B122" s="23"/>
      <c r="C122" s="133"/>
      <c r="D122" s="134"/>
      <c r="E122" s="135"/>
      <c r="F122" s="23"/>
      <c r="G122" s="23"/>
      <c r="H122" s="23"/>
      <c r="I122" s="23"/>
    </row>
    <row r="123" spans="1:14">
      <c r="A123" s="23"/>
      <c r="B123" s="23"/>
      <c r="C123" s="133"/>
      <c r="D123" s="134"/>
      <c r="E123" s="135"/>
      <c r="F123" s="23"/>
      <c r="G123" s="23"/>
      <c r="H123" s="23"/>
      <c r="I123" s="23"/>
    </row>
    <row r="124" spans="1:14">
      <c r="A124" s="23"/>
      <c r="B124" s="23"/>
      <c r="C124" s="133"/>
      <c r="D124" s="134"/>
      <c r="E124" s="135"/>
      <c r="F124" s="23"/>
      <c r="G124" s="23"/>
      <c r="H124" s="23"/>
      <c r="I124" s="23"/>
    </row>
    <row r="125" spans="1:14">
      <c r="A125" s="23"/>
      <c r="B125" s="23"/>
      <c r="C125" s="133"/>
      <c r="D125" s="134"/>
      <c r="E125" s="135"/>
      <c r="F125" s="23"/>
      <c r="G125" s="23"/>
      <c r="H125" s="23"/>
      <c r="I125" s="23"/>
    </row>
    <row r="126" spans="1:14">
      <c r="A126" s="23"/>
      <c r="B126" s="23"/>
      <c r="C126" s="133"/>
      <c r="D126" s="134"/>
      <c r="E126" s="135"/>
      <c r="F126" s="23"/>
      <c r="G126" s="23"/>
      <c r="H126" s="23"/>
      <c r="I126" s="23"/>
      <c r="M126" s="23"/>
      <c r="N126" s="23"/>
    </row>
    <row r="127" spans="1:14">
      <c r="A127" s="23"/>
      <c r="B127" s="23"/>
      <c r="C127" s="133"/>
      <c r="D127" s="134"/>
      <c r="E127" s="135"/>
      <c r="F127" s="23"/>
      <c r="G127" s="23"/>
      <c r="H127" s="23"/>
      <c r="I127" s="23"/>
      <c r="M127" s="23"/>
      <c r="N127" s="23"/>
    </row>
    <row r="128" spans="1:14">
      <c r="A128" s="23"/>
      <c r="B128" s="23"/>
      <c r="C128" s="133"/>
      <c r="D128" s="134"/>
      <c r="E128" s="135"/>
      <c r="F128" s="23"/>
      <c r="G128" s="23"/>
      <c r="H128" s="23"/>
      <c r="I128" s="23"/>
      <c r="M128" s="23"/>
      <c r="N128" s="23"/>
    </row>
    <row r="129" spans="1:14">
      <c r="A129" s="23"/>
      <c r="B129" s="23"/>
      <c r="C129" s="133"/>
      <c r="D129" s="134"/>
      <c r="E129" s="135"/>
      <c r="F129" s="23"/>
      <c r="G129" s="23"/>
      <c r="H129" s="23"/>
      <c r="I129" s="23"/>
      <c r="M129" s="22"/>
      <c r="N129" s="22"/>
    </row>
    <row r="130" spans="1:14">
      <c r="A130" s="23"/>
      <c r="B130" s="23"/>
      <c r="C130" s="133"/>
      <c r="D130" s="134"/>
      <c r="E130" s="135"/>
      <c r="F130" s="23"/>
      <c r="G130" s="23"/>
      <c r="H130" s="23"/>
      <c r="I130" s="23"/>
      <c r="M130" s="22"/>
      <c r="N130" s="22"/>
    </row>
    <row r="131" spans="1:14">
      <c r="A131" s="22"/>
      <c r="B131" s="22"/>
      <c r="C131" s="144"/>
      <c r="D131" s="145"/>
      <c r="E131" s="146"/>
      <c r="F131" s="22"/>
      <c r="G131" s="22"/>
      <c r="H131" s="22"/>
      <c r="I131" s="22"/>
      <c r="M131" s="22"/>
      <c r="N131" s="22"/>
    </row>
    <row r="132" spans="1:14">
      <c r="A132" s="22"/>
      <c r="B132" s="22"/>
      <c r="C132" s="144"/>
      <c r="D132" s="145"/>
      <c r="E132" s="146"/>
      <c r="F132" s="22"/>
      <c r="G132" s="22"/>
      <c r="H132" s="22"/>
      <c r="I132" s="22"/>
      <c r="M132" s="22"/>
      <c r="N132" s="22"/>
    </row>
    <row r="133" spans="1:14">
      <c r="A133" s="22"/>
      <c r="B133" s="22"/>
      <c r="C133" s="144"/>
      <c r="D133" s="145"/>
      <c r="E133" s="146"/>
      <c r="F133" s="22"/>
      <c r="G133" s="22"/>
      <c r="H133" s="22"/>
      <c r="I133" s="22"/>
      <c r="M133" s="22"/>
      <c r="N133" s="22"/>
    </row>
    <row r="134" spans="1:14">
      <c r="A134" s="22"/>
      <c r="B134" s="22"/>
      <c r="C134" s="144"/>
      <c r="D134" s="145"/>
      <c r="E134" s="146"/>
      <c r="F134" s="22"/>
      <c r="G134" s="22"/>
      <c r="H134" s="22"/>
      <c r="I134" s="22"/>
      <c r="M134" s="22"/>
      <c r="N134" s="22"/>
    </row>
    <row r="135" spans="1:14">
      <c r="A135" s="22"/>
      <c r="B135" s="22"/>
      <c r="C135" s="144"/>
      <c r="D135" s="145"/>
      <c r="E135" s="146"/>
      <c r="F135" s="22"/>
      <c r="G135" s="22"/>
      <c r="H135" s="22"/>
      <c r="I135" s="22"/>
      <c r="M135" s="22"/>
      <c r="N135" s="22"/>
    </row>
    <row r="136" spans="1:14">
      <c r="A136" s="22"/>
      <c r="B136" s="22"/>
      <c r="C136" s="144"/>
      <c r="D136" s="145"/>
      <c r="E136" s="146"/>
      <c r="F136" s="22"/>
      <c r="G136" s="22"/>
      <c r="H136" s="22"/>
      <c r="I136" s="22"/>
      <c r="M136" s="22"/>
      <c r="N136" s="22"/>
    </row>
    <row r="137" spans="1:14">
      <c r="A137" s="22"/>
      <c r="B137" s="22"/>
      <c r="C137" s="144"/>
      <c r="D137" s="145"/>
      <c r="E137" s="146"/>
      <c r="F137" s="22"/>
      <c r="G137" s="22"/>
      <c r="H137" s="22"/>
      <c r="I137" s="22"/>
      <c r="M137" s="22"/>
      <c r="N137" s="22"/>
    </row>
    <row r="138" spans="1:14">
      <c r="A138" s="22"/>
      <c r="B138" s="22"/>
      <c r="C138" s="144"/>
      <c r="D138" s="145"/>
      <c r="E138" s="146"/>
      <c r="F138" s="22"/>
      <c r="G138" s="22"/>
      <c r="H138" s="22"/>
      <c r="I138" s="22"/>
    </row>
    <row r="139" spans="1:14">
      <c r="A139" s="22"/>
      <c r="B139" s="22"/>
      <c r="C139" s="144"/>
      <c r="D139" s="145"/>
      <c r="E139" s="146"/>
      <c r="F139" s="22"/>
      <c r="G139" s="22"/>
      <c r="H139" s="22"/>
      <c r="I139" s="22"/>
    </row>
    <row r="140" spans="1:14">
      <c r="C140" s="147"/>
      <c r="D140" s="145"/>
      <c r="E140" s="5"/>
    </row>
    <row r="141" spans="1:14">
      <c r="C141" s="147"/>
      <c r="D141" s="145"/>
      <c r="E141" s="5"/>
    </row>
    <row r="142" spans="1:14">
      <c r="C142" s="147"/>
      <c r="D142" s="145"/>
      <c r="E142" s="5"/>
    </row>
    <row r="143" spans="1:14">
      <c r="C143" s="147"/>
      <c r="D143" s="145"/>
      <c r="E143" s="5"/>
    </row>
    <row r="144" spans="1:14">
      <c r="C144" s="147"/>
      <c r="D144" s="145"/>
      <c r="E144" s="5"/>
    </row>
    <row r="145" spans="3:5">
      <c r="C145" s="147"/>
      <c r="D145" s="145"/>
      <c r="E145" s="5"/>
    </row>
    <row r="146" spans="3:5">
      <c r="C146" s="147"/>
      <c r="D146" s="145"/>
      <c r="E146" s="5"/>
    </row>
    <row r="147" spans="3:5">
      <c r="C147" s="147"/>
      <c r="D147" s="145"/>
      <c r="E147" s="5"/>
    </row>
    <row r="203" spans="4:5" ht="12.75" customHeight="1">
      <c r="D203" s="5"/>
      <c r="E203" s="5"/>
    </row>
  </sheetData>
  <mergeCells count="35">
    <mergeCell ref="P30:Y30"/>
    <mergeCell ref="P31:Q34"/>
    <mergeCell ref="R31:R34"/>
    <mergeCell ref="S31:S34"/>
    <mergeCell ref="T31:U32"/>
    <mergeCell ref="V31:W31"/>
    <mergeCell ref="X31:X34"/>
    <mergeCell ref="P37:Q38"/>
    <mergeCell ref="T37:T38"/>
    <mergeCell ref="P40:Q41"/>
    <mergeCell ref="T40:T41"/>
    <mergeCell ref="P43:Q44"/>
    <mergeCell ref="T43:T44"/>
    <mergeCell ref="P46:Q47"/>
    <mergeCell ref="T46:T47"/>
    <mergeCell ref="P49:Q50"/>
    <mergeCell ref="T49:T50"/>
    <mergeCell ref="P67:Q68"/>
    <mergeCell ref="T67:T68"/>
    <mergeCell ref="P52:Q53"/>
    <mergeCell ref="T52:T53"/>
    <mergeCell ref="P55:Q56"/>
    <mergeCell ref="T55:T56"/>
    <mergeCell ref="P58:Q59"/>
    <mergeCell ref="T58:T59"/>
    <mergeCell ref="P61:Q62"/>
    <mergeCell ref="T61:T62"/>
    <mergeCell ref="P64:Q65"/>
    <mergeCell ref="T64:T65"/>
    <mergeCell ref="P70:Q71"/>
    <mergeCell ref="T70:T71"/>
    <mergeCell ref="P73:Q74"/>
    <mergeCell ref="T73:T74"/>
    <mergeCell ref="P76:Q77"/>
    <mergeCell ref="T76:T77"/>
  </mergeCells>
  <phoneticPr fontId="1" type="noConversion"/>
  <hyperlinks>
    <hyperlink ref="D39" r:id="rId1" xr:uid="{00000000-0004-0000-0600-000000000000}"/>
    <hyperlink ref="D44" r:id="rId2" xr:uid="{00000000-0004-0000-0600-000001000000}"/>
    <hyperlink ref="D48" r:id="rId3" xr:uid="{00000000-0004-0000-0600-000002000000}"/>
    <hyperlink ref="D49" r:id="rId4" xr:uid="{00000000-0004-0000-0600-000003000000}"/>
    <hyperlink ref="D50" r:id="rId5" xr:uid="{00000000-0004-0000-0600-000004000000}"/>
    <hyperlink ref="D51" r:id="rId6" xr:uid="{00000000-0004-0000-0600-000005000000}"/>
    <hyperlink ref="D52" r:id="rId7" xr:uid="{00000000-0004-0000-0600-000006000000}"/>
    <hyperlink ref="D53" r:id="rId8" xr:uid="{00000000-0004-0000-0600-000007000000}"/>
    <hyperlink ref="D54" r:id="rId9" xr:uid="{00000000-0004-0000-0600-000008000000}"/>
    <hyperlink ref="D19" r:id="rId10" xr:uid="{00000000-0004-0000-0600-000009000000}"/>
    <hyperlink ref="D22" r:id="rId11" xr:uid="{00000000-0004-0000-0600-00000A000000}"/>
    <hyperlink ref="D40" r:id="rId12" xr:uid="{00000000-0004-0000-0600-00000B000000}"/>
    <hyperlink ref="D28" r:id="rId13" xr:uid="{00000000-0004-0000-0600-00000C000000}"/>
    <hyperlink ref="D24" r:id="rId14" xr:uid="{00000000-0004-0000-0600-00000D000000}"/>
    <hyperlink ref="D11" r:id="rId15" xr:uid="{00000000-0004-0000-0600-00000E000000}"/>
    <hyperlink ref="D17" r:id="rId16" xr:uid="{00000000-0004-0000-0600-00000F000000}"/>
    <hyperlink ref="D34" r:id="rId17" xr:uid="{00000000-0004-0000-0600-000010000000}"/>
  </hyperlinks>
  <pageMargins left="0.7" right="0.7" top="0.75" bottom="0.75" header="0.3" footer="0.3"/>
  <legacyDrawing r:id="rId18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3D74-B157-9E43-81B6-B33B770CC825}">
  <dimension ref="A1:N74"/>
  <sheetViews>
    <sheetView zoomScale="70" zoomScaleNormal="70" zoomScalePageLayoutView="150" workbookViewId="0">
      <selection activeCell="F80" sqref="F80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429" t="s">
        <v>351</v>
      </c>
      <c r="B1" s="429"/>
      <c r="C1" s="429"/>
      <c r="D1" s="429"/>
      <c r="E1" s="429"/>
      <c r="F1" s="429"/>
      <c r="G1" s="429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106966</v>
      </c>
      <c r="G3" s="176" t="s">
        <v>1</v>
      </c>
      <c r="I3" s="178" t="s">
        <v>234</v>
      </c>
      <c r="J3" s="179"/>
      <c r="K3" s="180">
        <f>F32*F17</f>
        <v>25160884.24205463</v>
      </c>
      <c r="L3" s="181" t="s">
        <v>9</v>
      </c>
    </row>
    <row r="4" spans="1:12" ht="17" thickBot="1">
      <c r="A4" s="176" t="s">
        <v>53</v>
      </c>
      <c r="B4" s="176"/>
      <c r="F4" s="182">
        <f>SUM(I46:I67)</f>
        <v>10856.220000000001</v>
      </c>
      <c r="G4" s="176" t="s">
        <v>1</v>
      </c>
      <c r="I4" s="183" t="s">
        <v>15</v>
      </c>
      <c r="K4" s="184">
        <f>F33*F18</f>
        <v>1816097.9007600001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96109.78</v>
      </c>
      <c r="G5" s="176" t="s">
        <v>1</v>
      </c>
      <c r="I5" s="183" t="s">
        <v>8</v>
      </c>
      <c r="K5" s="186">
        <f>F34*F19</f>
        <v>13089646.708396342</v>
      </c>
      <c r="L5" s="185" t="s">
        <v>9</v>
      </c>
    </row>
    <row r="6" spans="1:12" ht="16">
      <c r="A6" s="176" t="s">
        <v>63</v>
      </c>
      <c r="B6" s="176"/>
      <c r="F6" s="177">
        <v>32473.599999999999</v>
      </c>
      <c r="G6" s="176" t="s">
        <v>1</v>
      </c>
      <c r="I6" s="183" t="s">
        <v>54</v>
      </c>
      <c r="K6" s="187">
        <f>F35*F20</f>
        <v>260992.04507999998</v>
      </c>
      <c r="L6" s="185" t="s">
        <v>9</v>
      </c>
    </row>
    <row r="7" spans="1:12" ht="16">
      <c r="A7" s="176" t="s">
        <v>64</v>
      </c>
      <c r="B7" s="176"/>
      <c r="F7" s="177">
        <v>5804</v>
      </c>
      <c r="G7" s="176" t="s">
        <v>1</v>
      </c>
      <c r="I7" s="188"/>
      <c r="L7" s="189"/>
    </row>
    <row r="8" spans="1:12" ht="17" thickBot="1">
      <c r="A8" s="176" t="s">
        <v>65</v>
      </c>
      <c r="B8" s="176"/>
      <c r="F8" s="428">
        <f>SUM(F6:F7)/F5</f>
        <v>0.39826956216110365</v>
      </c>
      <c r="G8" s="176"/>
      <c r="I8" s="191" t="s">
        <v>18</v>
      </c>
      <c r="J8" s="192"/>
      <c r="K8" s="193">
        <f>SUM(K3:K6)/F11/1000</f>
        <v>0.72620129471143657</v>
      </c>
      <c r="L8" s="194" t="s">
        <v>10</v>
      </c>
    </row>
    <row r="9" spans="1:12" ht="16">
      <c r="A9" s="176" t="s">
        <v>171</v>
      </c>
      <c r="B9" s="176"/>
      <c r="F9" s="195">
        <v>1103.08</v>
      </c>
      <c r="G9" s="176" t="s">
        <v>1</v>
      </c>
      <c r="H9" s="176" t="s">
        <v>350</v>
      </c>
      <c r="I9" s="196"/>
      <c r="K9" s="197"/>
      <c r="L9" s="196"/>
    </row>
    <row r="10" spans="1:12" ht="16">
      <c r="A10" s="176" t="s">
        <v>172</v>
      </c>
      <c r="B10" s="176"/>
      <c r="F10" s="195">
        <f>1209.85-13.04</f>
        <v>1196.81</v>
      </c>
      <c r="G10" s="176" t="s">
        <v>1</v>
      </c>
      <c r="H10" s="176" t="s">
        <v>350</v>
      </c>
      <c r="I10" s="196"/>
      <c r="K10" s="197"/>
      <c r="L10" s="196"/>
    </row>
    <row r="11" spans="1:12" ht="16">
      <c r="A11" s="176" t="s">
        <v>176</v>
      </c>
      <c r="B11" s="176"/>
      <c r="F11" s="198">
        <f>F5-SUM(F9:F10)-F6-F7</f>
        <v>55532.29</v>
      </c>
      <c r="G11" s="176" t="s">
        <v>1</v>
      </c>
      <c r="H11" s="176"/>
      <c r="I11" s="196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427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349</v>
      </c>
    </row>
    <row r="16" spans="1:12" ht="16">
      <c r="A16" s="176"/>
      <c r="B16" s="176"/>
      <c r="G16" s="202"/>
    </row>
    <row r="17" spans="1:8" ht="16">
      <c r="A17" s="176" t="s">
        <v>232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236</v>
      </c>
      <c r="F22" s="203">
        <v>8234479</v>
      </c>
      <c r="G22" s="202" t="s">
        <v>47</v>
      </c>
      <c r="H22" s="176" t="s">
        <v>348</v>
      </c>
    </row>
    <row r="23" spans="1:8" ht="16">
      <c r="A23" s="176" t="s">
        <v>57</v>
      </c>
      <c r="F23" s="203">
        <v>565953</v>
      </c>
      <c r="G23" s="202" t="s">
        <v>47</v>
      </c>
      <c r="H23" s="176" t="s">
        <v>348</v>
      </c>
    </row>
    <row r="24" spans="1:8" ht="16">
      <c r="A24" s="204" t="s">
        <v>46</v>
      </c>
      <c r="F24" s="203">
        <v>6847894</v>
      </c>
      <c r="G24" s="202" t="s">
        <v>47</v>
      </c>
      <c r="H24" s="176" t="s">
        <v>348</v>
      </c>
    </row>
    <row r="25" spans="1:8" ht="16">
      <c r="A25" s="176" t="s">
        <v>45</v>
      </c>
      <c r="F25" s="203">
        <v>67638</v>
      </c>
      <c r="G25" s="202" t="s">
        <v>47</v>
      </c>
      <c r="H25" s="176" t="s">
        <v>347</v>
      </c>
    </row>
    <row r="27" spans="1:8" ht="16">
      <c r="A27" s="176" t="s">
        <v>236</v>
      </c>
      <c r="F27" s="205">
        <f>F22*$F$15</f>
        <v>363963.9718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25015.122600000002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302676.91480000003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2989.5996</v>
      </c>
      <c r="G30" s="202" t="s">
        <v>16</v>
      </c>
      <c r="H30" s="176" t="s">
        <v>52</v>
      </c>
    </row>
    <row r="32" spans="1:8" ht="16">
      <c r="A32" s="204" t="s">
        <v>238</v>
      </c>
      <c r="F32" s="205">
        <f>F27-L70</f>
        <v>333256.74492787587</v>
      </c>
      <c r="G32" s="202" t="s">
        <v>16</v>
      </c>
      <c r="H32" s="176" t="s">
        <v>346</v>
      </c>
    </row>
    <row r="33" spans="1:14" ht="16">
      <c r="A33" s="204" t="s">
        <v>59</v>
      </c>
      <c r="F33" s="205">
        <f>F28</f>
        <v>25015.122600000002</v>
      </c>
      <c r="G33" s="202" t="s">
        <v>16</v>
      </c>
      <c r="H33" s="176" t="s">
        <v>346</v>
      </c>
    </row>
    <row r="34" spans="1:14" ht="16">
      <c r="A34" s="204" t="s">
        <v>50</v>
      </c>
      <c r="F34" s="205">
        <f>F29-L71</f>
        <v>241061.63367212415</v>
      </c>
      <c r="G34" s="202" t="s">
        <v>16</v>
      </c>
      <c r="H34" s="176" t="s">
        <v>346</v>
      </c>
    </row>
    <row r="35" spans="1:14" ht="17" customHeight="1">
      <c r="A35" s="204" t="s">
        <v>49</v>
      </c>
      <c r="F35" s="205">
        <f>F30</f>
        <v>2989.5996</v>
      </c>
      <c r="G35" s="202" t="s">
        <v>16</v>
      </c>
      <c r="H35" s="176" t="s">
        <v>346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282" t="s">
        <v>345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425"/>
      <c r="E39" s="289"/>
      <c r="F39" s="425"/>
      <c r="G39" s="606" t="s">
        <v>223</v>
      </c>
      <c r="H39" s="607"/>
      <c r="I39" s="600" t="s">
        <v>23</v>
      </c>
      <c r="J39" s="601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425"/>
      <c r="E40" s="289" t="s">
        <v>71</v>
      </c>
      <c r="F40" s="425" t="s">
        <v>22</v>
      </c>
      <c r="G40" s="608"/>
      <c r="H40" s="609"/>
      <c r="I40" s="425" t="s">
        <v>224</v>
      </c>
      <c r="J40" s="425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425"/>
      <c r="E41" s="291"/>
      <c r="F41" s="426"/>
      <c r="G41" s="293"/>
      <c r="H41" s="290"/>
      <c r="I41" s="425"/>
      <c r="J41" s="425"/>
      <c r="K41" s="289"/>
      <c r="L41" s="290"/>
      <c r="M41" s="286"/>
    </row>
    <row r="42" spans="1:14" ht="15" customHeight="1">
      <c r="B42" s="281"/>
      <c r="C42" s="287"/>
      <c r="D42" s="426"/>
      <c r="E42" s="291"/>
      <c r="F42" s="426"/>
      <c r="G42" s="293"/>
      <c r="H42" s="290"/>
      <c r="I42" s="425"/>
      <c r="J42" s="425"/>
      <c r="K42" s="289"/>
      <c r="L42" s="290"/>
      <c r="M42" s="286"/>
    </row>
    <row r="43" spans="1:14" ht="14" customHeight="1">
      <c r="B43" s="281"/>
      <c r="C43" s="294"/>
      <c r="D43" s="423"/>
      <c r="E43" s="296" t="s">
        <v>73</v>
      </c>
      <c r="F43" s="424"/>
      <c r="G43" s="294" t="s">
        <v>74</v>
      </c>
      <c r="H43" s="298"/>
      <c r="I43" s="423"/>
      <c r="J43" s="423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598" t="s">
        <v>1</v>
      </c>
      <c r="H44" s="599"/>
      <c r="I44" s="598" t="s">
        <v>1</v>
      </c>
      <c r="J44" s="599"/>
      <c r="K44" s="305"/>
      <c r="L44" s="306" t="s">
        <v>16</v>
      </c>
      <c r="M44" s="286"/>
      <c r="N44" s="231"/>
    </row>
    <row r="45" spans="1:14" ht="15">
      <c r="B45" s="281"/>
      <c r="C45" s="412" t="s">
        <v>28</v>
      </c>
      <c r="D45" s="422"/>
      <c r="E45" s="309"/>
      <c r="F45" s="421"/>
      <c r="G45" s="311"/>
      <c r="H45" s="312"/>
      <c r="I45" s="420"/>
      <c r="J45" s="420"/>
      <c r="K45" s="314"/>
      <c r="L45" s="419"/>
      <c r="M45" s="286"/>
      <c r="N45" s="231"/>
    </row>
    <row r="46" spans="1:14" ht="15">
      <c r="B46" s="281"/>
      <c r="C46" s="610" t="s">
        <v>31</v>
      </c>
      <c r="D46" s="371"/>
      <c r="E46" s="316" t="s">
        <v>230</v>
      </c>
      <c r="F46" s="317" t="s">
        <v>34</v>
      </c>
      <c r="G46" s="602">
        <v>11.18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11"/>
      <c r="D47" s="416"/>
      <c r="E47" s="322"/>
      <c r="F47" s="417"/>
      <c r="G47" s="613"/>
      <c r="H47" s="324"/>
      <c r="I47" s="416"/>
      <c r="J47" s="416"/>
      <c r="K47" s="373"/>
      <c r="L47" s="324"/>
      <c r="M47" s="286"/>
      <c r="N47" s="231"/>
    </row>
    <row r="48" spans="1:14" ht="15" customHeight="1">
      <c r="B48" s="281"/>
      <c r="C48" s="612"/>
      <c r="D48" s="325"/>
      <c r="E48" s="326" t="s">
        <v>0</v>
      </c>
      <c r="F48" s="327" t="s">
        <v>34</v>
      </c>
      <c r="G48" s="603"/>
      <c r="H48" s="328">
        <f>I48/(I48+I46)*G46</f>
        <v>11.18</v>
      </c>
      <c r="I48" s="329">
        <v>435.07</v>
      </c>
      <c r="J48" s="329">
        <f>I48-H48</f>
        <v>423.89</v>
      </c>
      <c r="K48" s="374">
        <v>0.375</v>
      </c>
      <c r="L48" s="330">
        <f>J48/K48*3600/1000</f>
        <v>4069.3439999999996</v>
      </c>
      <c r="M48" s="286"/>
      <c r="N48" s="231"/>
    </row>
    <row r="49" spans="2:14">
      <c r="B49" s="281"/>
      <c r="C49" s="361"/>
      <c r="D49" s="361"/>
      <c r="E49" s="332"/>
      <c r="F49" s="410"/>
      <c r="G49" s="334"/>
      <c r="H49" s="335"/>
      <c r="I49" s="361"/>
      <c r="J49" s="361"/>
      <c r="K49" s="314"/>
      <c r="L49" s="361"/>
      <c r="M49" s="286"/>
      <c r="N49" s="231"/>
    </row>
    <row r="50" spans="2:14">
      <c r="B50" s="281"/>
      <c r="C50" s="418"/>
      <c r="D50" s="361"/>
      <c r="E50" s="332"/>
      <c r="F50" s="410"/>
      <c r="G50" s="334"/>
      <c r="H50" s="339"/>
      <c r="I50" s="406"/>
      <c r="J50" s="406"/>
      <c r="K50" s="375"/>
      <c r="L50" s="409"/>
      <c r="M50" s="286"/>
      <c r="N50" s="231"/>
    </row>
    <row r="51" spans="2:14" ht="15" customHeight="1">
      <c r="B51" s="281"/>
      <c r="C51" s="610" t="s">
        <v>32</v>
      </c>
      <c r="D51" s="376"/>
      <c r="E51" s="316" t="s">
        <v>230</v>
      </c>
      <c r="F51" s="317" t="s">
        <v>30</v>
      </c>
      <c r="G51" s="602">
        <v>7.53</v>
      </c>
      <c r="H51" s="318">
        <f>I51/(I51+I53)*G51</f>
        <v>0</v>
      </c>
      <c r="I51" s="319">
        <v>0</v>
      </c>
      <c r="J51" s="319">
        <f>I51-H51</f>
        <v>0</v>
      </c>
      <c r="K51" s="372">
        <v>0.3</v>
      </c>
      <c r="L51" s="320">
        <f>J51/K51*3600/1000</f>
        <v>0</v>
      </c>
      <c r="M51" s="286"/>
      <c r="N51" s="231"/>
    </row>
    <row r="52" spans="2:14" ht="15" customHeight="1">
      <c r="B52" s="281"/>
      <c r="C52" s="611"/>
      <c r="D52" s="416"/>
      <c r="E52" s="322"/>
      <c r="F52" s="417"/>
      <c r="G52" s="613"/>
      <c r="H52" s="324"/>
      <c r="I52" s="416"/>
      <c r="J52" s="416"/>
      <c r="K52" s="373"/>
      <c r="L52" s="324"/>
      <c r="M52" s="286"/>
      <c r="N52" s="231"/>
    </row>
    <row r="53" spans="2:14" ht="15">
      <c r="B53" s="281"/>
      <c r="C53" s="612"/>
      <c r="D53" s="377"/>
      <c r="E53" s="326" t="s">
        <v>0</v>
      </c>
      <c r="F53" s="327" t="s">
        <v>30</v>
      </c>
      <c r="G53" s="603"/>
      <c r="H53" s="328">
        <f>I53/(I53+I51)*G51</f>
        <v>7.53</v>
      </c>
      <c r="I53" s="329">
        <v>159.69</v>
      </c>
      <c r="J53" s="329">
        <f>I53-H53</f>
        <v>152.16</v>
      </c>
      <c r="K53" s="374">
        <v>0.3</v>
      </c>
      <c r="L53" s="330">
        <f>J53/K53*3600/1000</f>
        <v>1825.92</v>
      </c>
      <c r="M53" s="286"/>
      <c r="N53" s="231"/>
    </row>
    <row r="54" spans="2:14">
      <c r="B54" s="281"/>
      <c r="C54" s="361"/>
      <c r="D54" s="361"/>
      <c r="E54" s="332"/>
      <c r="F54" s="410"/>
      <c r="G54" s="334"/>
      <c r="H54" s="335"/>
      <c r="I54" s="361"/>
      <c r="J54" s="361"/>
      <c r="K54" s="314"/>
      <c r="L54" s="361"/>
      <c r="M54" s="286"/>
      <c r="N54" s="231"/>
    </row>
    <row r="55" spans="2:14" ht="28" customHeight="1">
      <c r="B55" s="281"/>
      <c r="C55" s="604" t="s">
        <v>178</v>
      </c>
      <c r="D55" s="344"/>
      <c r="E55" s="316" t="s">
        <v>230</v>
      </c>
      <c r="F55" s="317" t="s">
        <v>34</v>
      </c>
      <c r="G55" s="602">
        <v>359.54</v>
      </c>
      <c r="H55" s="318">
        <f>I55/(I55+I56)*G55</f>
        <v>194.42220082040311</v>
      </c>
      <c r="I55" s="319">
        <v>2122.4</v>
      </c>
      <c r="J55" s="319">
        <f>I55-H55</f>
        <v>1927.977799179597</v>
      </c>
      <c r="K55" s="372">
        <v>0.375</v>
      </c>
      <c r="L55" s="320">
        <f>J55/K55*3600/1000</f>
        <v>18508.586872124131</v>
      </c>
      <c r="M55" s="286"/>
      <c r="N55" s="231"/>
    </row>
    <row r="56" spans="2:14" ht="26" customHeight="1">
      <c r="B56" s="281"/>
      <c r="C56" s="605"/>
      <c r="D56" s="337"/>
      <c r="E56" s="326" t="s">
        <v>0</v>
      </c>
      <c r="F56" s="327" t="s">
        <v>34</v>
      </c>
      <c r="G56" s="603"/>
      <c r="H56" s="328">
        <f>I56/(I56+I55)*G55</f>
        <v>165.11779917959691</v>
      </c>
      <c r="I56" s="329">
        <v>1802.5</v>
      </c>
      <c r="J56" s="329">
        <f>I56-H56</f>
        <v>1637.3822008204031</v>
      </c>
      <c r="K56" s="374">
        <v>0.375</v>
      </c>
      <c r="L56" s="330">
        <f>J56/K56*3600/1000</f>
        <v>15718.869127875871</v>
      </c>
      <c r="M56" s="286"/>
      <c r="N56" s="231"/>
    </row>
    <row r="57" spans="2:14">
      <c r="B57" s="378"/>
      <c r="C57" s="415"/>
      <c r="D57" s="414"/>
      <c r="E57" s="413"/>
      <c r="F57" s="413"/>
      <c r="G57" s="382"/>
      <c r="H57" s="383"/>
      <c r="I57" s="384"/>
      <c r="J57" s="383"/>
      <c r="K57" s="385"/>
      <c r="L57" s="386"/>
      <c r="M57" s="387"/>
      <c r="N57" s="231"/>
    </row>
    <row r="58" spans="2:14">
      <c r="B58" s="378"/>
      <c r="C58" s="593" t="s">
        <v>35</v>
      </c>
      <c r="D58" s="594"/>
      <c r="E58" s="388" t="s">
        <v>230</v>
      </c>
      <c r="F58" s="389" t="s">
        <v>30</v>
      </c>
      <c r="G58" s="602">
        <v>74.42</v>
      </c>
      <c r="H58" s="318">
        <f>I58/(I58+I59)*G58</f>
        <v>0</v>
      </c>
      <c r="I58" s="319">
        <v>0</v>
      </c>
      <c r="J58" s="319">
        <f>I58-H58</f>
        <v>0</v>
      </c>
      <c r="K58" s="372">
        <v>0.6</v>
      </c>
      <c r="L58" s="320">
        <f>J58/K58*3600/1000</f>
        <v>0</v>
      </c>
      <c r="M58" s="387"/>
      <c r="N58" s="231"/>
    </row>
    <row r="59" spans="2:14">
      <c r="B59" s="378"/>
      <c r="C59" s="595"/>
      <c r="D59" s="596"/>
      <c r="E59" s="394" t="s">
        <v>0</v>
      </c>
      <c r="F59" s="395" t="s">
        <v>30</v>
      </c>
      <c r="G59" s="603"/>
      <c r="H59" s="328">
        <f>I59/(I59+I58)*G58</f>
        <v>74.42</v>
      </c>
      <c r="I59" s="329">
        <v>891.55</v>
      </c>
      <c r="J59" s="329">
        <f>I59-H59</f>
        <v>817.13</v>
      </c>
      <c r="K59" s="374">
        <v>0.6</v>
      </c>
      <c r="L59" s="330">
        <f>J59/K59*3600/1000</f>
        <v>4902.78</v>
      </c>
      <c r="M59" s="387"/>
      <c r="N59" s="231"/>
    </row>
    <row r="60" spans="2:14">
      <c r="B60" s="378"/>
      <c r="C60" s="415"/>
      <c r="D60" s="414"/>
      <c r="E60" s="413"/>
      <c r="F60" s="413"/>
      <c r="G60" s="382"/>
      <c r="H60" s="383"/>
      <c r="I60" s="384"/>
      <c r="J60" s="383"/>
      <c r="K60" s="385"/>
      <c r="L60" s="386"/>
      <c r="M60" s="387"/>
      <c r="N60" s="231"/>
    </row>
    <row r="61" spans="2:14" ht="28" customHeight="1">
      <c r="B61" s="281"/>
      <c r="C61" s="604" t="s">
        <v>179</v>
      </c>
      <c r="D61" s="344"/>
      <c r="E61" s="316" t="s">
        <v>230</v>
      </c>
      <c r="F61" s="317" t="s">
        <v>34</v>
      </c>
      <c r="G61" s="602">
        <v>251.06</v>
      </c>
      <c r="H61" s="318">
        <f>I61/(I61+I62)*G61</f>
        <v>0</v>
      </c>
      <c r="I61" s="319">
        <v>0</v>
      </c>
      <c r="J61" s="319">
        <f>I61-H61</f>
        <v>0</v>
      </c>
      <c r="K61" s="372">
        <v>0.375</v>
      </c>
      <c r="L61" s="320">
        <f>J61/K61*3600/1000</f>
        <v>0</v>
      </c>
      <c r="M61" s="286"/>
      <c r="N61" s="231"/>
    </row>
    <row r="62" spans="2:14" ht="26" customHeight="1">
      <c r="B62" s="281"/>
      <c r="C62" s="605"/>
      <c r="D62" s="337"/>
      <c r="E62" s="326" t="s">
        <v>0</v>
      </c>
      <c r="F62" s="327" t="s">
        <v>34</v>
      </c>
      <c r="G62" s="603"/>
      <c r="H62" s="328">
        <f>I62/(I62+I61)*G61</f>
        <v>251.06</v>
      </c>
      <c r="I62" s="329">
        <v>3907.14</v>
      </c>
      <c r="J62" s="329">
        <f>I62-H62</f>
        <v>3656.08</v>
      </c>
      <c r="K62" s="374">
        <v>0.375</v>
      </c>
      <c r="L62" s="330">
        <f>J62/K62*3600/1000</f>
        <v>35098.368000000002</v>
      </c>
      <c r="M62" s="286"/>
      <c r="N62" s="231"/>
    </row>
    <row r="63" spans="2:14" ht="14">
      <c r="B63" s="281"/>
      <c r="C63" s="412" t="s">
        <v>36</v>
      </c>
      <c r="D63" s="361"/>
      <c r="E63" s="332"/>
      <c r="F63" s="410"/>
      <c r="G63" s="334"/>
      <c r="H63" s="335"/>
      <c r="I63" s="361"/>
      <c r="J63" s="361"/>
      <c r="K63" s="336"/>
      <c r="L63" s="361"/>
      <c r="M63" s="286"/>
    </row>
    <row r="64" spans="2:14" ht="14">
      <c r="B64" s="281"/>
      <c r="C64" s="361"/>
      <c r="D64" s="361"/>
      <c r="E64" s="332"/>
      <c r="F64" s="410"/>
      <c r="G64" s="334"/>
      <c r="H64" s="339"/>
      <c r="I64" s="406"/>
      <c r="J64" s="406"/>
      <c r="K64" s="336"/>
      <c r="L64" s="409"/>
      <c r="M64" s="286"/>
    </row>
    <row r="65" spans="2:13" ht="14">
      <c r="B65" s="281"/>
      <c r="C65" s="345" t="s">
        <v>37</v>
      </c>
      <c r="D65" s="346"/>
      <c r="E65" s="347" t="s">
        <v>230</v>
      </c>
      <c r="F65" s="348" t="s">
        <v>38</v>
      </c>
      <c r="G65" s="345"/>
      <c r="H65" s="349">
        <v>0</v>
      </c>
      <c r="I65" s="350">
        <v>718</v>
      </c>
      <c r="J65" s="350">
        <f>I65-H65</f>
        <v>718</v>
      </c>
      <c r="K65" s="351">
        <v>0.45</v>
      </c>
      <c r="L65" s="352">
        <f>J65/K65*3600/1000</f>
        <v>5744</v>
      </c>
      <c r="M65" s="286"/>
    </row>
    <row r="66" spans="2:13" ht="14">
      <c r="B66" s="281"/>
      <c r="C66" s="411"/>
      <c r="D66" s="361"/>
      <c r="E66" s="332"/>
      <c r="F66" s="410"/>
      <c r="G66" s="334"/>
      <c r="H66" s="339"/>
      <c r="I66" s="406"/>
      <c r="J66" s="406"/>
      <c r="K66" s="336"/>
      <c r="L66" s="409"/>
      <c r="M66" s="286"/>
    </row>
    <row r="67" spans="2:13" ht="14">
      <c r="B67" s="281"/>
      <c r="C67" s="354" t="s">
        <v>39</v>
      </c>
      <c r="D67" s="346"/>
      <c r="E67" s="347" t="s">
        <v>230</v>
      </c>
      <c r="F67" s="348" t="s">
        <v>38</v>
      </c>
      <c r="G67" s="345"/>
      <c r="H67" s="349">
        <v>13.04</v>
      </c>
      <c r="I67" s="350">
        <v>819.87</v>
      </c>
      <c r="J67" s="350">
        <f>I67-H67</f>
        <v>806.83</v>
      </c>
      <c r="K67" s="351">
        <v>0.45</v>
      </c>
      <c r="L67" s="352">
        <f>J67/K67*3600/1000</f>
        <v>6454.64</v>
      </c>
      <c r="M67" s="286"/>
    </row>
    <row r="68" spans="2:13" ht="14">
      <c r="B68" s="281"/>
      <c r="C68" s="361"/>
      <c r="D68" s="361"/>
      <c r="E68" s="355"/>
      <c r="F68" s="361"/>
      <c r="G68" s="356"/>
      <c r="H68" s="357"/>
      <c r="I68" s="361"/>
      <c r="J68" s="361"/>
      <c r="K68" s="355"/>
      <c r="L68" s="404"/>
      <c r="M68" s="286"/>
    </row>
    <row r="69" spans="2:13" ht="14">
      <c r="B69" s="281"/>
      <c r="C69" s="361"/>
      <c r="D69" s="361"/>
      <c r="E69" s="361"/>
      <c r="F69" s="361"/>
      <c r="G69" s="361"/>
      <c r="H69" s="361"/>
      <c r="I69" s="408" t="s">
        <v>40</v>
      </c>
      <c r="J69" s="407">
        <f>SUM(J46:J67)</f>
        <v>10139.449999999999</v>
      </c>
      <c r="K69" s="361"/>
      <c r="L69" s="361"/>
      <c r="M69" s="286"/>
    </row>
    <row r="70" spans="2:13" ht="14">
      <c r="B70" s="281"/>
      <c r="C70" s="361"/>
      <c r="D70" s="361"/>
      <c r="E70" s="361"/>
      <c r="F70" s="361"/>
      <c r="G70" s="361"/>
      <c r="H70" s="361"/>
      <c r="I70" s="361"/>
      <c r="J70" s="406"/>
      <c r="K70" s="405" t="s">
        <v>241</v>
      </c>
      <c r="L70" s="404">
        <f>L46+L51+L55+L58+L61+L65+L67</f>
        <v>30707.226872124131</v>
      </c>
      <c r="M70" s="286"/>
    </row>
    <row r="71" spans="2:13" ht="14">
      <c r="B71" s="281"/>
      <c r="C71" s="361"/>
      <c r="D71" s="361"/>
      <c r="E71" s="361"/>
      <c r="F71" s="361"/>
      <c r="G71" s="361"/>
      <c r="H71" s="361"/>
      <c r="I71" s="361"/>
      <c r="J71" s="361"/>
      <c r="K71" s="405" t="s">
        <v>42</v>
      </c>
      <c r="L71" s="404">
        <f>L48+L53+L56+L59+L62</f>
        <v>61615.281127875875</v>
      </c>
      <c r="M71" s="286"/>
    </row>
    <row r="72" spans="2:13" ht="14" thickBot="1">
      <c r="B72" s="363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5"/>
    </row>
    <row r="74" spans="2:13">
      <c r="B74" s="5" t="s">
        <v>344</v>
      </c>
    </row>
  </sheetData>
  <mergeCells count="14">
    <mergeCell ref="G39:H40"/>
    <mergeCell ref="I39:J39"/>
    <mergeCell ref="G44:H44"/>
    <mergeCell ref="I44:J44"/>
    <mergeCell ref="C46:C48"/>
    <mergeCell ref="G46:G48"/>
    <mergeCell ref="C61:C62"/>
    <mergeCell ref="G61:G62"/>
    <mergeCell ref="C51:C53"/>
    <mergeCell ref="G51:G53"/>
    <mergeCell ref="C55:C56"/>
    <mergeCell ref="G55:G56"/>
    <mergeCell ref="C58:D59"/>
    <mergeCell ref="G58:G5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ER sheet</vt:lpstr>
      <vt:lpstr>Overview CM 2020</vt:lpstr>
      <vt:lpstr>WAPDA OM 2008-09</vt:lpstr>
      <vt:lpstr>WAPDA OM 2009-10</vt:lpstr>
      <vt:lpstr>WAPDA OM 2010-11</vt:lpstr>
      <vt:lpstr>WAPDA OM 2011-12</vt:lpstr>
      <vt:lpstr>WAPDA BM 2012-13</vt:lpstr>
      <vt:lpstr>WAPDA OM 2016 (2014-15)</vt:lpstr>
      <vt:lpstr>WAPDA OM 2017 (2015-16)</vt:lpstr>
      <vt:lpstr>WAPDA OM 2018 (2016-17)</vt:lpstr>
      <vt:lpstr>WAPDA OM 2019 (2017-18)</vt:lpstr>
      <vt:lpstr>WAPDA OM 2020 (2018-19)</vt:lpstr>
      <vt:lpstr>WAPDA BM 2020 (2018-19)</vt:lpstr>
    </vt:vector>
  </TitlesOfParts>
  <Company>KESC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Shehla.Owais</dc:creator>
  <cp:lastModifiedBy>Gaiai Guo</cp:lastModifiedBy>
  <cp:lastPrinted>2009-08-13T08:57:46Z</cp:lastPrinted>
  <dcterms:created xsi:type="dcterms:W3CDTF">2009-06-12T03:01:48Z</dcterms:created>
  <dcterms:modified xsi:type="dcterms:W3CDTF">2021-12-07T13:14:35Z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0x010100E9D0D523F302484F892F723420D71428</vt:lpwstr>
  </property>
</Properties>
</file>