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FangcloudV2\personal_space\15.GS项目\Animal Manure Management-AM0010\双胞胎畜牧集团有限公司\GS 11336+Shuangbaotai Guangxi\3. VVB Document\5. Process File\Performance Review No.1\"/>
    </mc:Choice>
  </mc:AlternateContent>
  <xr:revisionPtr revIDLastSave="0" documentId="13_ncr:1_{5D150C4C-D9CB-4EFA-8E43-2EA1C4FCCDC0}" xr6:coauthVersionLast="47" xr6:coauthVersionMax="47" xr10:uidLastSave="{00000000-0000-0000-0000-000000000000}"/>
  <bookViews>
    <workbookView xWindow="-28920" yWindow="-120" windowWidth="29040" windowHeight="16440" tabRatio="717" activeTab="7" xr2:uid="{00000000-000D-0000-FFFF-FFFF00000000}"/>
  </bookViews>
  <sheets>
    <sheet name="Cover page" sheetId="6" r:id="rId1"/>
    <sheet name="SDG Outcomes" sheetId="20" r:id="rId2"/>
    <sheet name="Baseline emission" sheetId="21" r:id="rId3"/>
    <sheet name="Project emission" sheetId="23" r:id="rId4"/>
    <sheet name="Leakage" sheetId="24" r:id="rId5"/>
    <sheet name="Reliability Check" sheetId="43" r:id="rId6"/>
    <sheet name="Emission Reduction" sheetId="25" r:id="rId7"/>
    <sheet name="monitoring results" sheetId="8" r:id="rId8"/>
    <sheet name="2021.1" sheetId="60" r:id="rId9"/>
    <sheet name="2021.2" sheetId="61" r:id="rId10"/>
    <sheet name="2021.3" sheetId="62" r:id="rId11"/>
    <sheet name="2021.4" sheetId="63" r:id="rId12"/>
    <sheet name="2021.5" sheetId="64" r:id="rId13"/>
    <sheet name="2021.6" sheetId="65" r:id="rId14"/>
    <sheet name="2021.7" sheetId="66" r:id="rId15"/>
    <sheet name="2021.8" sheetId="67" r:id="rId16"/>
    <sheet name="2021.9" sheetId="68" r:id="rId17"/>
    <sheet name="2021.10" sheetId="69" r:id="rId18"/>
    <sheet name="2021.11" sheetId="70" r:id="rId19"/>
    <sheet name="2021.12" sheetId="71" r:id="rId20"/>
    <sheet name="2022.1" sheetId="72" r:id="rId21"/>
    <sheet name="2022.2" sheetId="73" r:id="rId22"/>
    <sheet name="2022.3" sheetId="74" r:id="rId23"/>
  </sheets>
  <externalReferences>
    <externalReference r:id="rId24"/>
    <externalReference r:id="rId25"/>
    <externalReference r:id="rId26"/>
  </externalReferences>
  <definedNames>
    <definedName name="BE_" localSheetId="5">[1]ER!$B$2</definedName>
    <definedName name="BE_">[2]ER!$B$2</definedName>
    <definedName name="ER" localSheetId="5">[1]ER!$B$1</definedName>
    <definedName name="ER">[2]ER!$B$1</definedName>
    <definedName name="LE" localSheetId="5">[1]ER!$B$17</definedName>
    <definedName name="LE">[2]ER!$B$17</definedName>
    <definedName name="PE" localSheetId="5">[1]ER!$B$8</definedName>
    <definedName name="PE">[2]ER!$B$8</definedName>
  </definedNames>
  <calcPr calcId="191029"/>
  <customWorkbookViews>
    <customWorkbookView name="HIEU - Personal View" guid="{2C071143-29D6-4036-A926-BF7E54293313}" mergeInterval="0" personalView="1" maximized="1" windowWidth="1020" windowHeight="57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3" i="23" l="1"/>
  <c r="C274" i="23"/>
  <c r="C219" i="23"/>
  <c r="C220" i="23"/>
  <c r="C221" i="23"/>
  <c r="C222" i="23"/>
  <c r="C223" i="23"/>
  <c r="C224" i="23"/>
  <c r="C225" i="23"/>
  <c r="C226" i="23"/>
  <c r="C227" i="23"/>
  <c r="C228" i="23"/>
  <c r="C229" i="23"/>
  <c r="C230" i="23"/>
  <c r="C231" i="23"/>
  <c r="C232" i="23"/>
  <c r="C218" i="23"/>
  <c r="C149" i="23"/>
  <c r="C150" i="23"/>
  <c r="C151" i="23"/>
  <c r="C152" i="23"/>
  <c r="C153" i="23"/>
  <c r="C154" i="23"/>
  <c r="C155" i="23"/>
  <c r="C156" i="23"/>
  <c r="C157" i="23"/>
  <c r="C158" i="23"/>
  <c r="C159" i="23"/>
  <c r="C160" i="23"/>
  <c r="C161" i="23"/>
  <c r="C162" i="23"/>
  <c r="C148" i="23"/>
  <c r="E271" i="21"/>
  <c r="B267" i="21"/>
  <c r="C253" i="21"/>
  <c r="C254" i="21"/>
  <c r="C255" i="21"/>
  <c r="C256" i="21"/>
  <c r="C257" i="21"/>
  <c r="C258" i="21"/>
  <c r="C259" i="21"/>
  <c r="C260" i="21"/>
  <c r="C261" i="21"/>
  <c r="C262" i="21"/>
  <c r="C263" i="21"/>
  <c r="C264" i="21"/>
  <c r="C265" i="21"/>
  <c r="C266" i="21"/>
  <c r="C252" i="21"/>
  <c r="C87" i="21" l="1"/>
  <c r="C189" i="21"/>
  <c r="C190" i="21"/>
  <c r="C191" i="21"/>
  <c r="C192" i="21"/>
  <c r="C193" i="21"/>
  <c r="C194" i="21"/>
  <c r="C195" i="21"/>
  <c r="C196" i="21"/>
  <c r="C197" i="21"/>
  <c r="C198" i="21"/>
  <c r="C199" i="21"/>
  <c r="C200" i="21"/>
  <c r="C201" i="21"/>
  <c r="C202" i="21"/>
  <c r="C188" i="21"/>
  <c r="C53" i="21"/>
  <c r="C60" i="21"/>
  <c r="C88" i="21"/>
  <c r="C89" i="21"/>
  <c r="C90" i="21"/>
  <c r="C91" i="21"/>
  <c r="C92" i="21"/>
  <c r="C93" i="21"/>
  <c r="C94" i="21"/>
  <c r="C95" i="21"/>
  <c r="C96" i="21"/>
  <c r="C97" i="21"/>
  <c r="C98" i="21"/>
  <c r="C99" i="21"/>
  <c r="C100" i="21"/>
  <c r="C86" i="21"/>
  <c r="B86" i="21"/>
  <c r="C130" i="60"/>
  <c r="B101" i="21" l="1"/>
  <c r="D5" i="20"/>
  <c r="D4" i="20"/>
  <c r="C39" i="8" l="1"/>
  <c r="D6" i="20" l="1"/>
  <c r="D11" i="20" l="1"/>
  <c r="C6" i="20"/>
  <c r="C5" i="20"/>
  <c r="C4" i="20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45" i="8"/>
  <c r="A38" i="43"/>
  <c r="BZ4" i="43" l="1"/>
  <c r="BY4" i="43"/>
  <c r="BX18" i="43"/>
  <c r="BX17" i="43"/>
  <c r="BX16" i="43"/>
  <c r="BX15" i="43"/>
  <c r="BX14" i="43"/>
  <c r="BX13" i="43"/>
  <c r="BX12" i="43"/>
  <c r="BX11" i="43"/>
  <c r="BX10" i="43"/>
  <c r="BX9" i="43"/>
  <c r="BX8" i="43"/>
  <c r="BX7" i="43"/>
  <c r="BX6" i="43"/>
  <c r="BX5" i="43"/>
  <c r="BX4" i="43"/>
  <c r="BW18" i="43"/>
  <c r="BW17" i="43"/>
  <c r="BW16" i="43"/>
  <c r="BW15" i="43"/>
  <c r="BW14" i="43"/>
  <c r="BW13" i="43"/>
  <c r="BW12" i="43"/>
  <c r="BW11" i="43"/>
  <c r="BW10" i="43"/>
  <c r="BW9" i="43"/>
  <c r="BW8" i="43"/>
  <c r="BW7" i="43"/>
  <c r="BW6" i="43"/>
  <c r="BW5" i="43"/>
  <c r="BW4" i="43"/>
  <c r="BQ18" i="43"/>
  <c r="BQ17" i="43"/>
  <c r="BQ16" i="43"/>
  <c r="BQ15" i="43"/>
  <c r="BQ14" i="43"/>
  <c r="BQ13" i="43"/>
  <c r="BQ12" i="43"/>
  <c r="BQ11" i="43"/>
  <c r="BQ10" i="43"/>
  <c r="BQ9" i="43"/>
  <c r="BQ8" i="43"/>
  <c r="BQ7" i="43"/>
  <c r="BQ6" i="43"/>
  <c r="BQ5" i="43"/>
  <c r="BQ4" i="43"/>
  <c r="BP4" i="43"/>
  <c r="BO18" i="43"/>
  <c r="BO17" i="43"/>
  <c r="BO16" i="43"/>
  <c r="BO15" i="43"/>
  <c r="BO14" i="43"/>
  <c r="BO13" i="43"/>
  <c r="BO12" i="43"/>
  <c r="BO11" i="43"/>
  <c r="BO10" i="43"/>
  <c r="BO9" i="43"/>
  <c r="BO8" i="43"/>
  <c r="BO7" i="43"/>
  <c r="BO6" i="43"/>
  <c r="BO5" i="43"/>
  <c r="BO4" i="43"/>
  <c r="BN18" i="43"/>
  <c r="BN17" i="43"/>
  <c r="BN16" i="43"/>
  <c r="BN15" i="43"/>
  <c r="BN14" i="43"/>
  <c r="BN13" i="43"/>
  <c r="BN12" i="43"/>
  <c r="BN11" i="43"/>
  <c r="BN10" i="43"/>
  <c r="BN9" i="43"/>
  <c r="BN8" i="43"/>
  <c r="BN7" i="43"/>
  <c r="BN6" i="43"/>
  <c r="BN5" i="43"/>
  <c r="BN4" i="43"/>
  <c r="BH18" i="43"/>
  <c r="BH17" i="43"/>
  <c r="BH16" i="43"/>
  <c r="BH15" i="43"/>
  <c r="BH14" i="43"/>
  <c r="BH13" i="43"/>
  <c r="BH12" i="43"/>
  <c r="BH11" i="43"/>
  <c r="BH10" i="43"/>
  <c r="BH9" i="43"/>
  <c r="BH8" i="43"/>
  <c r="BH7" i="43"/>
  <c r="BH6" i="43"/>
  <c r="BH5" i="43"/>
  <c r="BH4" i="43"/>
  <c r="BG4" i="43"/>
  <c r="BF18" i="43"/>
  <c r="BF17" i="43"/>
  <c r="BF16" i="43"/>
  <c r="BF15" i="43"/>
  <c r="BF14" i="43"/>
  <c r="BF13" i="43"/>
  <c r="BF12" i="43"/>
  <c r="BF11" i="43"/>
  <c r="BF10" i="43"/>
  <c r="BF9" i="43"/>
  <c r="BF8" i="43"/>
  <c r="BF7" i="43"/>
  <c r="BF6" i="43"/>
  <c r="BF5" i="43"/>
  <c r="BF4" i="43"/>
  <c r="BE18" i="43"/>
  <c r="BE17" i="43"/>
  <c r="BE16" i="43"/>
  <c r="BE15" i="43"/>
  <c r="BE14" i="43"/>
  <c r="BE13" i="43"/>
  <c r="BE12" i="43"/>
  <c r="BE11" i="43"/>
  <c r="BE10" i="43"/>
  <c r="BE9" i="43"/>
  <c r="BE8" i="43"/>
  <c r="BE7" i="43"/>
  <c r="BE6" i="43"/>
  <c r="BE5" i="43"/>
  <c r="BE4" i="43"/>
  <c r="AY18" i="43"/>
  <c r="AY17" i="43"/>
  <c r="AY16" i="43"/>
  <c r="AY15" i="43"/>
  <c r="AY14" i="43"/>
  <c r="AY13" i="43"/>
  <c r="AY12" i="43"/>
  <c r="AY11" i="43"/>
  <c r="AY10" i="43"/>
  <c r="AY9" i="43"/>
  <c r="AY8" i="43"/>
  <c r="AY7" i="43"/>
  <c r="AY6" i="43"/>
  <c r="AY5" i="43"/>
  <c r="AY4" i="43"/>
  <c r="AX4" i="43"/>
  <c r="AW18" i="43"/>
  <c r="AW17" i="43"/>
  <c r="AW16" i="43"/>
  <c r="AW15" i="43"/>
  <c r="AW14" i="43"/>
  <c r="AW13" i="43"/>
  <c r="AW12" i="43"/>
  <c r="AW11" i="43"/>
  <c r="AW10" i="43"/>
  <c r="AW9" i="43"/>
  <c r="AW8" i="43"/>
  <c r="AW7" i="43"/>
  <c r="AW6" i="43"/>
  <c r="AW5" i="43"/>
  <c r="AW4" i="43"/>
  <c r="AV18" i="43"/>
  <c r="AV17" i="43"/>
  <c r="AV16" i="43"/>
  <c r="AV15" i="43"/>
  <c r="AV14" i="43"/>
  <c r="AV13" i="43"/>
  <c r="AV12" i="43"/>
  <c r="AV11" i="43"/>
  <c r="AV10" i="43"/>
  <c r="AV9" i="43"/>
  <c r="AV8" i="43"/>
  <c r="AV7" i="43"/>
  <c r="AV6" i="43"/>
  <c r="AV5" i="43"/>
  <c r="AV4" i="43"/>
  <c r="AP18" i="43"/>
  <c r="AP17" i="43"/>
  <c r="AP16" i="43"/>
  <c r="AP15" i="43"/>
  <c r="AP14" i="43"/>
  <c r="AP13" i="43"/>
  <c r="AP12" i="43"/>
  <c r="AP11" i="43"/>
  <c r="AP10" i="43"/>
  <c r="AP9" i="43"/>
  <c r="AP8" i="43"/>
  <c r="AP7" i="43"/>
  <c r="AP6" i="43"/>
  <c r="AP5" i="43"/>
  <c r="AP4" i="43"/>
  <c r="AO4" i="43"/>
  <c r="AN18" i="43"/>
  <c r="AN17" i="43"/>
  <c r="AN16" i="43"/>
  <c r="AN15" i="43"/>
  <c r="AN14" i="43"/>
  <c r="AN13" i="43"/>
  <c r="AN12" i="43"/>
  <c r="AN11" i="43"/>
  <c r="AN10" i="43"/>
  <c r="AN9" i="43"/>
  <c r="AN8" i="43"/>
  <c r="AN7" i="43"/>
  <c r="AN6" i="43"/>
  <c r="AN5" i="43"/>
  <c r="AN4" i="43"/>
  <c r="AM18" i="43"/>
  <c r="AM17" i="43"/>
  <c r="AM16" i="43"/>
  <c r="AM15" i="43"/>
  <c r="AM14" i="43"/>
  <c r="AM13" i="43"/>
  <c r="AM12" i="43"/>
  <c r="AM11" i="43"/>
  <c r="AM10" i="43"/>
  <c r="AM9" i="43"/>
  <c r="AM8" i="43"/>
  <c r="AM7" i="43"/>
  <c r="AM6" i="43"/>
  <c r="AM5" i="43"/>
  <c r="AM4" i="43"/>
  <c r="AG18" i="43"/>
  <c r="AG17" i="43"/>
  <c r="AG16" i="43"/>
  <c r="AG15" i="43"/>
  <c r="AG14" i="43"/>
  <c r="AG13" i="43"/>
  <c r="AG12" i="43"/>
  <c r="AG11" i="43"/>
  <c r="AG10" i="43"/>
  <c r="AG9" i="43"/>
  <c r="AG8" i="43"/>
  <c r="AG7" i="43"/>
  <c r="AG6" i="43"/>
  <c r="AG5" i="43"/>
  <c r="AG4" i="43"/>
  <c r="AF4" i="43"/>
  <c r="AE18" i="43"/>
  <c r="AE17" i="43"/>
  <c r="AE16" i="43"/>
  <c r="AE15" i="43"/>
  <c r="AE14" i="43"/>
  <c r="AE13" i="43"/>
  <c r="AE12" i="43"/>
  <c r="AE11" i="43"/>
  <c r="AE10" i="43"/>
  <c r="AE9" i="43"/>
  <c r="AE8" i="43"/>
  <c r="AE7" i="43"/>
  <c r="AE6" i="43"/>
  <c r="AE5" i="43"/>
  <c r="AE4" i="43"/>
  <c r="AD18" i="43"/>
  <c r="AD17" i="43"/>
  <c r="AD16" i="43"/>
  <c r="AD15" i="43"/>
  <c r="AD14" i="43"/>
  <c r="AD13" i="43"/>
  <c r="AD12" i="43"/>
  <c r="AD11" i="43"/>
  <c r="AD10" i="43"/>
  <c r="AD9" i="43"/>
  <c r="AD8" i="43"/>
  <c r="AD7" i="43"/>
  <c r="AD6" i="43"/>
  <c r="AD5" i="43"/>
  <c r="AD4" i="43"/>
  <c r="X18" i="43"/>
  <c r="X17" i="43"/>
  <c r="X16" i="43"/>
  <c r="X15" i="43"/>
  <c r="X14" i="43"/>
  <c r="X13" i="43"/>
  <c r="X12" i="43"/>
  <c r="X11" i="43"/>
  <c r="X10" i="43"/>
  <c r="X9" i="43"/>
  <c r="X8" i="43"/>
  <c r="X7" i="43"/>
  <c r="X6" i="43"/>
  <c r="X5" i="43"/>
  <c r="X4" i="43"/>
  <c r="W4" i="43"/>
  <c r="V18" i="43"/>
  <c r="V17" i="43"/>
  <c r="V16" i="43"/>
  <c r="V15" i="43"/>
  <c r="V14" i="43"/>
  <c r="V13" i="43"/>
  <c r="V12" i="43"/>
  <c r="V11" i="43"/>
  <c r="V10" i="43"/>
  <c r="V9" i="43"/>
  <c r="V8" i="43"/>
  <c r="V7" i="43"/>
  <c r="V6" i="43"/>
  <c r="V5" i="43"/>
  <c r="V4" i="43"/>
  <c r="U18" i="43"/>
  <c r="U17" i="43"/>
  <c r="U16" i="43"/>
  <c r="U15" i="43"/>
  <c r="U14" i="43"/>
  <c r="U13" i="43"/>
  <c r="U12" i="43"/>
  <c r="U11" i="43"/>
  <c r="U10" i="43"/>
  <c r="U9" i="43"/>
  <c r="U8" i="43"/>
  <c r="U7" i="43"/>
  <c r="U6" i="43"/>
  <c r="U5" i="43"/>
  <c r="U4" i="43"/>
  <c r="O18" i="43"/>
  <c r="O17" i="43"/>
  <c r="O16" i="43"/>
  <c r="O15" i="43"/>
  <c r="O14" i="43"/>
  <c r="O13" i="43"/>
  <c r="O12" i="43"/>
  <c r="O11" i="43"/>
  <c r="O10" i="43"/>
  <c r="O9" i="43"/>
  <c r="O8" i="43"/>
  <c r="O7" i="43"/>
  <c r="O6" i="43"/>
  <c r="O5" i="43"/>
  <c r="O4" i="43"/>
  <c r="N4" i="43"/>
  <c r="M18" i="43"/>
  <c r="M17" i="43"/>
  <c r="M16" i="43"/>
  <c r="M15" i="43"/>
  <c r="M14" i="43"/>
  <c r="M13" i="43"/>
  <c r="M12" i="43"/>
  <c r="M11" i="43"/>
  <c r="M10" i="43"/>
  <c r="M9" i="43"/>
  <c r="M8" i="43"/>
  <c r="M7" i="43"/>
  <c r="M6" i="43"/>
  <c r="M5" i="43"/>
  <c r="M4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" i="43"/>
  <c r="F4" i="43"/>
  <c r="E4" i="43"/>
  <c r="I4" i="43" l="1"/>
  <c r="G4" i="43"/>
  <c r="B4" i="43"/>
  <c r="AQ4" i="43" s="1"/>
  <c r="AR4" i="43"/>
  <c r="BZ8" i="43"/>
  <c r="B8" i="43" s="1"/>
  <c r="BZ15" i="43"/>
  <c r="B15" i="43"/>
  <c r="BR15" i="43" s="1"/>
  <c r="Q4" i="43"/>
  <c r="P4" i="43"/>
  <c r="BZ7" i="43"/>
  <c r="B7" i="43" s="1"/>
  <c r="BZ14" i="43"/>
  <c r="B14" i="43" s="1"/>
  <c r="BZ6" i="43"/>
  <c r="B6" i="43" s="1"/>
  <c r="BS6" i="43" s="1"/>
  <c r="BZ13" i="43"/>
  <c r="B13" i="43" s="1"/>
  <c r="G13" i="43" s="1"/>
  <c r="BZ12" i="43"/>
  <c r="BZ5" i="43"/>
  <c r="BZ11" i="43"/>
  <c r="B11" i="43" s="1"/>
  <c r="BZ18" i="43"/>
  <c r="BZ10" i="43"/>
  <c r="BZ17" i="43"/>
  <c r="B17" i="43" s="1"/>
  <c r="BZ9" i="43"/>
  <c r="B9" i="43" s="1"/>
  <c r="G9" i="43" s="1"/>
  <c r="BZ16" i="43"/>
  <c r="D18" i="43"/>
  <c r="D17" i="43"/>
  <c r="D16" i="43"/>
  <c r="D15" i="43"/>
  <c r="D14" i="43"/>
  <c r="D13" i="43"/>
  <c r="D12" i="43"/>
  <c r="D11" i="43"/>
  <c r="D10" i="43"/>
  <c r="D9" i="43"/>
  <c r="D8" i="43"/>
  <c r="D7" i="43"/>
  <c r="D6" i="43"/>
  <c r="D5" i="43"/>
  <c r="D4" i="43"/>
  <c r="J4" i="43" s="1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H4" i="43" s="1"/>
  <c r="G14" i="43" l="1"/>
  <c r="BR14" i="43"/>
  <c r="BS14" i="43"/>
  <c r="H13" i="43"/>
  <c r="H6" i="43"/>
  <c r="BS4" i="43"/>
  <c r="K4" i="43"/>
  <c r="H15" i="43"/>
  <c r="BR4" i="43"/>
  <c r="CB4" i="43"/>
  <c r="H14" i="43"/>
  <c r="CA4" i="43"/>
  <c r="H9" i="43"/>
  <c r="H17" i="43"/>
  <c r="BR17" i="43"/>
  <c r="BS17" i="43"/>
  <c r="G17" i="43"/>
  <c r="G8" i="43"/>
  <c r="BR8" i="43"/>
  <c r="H8" i="43"/>
  <c r="BS8" i="43"/>
  <c r="H7" i="43"/>
  <c r="G7" i="43"/>
  <c r="BR7" i="43"/>
  <c r="BS7" i="43"/>
  <c r="H11" i="43"/>
  <c r="G11" i="43"/>
  <c r="BS11" i="43"/>
  <c r="BR11" i="43"/>
  <c r="BS9" i="43"/>
  <c r="BS13" i="43"/>
  <c r="CA13" i="43"/>
  <c r="CB13" i="43"/>
  <c r="CA15" i="43"/>
  <c r="CB15" i="43"/>
  <c r="BR9" i="43"/>
  <c r="B16" i="43"/>
  <c r="CA16" i="43" s="1"/>
  <c r="CB9" i="43"/>
  <c r="CA9" i="43"/>
  <c r="CB6" i="43"/>
  <c r="CA6" i="43"/>
  <c r="B18" i="43"/>
  <c r="BR6" i="43"/>
  <c r="BR13" i="43"/>
  <c r="CA17" i="43"/>
  <c r="CB17" i="43"/>
  <c r="CB14" i="43"/>
  <c r="CA14" i="43"/>
  <c r="B10" i="43"/>
  <c r="CA7" i="43"/>
  <c r="CB7" i="43"/>
  <c r="CA8" i="43"/>
  <c r="CB8" i="43"/>
  <c r="CA11" i="43"/>
  <c r="CB11" i="43"/>
  <c r="G6" i="43"/>
  <c r="BS15" i="43"/>
  <c r="CB5" i="43"/>
  <c r="B12" i="43"/>
  <c r="CA12" i="43" s="1"/>
  <c r="G15" i="43"/>
  <c r="B5" i="43"/>
  <c r="CA5" i="43" s="1"/>
  <c r="CC4" i="43"/>
  <c r="CD4" i="43"/>
  <c r="BY5" i="43"/>
  <c r="CD5" i="43" s="1"/>
  <c r="H16" i="43" l="1"/>
  <c r="CB12" i="43"/>
  <c r="CB16" i="43"/>
  <c r="BS10" i="43"/>
  <c r="G10" i="43"/>
  <c r="H10" i="43"/>
  <c r="BR10" i="43"/>
  <c r="CA10" i="43"/>
  <c r="CB10" i="43"/>
  <c r="G16" i="43"/>
  <c r="BR16" i="43"/>
  <c r="BS16" i="43"/>
  <c r="BS5" i="43"/>
  <c r="G5" i="43"/>
  <c r="BR5" i="43"/>
  <c r="BR18" i="43"/>
  <c r="G18" i="43"/>
  <c r="BS18" i="43"/>
  <c r="H5" i="43"/>
  <c r="BS12" i="43"/>
  <c r="BR12" i="43"/>
  <c r="G12" i="43"/>
  <c r="H12" i="43"/>
  <c r="CA18" i="43"/>
  <c r="CB18" i="43"/>
  <c r="H18" i="43"/>
  <c r="BY6" i="43"/>
  <c r="CC5" i="43"/>
  <c r="BT4" i="43"/>
  <c r="BU4" i="43"/>
  <c r="BP5" i="43"/>
  <c r="CC6" i="43" l="1"/>
  <c r="BY7" i="43"/>
  <c r="CD6" i="43"/>
  <c r="BP6" i="43"/>
  <c r="BT5" i="43"/>
  <c r="BU5" i="43"/>
  <c r="BY8" i="43" l="1"/>
  <c r="CC7" i="43"/>
  <c r="CD7" i="43"/>
  <c r="BP7" i="43"/>
  <c r="BT6" i="43"/>
  <c r="BU6" i="43"/>
  <c r="CC8" i="43" l="1"/>
  <c r="BY9" i="43"/>
  <c r="CD8" i="43"/>
  <c r="BP8" i="43"/>
  <c r="BU7" i="43"/>
  <c r="BT7" i="43"/>
  <c r="E136" i="74"/>
  <c r="C18" i="8" s="1"/>
  <c r="D136" i="74"/>
  <c r="B18" i="8" s="1"/>
  <c r="B135" i="74"/>
  <c r="F135" i="74" s="1"/>
  <c r="A135" i="74"/>
  <c r="C134" i="74"/>
  <c r="G134" i="74" s="1"/>
  <c r="B134" i="74"/>
  <c r="F134" i="74" s="1"/>
  <c r="A134" i="74"/>
  <c r="C133" i="74"/>
  <c r="G133" i="74" s="1"/>
  <c r="B133" i="74"/>
  <c r="F133" i="74" s="1"/>
  <c r="A133" i="74"/>
  <c r="C132" i="74"/>
  <c r="G132" i="74" s="1"/>
  <c r="B132" i="74"/>
  <c r="F132" i="74" s="1"/>
  <c r="A132" i="74"/>
  <c r="C131" i="74"/>
  <c r="G131" i="74" s="1"/>
  <c r="B131" i="74"/>
  <c r="F131" i="74" s="1"/>
  <c r="A131" i="74"/>
  <c r="C130" i="74"/>
  <c r="G130" i="74" s="1"/>
  <c r="B130" i="74"/>
  <c r="F130" i="74" s="1"/>
  <c r="A130" i="74"/>
  <c r="C129" i="74"/>
  <c r="G129" i="74" s="1"/>
  <c r="B129" i="74"/>
  <c r="F129" i="74" s="1"/>
  <c r="A129" i="74"/>
  <c r="C128" i="74"/>
  <c r="G128" i="74" s="1"/>
  <c r="B128" i="74"/>
  <c r="F128" i="74" s="1"/>
  <c r="A128" i="74"/>
  <c r="C127" i="74"/>
  <c r="G127" i="74" s="1"/>
  <c r="B127" i="74"/>
  <c r="F127" i="74" s="1"/>
  <c r="A127" i="74"/>
  <c r="E136" i="73"/>
  <c r="C17" i="8" s="1"/>
  <c r="D136" i="73"/>
  <c r="B17" i="8" s="1"/>
  <c r="B135" i="73"/>
  <c r="F135" i="73" s="1"/>
  <c r="A135" i="73"/>
  <c r="C134" i="73"/>
  <c r="G134" i="73" s="1"/>
  <c r="B134" i="73"/>
  <c r="F134" i="73" s="1"/>
  <c r="A134" i="73"/>
  <c r="C133" i="73"/>
  <c r="G133" i="73" s="1"/>
  <c r="B133" i="73"/>
  <c r="F133" i="73" s="1"/>
  <c r="A133" i="73"/>
  <c r="C132" i="73"/>
  <c r="G132" i="73" s="1"/>
  <c r="B132" i="73"/>
  <c r="F132" i="73" s="1"/>
  <c r="A132" i="73"/>
  <c r="C131" i="73"/>
  <c r="G131" i="73" s="1"/>
  <c r="B131" i="73"/>
  <c r="F131" i="73" s="1"/>
  <c r="A131" i="73"/>
  <c r="C130" i="73"/>
  <c r="G130" i="73" s="1"/>
  <c r="B130" i="73"/>
  <c r="F130" i="73" s="1"/>
  <c r="A130" i="73"/>
  <c r="C129" i="73"/>
  <c r="G129" i="73" s="1"/>
  <c r="B129" i="73"/>
  <c r="F129" i="73" s="1"/>
  <c r="A129" i="73"/>
  <c r="C128" i="73"/>
  <c r="G128" i="73" s="1"/>
  <c r="B128" i="73"/>
  <c r="F128" i="73" s="1"/>
  <c r="A128" i="73"/>
  <c r="C127" i="73"/>
  <c r="G127" i="73" s="1"/>
  <c r="B127" i="73"/>
  <c r="F127" i="73" s="1"/>
  <c r="A127" i="73"/>
  <c r="E136" i="72"/>
  <c r="C16" i="8" s="1"/>
  <c r="D136" i="72"/>
  <c r="B16" i="8" s="1"/>
  <c r="B135" i="72"/>
  <c r="F135" i="72" s="1"/>
  <c r="A135" i="72"/>
  <c r="C134" i="72"/>
  <c r="G134" i="72" s="1"/>
  <c r="B134" i="72"/>
  <c r="F134" i="72" s="1"/>
  <c r="A134" i="72"/>
  <c r="C133" i="72"/>
  <c r="G133" i="72" s="1"/>
  <c r="B133" i="72"/>
  <c r="F133" i="72" s="1"/>
  <c r="A133" i="72"/>
  <c r="C132" i="72"/>
  <c r="G132" i="72" s="1"/>
  <c r="B132" i="72"/>
  <c r="F132" i="72" s="1"/>
  <c r="A132" i="72"/>
  <c r="C131" i="72"/>
  <c r="G131" i="72" s="1"/>
  <c r="B131" i="72"/>
  <c r="F131" i="72" s="1"/>
  <c r="A131" i="72"/>
  <c r="C130" i="72"/>
  <c r="G130" i="72" s="1"/>
  <c r="B130" i="72"/>
  <c r="F130" i="72" s="1"/>
  <c r="A130" i="72"/>
  <c r="C129" i="72"/>
  <c r="G129" i="72" s="1"/>
  <c r="B129" i="72"/>
  <c r="F129" i="72" s="1"/>
  <c r="A129" i="72"/>
  <c r="C128" i="72"/>
  <c r="G128" i="72" s="1"/>
  <c r="B128" i="72"/>
  <c r="F128" i="72" s="1"/>
  <c r="A128" i="72"/>
  <c r="C127" i="72"/>
  <c r="G127" i="72" s="1"/>
  <c r="B127" i="72"/>
  <c r="F127" i="72" s="1"/>
  <c r="A127" i="72"/>
  <c r="E136" i="71"/>
  <c r="C15" i="8" s="1"/>
  <c r="D136" i="71"/>
  <c r="B15" i="8" s="1"/>
  <c r="B135" i="71"/>
  <c r="F135" i="71" s="1"/>
  <c r="A135" i="71"/>
  <c r="C134" i="71"/>
  <c r="G134" i="71" s="1"/>
  <c r="B134" i="71"/>
  <c r="F134" i="71" s="1"/>
  <c r="A134" i="71"/>
  <c r="C133" i="71"/>
  <c r="G133" i="71" s="1"/>
  <c r="B133" i="71"/>
  <c r="F133" i="71" s="1"/>
  <c r="A133" i="71"/>
  <c r="C132" i="71"/>
  <c r="G132" i="71" s="1"/>
  <c r="B132" i="71"/>
  <c r="F132" i="71" s="1"/>
  <c r="A132" i="71"/>
  <c r="C131" i="71"/>
  <c r="G131" i="71" s="1"/>
  <c r="B131" i="71"/>
  <c r="F131" i="71" s="1"/>
  <c r="A131" i="71"/>
  <c r="C130" i="71"/>
  <c r="G130" i="71" s="1"/>
  <c r="B130" i="71"/>
  <c r="F130" i="71" s="1"/>
  <c r="A130" i="71"/>
  <c r="C129" i="71"/>
  <c r="G129" i="71" s="1"/>
  <c r="B129" i="71"/>
  <c r="F129" i="71" s="1"/>
  <c r="A129" i="71"/>
  <c r="C128" i="71"/>
  <c r="G128" i="71" s="1"/>
  <c r="B128" i="71"/>
  <c r="F128" i="71" s="1"/>
  <c r="A128" i="71"/>
  <c r="C127" i="71"/>
  <c r="G127" i="71" s="1"/>
  <c r="B127" i="71"/>
  <c r="F127" i="71" s="1"/>
  <c r="A127" i="71"/>
  <c r="E136" i="70"/>
  <c r="C14" i="8" s="1"/>
  <c r="D136" i="70"/>
  <c r="B14" i="8" s="1"/>
  <c r="B135" i="70"/>
  <c r="F135" i="70" s="1"/>
  <c r="A135" i="70"/>
  <c r="C134" i="70"/>
  <c r="G134" i="70" s="1"/>
  <c r="B134" i="70"/>
  <c r="F134" i="70" s="1"/>
  <c r="A134" i="70"/>
  <c r="C133" i="70"/>
  <c r="G133" i="70" s="1"/>
  <c r="B133" i="70"/>
  <c r="F133" i="70" s="1"/>
  <c r="A133" i="70"/>
  <c r="G132" i="70"/>
  <c r="C132" i="70"/>
  <c r="B132" i="70"/>
  <c r="F132" i="70" s="1"/>
  <c r="A132" i="70"/>
  <c r="C131" i="70"/>
  <c r="G131" i="70" s="1"/>
  <c r="B131" i="70"/>
  <c r="F131" i="70" s="1"/>
  <c r="A131" i="70"/>
  <c r="C130" i="70"/>
  <c r="G130" i="70" s="1"/>
  <c r="B130" i="70"/>
  <c r="F130" i="70" s="1"/>
  <c r="A130" i="70"/>
  <c r="C129" i="70"/>
  <c r="G129" i="70" s="1"/>
  <c r="B129" i="70"/>
  <c r="F129" i="70" s="1"/>
  <c r="A129" i="70"/>
  <c r="C128" i="70"/>
  <c r="G128" i="70" s="1"/>
  <c r="B128" i="70"/>
  <c r="F128" i="70" s="1"/>
  <c r="A128" i="70"/>
  <c r="C127" i="70"/>
  <c r="G127" i="70" s="1"/>
  <c r="B127" i="70"/>
  <c r="F127" i="70" s="1"/>
  <c r="A127" i="70"/>
  <c r="E136" i="69"/>
  <c r="C13" i="8" s="1"/>
  <c r="D136" i="69"/>
  <c r="B13" i="8" s="1"/>
  <c r="B135" i="69"/>
  <c r="F135" i="69" s="1"/>
  <c r="A135" i="69"/>
  <c r="C134" i="69"/>
  <c r="G134" i="69" s="1"/>
  <c r="B134" i="69"/>
  <c r="F134" i="69" s="1"/>
  <c r="A134" i="69"/>
  <c r="C133" i="69"/>
  <c r="G133" i="69" s="1"/>
  <c r="B133" i="69"/>
  <c r="F133" i="69" s="1"/>
  <c r="A133" i="69"/>
  <c r="C132" i="69"/>
  <c r="G132" i="69" s="1"/>
  <c r="B132" i="69"/>
  <c r="F132" i="69" s="1"/>
  <c r="A132" i="69"/>
  <c r="C131" i="69"/>
  <c r="G131" i="69" s="1"/>
  <c r="B131" i="69"/>
  <c r="F131" i="69" s="1"/>
  <c r="A131" i="69"/>
  <c r="C130" i="69"/>
  <c r="G130" i="69" s="1"/>
  <c r="B130" i="69"/>
  <c r="F130" i="69" s="1"/>
  <c r="A130" i="69"/>
  <c r="C129" i="69"/>
  <c r="G129" i="69" s="1"/>
  <c r="B129" i="69"/>
  <c r="F129" i="69" s="1"/>
  <c r="A129" i="69"/>
  <c r="C128" i="69"/>
  <c r="G128" i="69" s="1"/>
  <c r="B128" i="69"/>
  <c r="F128" i="69" s="1"/>
  <c r="A128" i="69"/>
  <c r="C127" i="69"/>
  <c r="G127" i="69" s="1"/>
  <c r="B127" i="69"/>
  <c r="F127" i="69" s="1"/>
  <c r="A127" i="69"/>
  <c r="E136" i="68"/>
  <c r="C12" i="8" s="1"/>
  <c r="D136" i="68"/>
  <c r="B12" i="8" s="1"/>
  <c r="B135" i="68"/>
  <c r="F135" i="68" s="1"/>
  <c r="A135" i="68"/>
  <c r="G134" i="68"/>
  <c r="C134" i="68"/>
  <c r="B134" i="68"/>
  <c r="F134" i="68" s="1"/>
  <c r="A134" i="68"/>
  <c r="C133" i="68"/>
  <c r="G133" i="68" s="1"/>
  <c r="B133" i="68"/>
  <c r="F133" i="68" s="1"/>
  <c r="A133" i="68"/>
  <c r="C132" i="68"/>
  <c r="G132" i="68" s="1"/>
  <c r="B132" i="68"/>
  <c r="F132" i="68" s="1"/>
  <c r="A132" i="68"/>
  <c r="C131" i="68"/>
  <c r="G131" i="68" s="1"/>
  <c r="B131" i="68"/>
  <c r="F131" i="68" s="1"/>
  <c r="A131" i="68"/>
  <c r="C130" i="68"/>
  <c r="G130" i="68" s="1"/>
  <c r="B130" i="68"/>
  <c r="F130" i="68" s="1"/>
  <c r="A130" i="68"/>
  <c r="C129" i="68"/>
  <c r="G129" i="68" s="1"/>
  <c r="B129" i="68"/>
  <c r="F129" i="68" s="1"/>
  <c r="A129" i="68"/>
  <c r="C128" i="68"/>
  <c r="G128" i="68" s="1"/>
  <c r="B128" i="68"/>
  <c r="F128" i="68" s="1"/>
  <c r="A128" i="68"/>
  <c r="C127" i="68"/>
  <c r="G127" i="68" s="1"/>
  <c r="B127" i="68"/>
  <c r="F127" i="68" s="1"/>
  <c r="A127" i="68"/>
  <c r="E136" i="67"/>
  <c r="C11" i="8" s="1"/>
  <c r="D136" i="67"/>
  <c r="B11" i="8" s="1"/>
  <c r="B135" i="67"/>
  <c r="F135" i="67" s="1"/>
  <c r="A135" i="67"/>
  <c r="C134" i="67"/>
  <c r="G134" i="67" s="1"/>
  <c r="B134" i="67"/>
  <c r="F134" i="67" s="1"/>
  <c r="A134" i="67"/>
  <c r="C133" i="67"/>
  <c r="G133" i="67" s="1"/>
  <c r="B133" i="67"/>
  <c r="F133" i="67" s="1"/>
  <c r="A133" i="67"/>
  <c r="C132" i="67"/>
  <c r="G132" i="67" s="1"/>
  <c r="B132" i="67"/>
  <c r="F132" i="67" s="1"/>
  <c r="A132" i="67"/>
  <c r="G131" i="67"/>
  <c r="C131" i="67"/>
  <c r="B131" i="67"/>
  <c r="F131" i="67" s="1"/>
  <c r="A131" i="67"/>
  <c r="C130" i="67"/>
  <c r="G130" i="67" s="1"/>
  <c r="B130" i="67"/>
  <c r="F130" i="67" s="1"/>
  <c r="A130" i="67"/>
  <c r="F129" i="67"/>
  <c r="C129" i="67"/>
  <c r="G129" i="67" s="1"/>
  <c r="B129" i="67"/>
  <c r="A129" i="67"/>
  <c r="C128" i="67"/>
  <c r="G128" i="67" s="1"/>
  <c r="B128" i="67"/>
  <c r="F128" i="67" s="1"/>
  <c r="A128" i="67"/>
  <c r="C127" i="67"/>
  <c r="G127" i="67" s="1"/>
  <c r="B127" i="67"/>
  <c r="F127" i="67" s="1"/>
  <c r="A127" i="67"/>
  <c r="E136" i="66"/>
  <c r="C10" i="8" s="1"/>
  <c r="D136" i="66"/>
  <c r="B10" i="8" s="1"/>
  <c r="B135" i="66"/>
  <c r="F135" i="66" s="1"/>
  <c r="A135" i="66"/>
  <c r="C134" i="66"/>
  <c r="G134" i="66" s="1"/>
  <c r="B134" i="66"/>
  <c r="F134" i="66" s="1"/>
  <c r="A134" i="66"/>
  <c r="C133" i="66"/>
  <c r="G133" i="66" s="1"/>
  <c r="B133" i="66"/>
  <c r="F133" i="66" s="1"/>
  <c r="A133" i="66"/>
  <c r="C132" i="66"/>
  <c r="G132" i="66" s="1"/>
  <c r="B132" i="66"/>
  <c r="F132" i="66" s="1"/>
  <c r="A132" i="66"/>
  <c r="C131" i="66"/>
  <c r="G131" i="66" s="1"/>
  <c r="B131" i="66"/>
  <c r="F131" i="66" s="1"/>
  <c r="A131" i="66"/>
  <c r="C130" i="66"/>
  <c r="G130" i="66" s="1"/>
  <c r="B130" i="66"/>
  <c r="F130" i="66" s="1"/>
  <c r="A130" i="66"/>
  <c r="C129" i="66"/>
  <c r="G129" i="66" s="1"/>
  <c r="B129" i="66"/>
  <c r="F129" i="66" s="1"/>
  <c r="A129" i="66"/>
  <c r="C128" i="66"/>
  <c r="G128" i="66" s="1"/>
  <c r="B128" i="66"/>
  <c r="F128" i="66" s="1"/>
  <c r="A128" i="66"/>
  <c r="C127" i="66"/>
  <c r="G127" i="66" s="1"/>
  <c r="B127" i="66"/>
  <c r="F127" i="66" s="1"/>
  <c r="A127" i="66"/>
  <c r="E136" i="65"/>
  <c r="C9" i="8" s="1"/>
  <c r="D136" i="65"/>
  <c r="B9" i="8" s="1"/>
  <c r="B135" i="65"/>
  <c r="F135" i="65" s="1"/>
  <c r="A135" i="65"/>
  <c r="C134" i="65"/>
  <c r="G134" i="65" s="1"/>
  <c r="B134" i="65"/>
  <c r="F134" i="65" s="1"/>
  <c r="A134" i="65"/>
  <c r="C133" i="65"/>
  <c r="G133" i="65" s="1"/>
  <c r="B133" i="65"/>
  <c r="F133" i="65" s="1"/>
  <c r="A133" i="65"/>
  <c r="C132" i="65"/>
  <c r="G132" i="65" s="1"/>
  <c r="B132" i="65"/>
  <c r="F132" i="65" s="1"/>
  <c r="A132" i="65"/>
  <c r="C131" i="65"/>
  <c r="G131" i="65" s="1"/>
  <c r="B131" i="65"/>
  <c r="F131" i="65" s="1"/>
  <c r="A131" i="65"/>
  <c r="C130" i="65"/>
  <c r="G130" i="65" s="1"/>
  <c r="B130" i="65"/>
  <c r="F130" i="65" s="1"/>
  <c r="A130" i="65"/>
  <c r="C129" i="65"/>
  <c r="G129" i="65" s="1"/>
  <c r="B129" i="65"/>
  <c r="F129" i="65" s="1"/>
  <c r="A129" i="65"/>
  <c r="C128" i="65"/>
  <c r="G128" i="65" s="1"/>
  <c r="B128" i="65"/>
  <c r="F128" i="65" s="1"/>
  <c r="A128" i="65"/>
  <c r="C127" i="65"/>
  <c r="G127" i="65" s="1"/>
  <c r="B127" i="65"/>
  <c r="F127" i="65" s="1"/>
  <c r="A127" i="65"/>
  <c r="E136" i="64"/>
  <c r="C8" i="8" s="1"/>
  <c r="D136" i="64"/>
  <c r="B8" i="8" s="1"/>
  <c r="B135" i="64"/>
  <c r="F135" i="64" s="1"/>
  <c r="A135" i="64"/>
  <c r="C134" i="64"/>
  <c r="G134" i="64" s="1"/>
  <c r="B134" i="64"/>
  <c r="F134" i="64" s="1"/>
  <c r="A134" i="64"/>
  <c r="C133" i="64"/>
  <c r="G133" i="64" s="1"/>
  <c r="B133" i="64"/>
  <c r="F133" i="64" s="1"/>
  <c r="A133" i="64"/>
  <c r="C132" i="64"/>
  <c r="G132" i="64" s="1"/>
  <c r="B132" i="64"/>
  <c r="F132" i="64" s="1"/>
  <c r="A132" i="64"/>
  <c r="C131" i="64"/>
  <c r="G131" i="64" s="1"/>
  <c r="B131" i="64"/>
  <c r="F131" i="64" s="1"/>
  <c r="A131" i="64"/>
  <c r="C130" i="64"/>
  <c r="G130" i="64" s="1"/>
  <c r="B130" i="64"/>
  <c r="F130" i="64" s="1"/>
  <c r="A130" i="64"/>
  <c r="C129" i="64"/>
  <c r="G129" i="64" s="1"/>
  <c r="B129" i="64"/>
  <c r="F129" i="64" s="1"/>
  <c r="A129" i="64"/>
  <c r="C128" i="64"/>
  <c r="G128" i="64" s="1"/>
  <c r="B128" i="64"/>
  <c r="F128" i="64" s="1"/>
  <c r="A128" i="64"/>
  <c r="C127" i="64"/>
  <c r="G127" i="64" s="1"/>
  <c r="B127" i="64"/>
  <c r="F127" i="64" s="1"/>
  <c r="A127" i="64"/>
  <c r="E136" i="63"/>
  <c r="C7" i="8" s="1"/>
  <c r="D136" i="63"/>
  <c r="B7" i="8" s="1"/>
  <c r="B135" i="63"/>
  <c r="F135" i="63" s="1"/>
  <c r="A135" i="63"/>
  <c r="C134" i="63"/>
  <c r="G134" i="63" s="1"/>
  <c r="B134" i="63"/>
  <c r="F134" i="63" s="1"/>
  <c r="A134" i="63"/>
  <c r="C133" i="63"/>
  <c r="G133" i="63" s="1"/>
  <c r="B133" i="63"/>
  <c r="F133" i="63" s="1"/>
  <c r="A133" i="63"/>
  <c r="F132" i="63"/>
  <c r="C132" i="63"/>
  <c r="G132" i="63" s="1"/>
  <c r="B132" i="63"/>
  <c r="A132" i="63"/>
  <c r="C131" i="63"/>
  <c r="G131" i="63" s="1"/>
  <c r="B131" i="63"/>
  <c r="F131" i="63" s="1"/>
  <c r="A131" i="63"/>
  <c r="C130" i="63"/>
  <c r="G130" i="63" s="1"/>
  <c r="B130" i="63"/>
  <c r="F130" i="63" s="1"/>
  <c r="A130" i="63"/>
  <c r="C129" i="63"/>
  <c r="G129" i="63" s="1"/>
  <c r="B129" i="63"/>
  <c r="F129" i="63" s="1"/>
  <c r="A129" i="63"/>
  <c r="C128" i="63"/>
  <c r="G128" i="63" s="1"/>
  <c r="B128" i="63"/>
  <c r="F128" i="63" s="1"/>
  <c r="A128" i="63"/>
  <c r="C127" i="63"/>
  <c r="G127" i="63" s="1"/>
  <c r="B127" i="63"/>
  <c r="F127" i="63" s="1"/>
  <c r="A127" i="63"/>
  <c r="E136" i="62"/>
  <c r="C6" i="8" s="1"/>
  <c r="D136" i="62"/>
  <c r="B6" i="8" s="1"/>
  <c r="B135" i="62"/>
  <c r="F135" i="62" s="1"/>
  <c r="A135" i="62"/>
  <c r="C134" i="62"/>
  <c r="G134" i="62" s="1"/>
  <c r="B134" i="62"/>
  <c r="F134" i="62" s="1"/>
  <c r="A134" i="62"/>
  <c r="C133" i="62"/>
  <c r="G133" i="62" s="1"/>
  <c r="B133" i="62"/>
  <c r="F133" i="62" s="1"/>
  <c r="A133" i="62"/>
  <c r="C132" i="62"/>
  <c r="G132" i="62" s="1"/>
  <c r="B132" i="62"/>
  <c r="F132" i="62" s="1"/>
  <c r="A132" i="62"/>
  <c r="G131" i="62"/>
  <c r="C131" i="62"/>
  <c r="B131" i="62"/>
  <c r="F131" i="62" s="1"/>
  <c r="A131" i="62"/>
  <c r="C130" i="62"/>
  <c r="G130" i="62" s="1"/>
  <c r="B130" i="62"/>
  <c r="F130" i="62" s="1"/>
  <c r="A130" i="62"/>
  <c r="C129" i="62"/>
  <c r="G129" i="62" s="1"/>
  <c r="B129" i="62"/>
  <c r="F129" i="62" s="1"/>
  <c r="A129" i="62"/>
  <c r="C128" i="62"/>
  <c r="G128" i="62" s="1"/>
  <c r="B128" i="62"/>
  <c r="F128" i="62" s="1"/>
  <c r="A128" i="62"/>
  <c r="C127" i="62"/>
  <c r="G127" i="62" s="1"/>
  <c r="B127" i="62"/>
  <c r="F127" i="62" s="1"/>
  <c r="A127" i="62"/>
  <c r="E136" i="61"/>
  <c r="C5" i="8" s="1"/>
  <c r="D136" i="61"/>
  <c r="B5" i="8" s="1"/>
  <c r="B135" i="61"/>
  <c r="F135" i="61" s="1"/>
  <c r="A135" i="61"/>
  <c r="C134" i="61"/>
  <c r="G134" i="61" s="1"/>
  <c r="B134" i="61"/>
  <c r="F134" i="61" s="1"/>
  <c r="A134" i="61"/>
  <c r="C133" i="61"/>
  <c r="G133" i="61" s="1"/>
  <c r="B133" i="61"/>
  <c r="F133" i="61" s="1"/>
  <c r="A133" i="61"/>
  <c r="C132" i="61"/>
  <c r="G132" i="61" s="1"/>
  <c r="B132" i="61"/>
  <c r="F132" i="61" s="1"/>
  <c r="A132" i="61"/>
  <c r="C131" i="61"/>
  <c r="G131" i="61" s="1"/>
  <c r="B131" i="61"/>
  <c r="F131" i="61" s="1"/>
  <c r="A131" i="61"/>
  <c r="C130" i="61"/>
  <c r="G130" i="61" s="1"/>
  <c r="B130" i="61"/>
  <c r="F130" i="61" s="1"/>
  <c r="A130" i="61"/>
  <c r="C129" i="61"/>
  <c r="G129" i="61" s="1"/>
  <c r="B129" i="61"/>
  <c r="F129" i="61" s="1"/>
  <c r="A129" i="61"/>
  <c r="C128" i="61"/>
  <c r="G128" i="61" s="1"/>
  <c r="B128" i="61"/>
  <c r="F128" i="61" s="1"/>
  <c r="A128" i="61"/>
  <c r="C127" i="61"/>
  <c r="G127" i="61" s="1"/>
  <c r="B127" i="61"/>
  <c r="F127" i="61" s="1"/>
  <c r="A127" i="61"/>
  <c r="E136" i="60"/>
  <c r="C4" i="8" s="1"/>
  <c r="D136" i="60"/>
  <c r="B4" i="8" s="1"/>
  <c r="G135" i="60"/>
  <c r="B135" i="60"/>
  <c r="F135" i="60" s="1"/>
  <c r="A135" i="60"/>
  <c r="C134" i="60"/>
  <c r="G134" i="60" s="1"/>
  <c r="B134" i="60"/>
  <c r="F134" i="60" s="1"/>
  <c r="A134" i="60"/>
  <c r="C133" i="60"/>
  <c r="G133" i="60" s="1"/>
  <c r="B133" i="60"/>
  <c r="F133" i="60" s="1"/>
  <c r="A133" i="60"/>
  <c r="C132" i="60"/>
  <c r="G132" i="60" s="1"/>
  <c r="B132" i="60"/>
  <c r="F132" i="60" s="1"/>
  <c r="A132" i="60"/>
  <c r="C131" i="60"/>
  <c r="G131" i="60" s="1"/>
  <c r="B131" i="60"/>
  <c r="F131" i="60" s="1"/>
  <c r="A131" i="60"/>
  <c r="G130" i="60"/>
  <c r="B130" i="60"/>
  <c r="F130" i="60" s="1"/>
  <c r="A130" i="60"/>
  <c r="C129" i="60"/>
  <c r="G129" i="60" s="1"/>
  <c r="B129" i="60"/>
  <c r="F129" i="60" s="1"/>
  <c r="A129" i="60"/>
  <c r="C128" i="60"/>
  <c r="G128" i="60" s="1"/>
  <c r="B128" i="60"/>
  <c r="F128" i="60" s="1"/>
  <c r="A128" i="60"/>
  <c r="C127" i="60"/>
  <c r="G127" i="60" s="1"/>
  <c r="B127" i="60"/>
  <c r="F127" i="60" s="1"/>
  <c r="A127" i="60"/>
  <c r="B30" i="23"/>
  <c r="C19" i="8" l="1"/>
  <c r="G136" i="73"/>
  <c r="D140" i="73" s="1"/>
  <c r="E17" i="8" s="1"/>
  <c r="BY10" i="43"/>
  <c r="CC9" i="43"/>
  <c r="CD9" i="43"/>
  <c r="BU8" i="43"/>
  <c r="BP9" i="43"/>
  <c r="BT8" i="43"/>
  <c r="B19" i="8"/>
  <c r="F136" i="62"/>
  <c r="C140" i="62" s="1"/>
  <c r="D6" i="8" s="1"/>
  <c r="F136" i="63"/>
  <c r="C140" i="63" s="1"/>
  <c r="D7" i="8" s="1"/>
  <c r="G136" i="64"/>
  <c r="D140" i="64" s="1"/>
  <c r="E8" i="8" s="1"/>
  <c r="F136" i="70"/>
  <c r="C140" i="70" s="1"/>
  <c r="D14" i="8" s="1"/>
  <c r="F136" i="61"/>
  <c r="C140" i="61" s="1"/>
  <c r="D5" i="8" s="1"/>
  <c r="G136" i="63"/>
  <c r="D140" i="63" s="1"/>
  <c r="E7" i="8" s="1"/>
  <c r="F136" i="69"/>
  <c r="C140" i="69" s="1"/>
  <c r="D13" i="8" s="1"/>
  <c r="G136" i="70"/>
  <c r="D140" i="70" s="1"/>
  <c r="E14" i="8" s="1"/>
  <c r="F136" i="71"/>
  <c r="C140" i="71" s="1"/>
  <c r="D15" i="8" s="1"/>
  <c r="F136" i="72"/>
  <c r="C140" i="72" s="1"/>
  <c r="D16" i="8" s="1"/>
  <c r="F136" i="73"/>
  <c r="C140" i="73" s="1"/>
  <c r="D17" i="8" s="1"/>
  <c r="G136" i="74"/>
  <c r="D140" i="74" s="1"/>
  <c r="E18" i="8" s="1"/>
  <c r="F136" i="60"/>
  <c r="C140" i="60" s="1"/>
  <c r="D4" i="8" s="1"/>
  <c r="G136" i="61"/>
  <c r="D140" i="61" s="1"/>
  <c r="E5" i="8" s="1"/>
  <c r="G136" i="69"/>
  <c r="D140" i="69" s="1"/>
  <c r="E13" i="8" s="1"/>
  <c r="G136" i="71"/>
  <c r="D140" i="71" s="1"/>
  <c r="E15" i="8" s="1"/>
  <c r="G136" i="72"/>
  <c r="D140" i="72" s="1"/>
  <c r="E16" i="8" s="1"/>
  <c r="G136" i="62"/>
  <c r="D140" i="62" s="1"/>
  <c r="E6" i="8" s="1"/>
  <c r="G136" i="60"/>
  <c r="D140" i="60" s="1"/>
  <c r="E4" i="8" s="1"/>
  <c r="F136" i="67"/>
  <c r="C140" i="67" s="1"/>
  <c r="D11" i="8" s="1"/>
  <c r="F136" i="68"/>
  <c r="C140" i="68" s="1"/>
  <c r="D12" i="8" s="1"/>
  <c r="F136" i="65"/>
  <c r="C140" i="65" s="1"/>
  <c r="D9" i="8" s="1"/>
  <c r="F136" i="66"/>
  <c r="C140" i="66" s="1"/>
  <c r="D10" i="8" s="1"/>
  <c r="G136" i="67"/>
  <c r="D140" i="67" s="1"/>
  <c r="E11" i="8" s="1"/>
  <c r="G136" i="68"/>
  <c r="D140" i="68" s="1"/>
  <c r="E12" i="8" s="1"/>
  <c r="F136" i="64"/>
  <c r="C140" i="64" s="1"/>
  <c r="D8" i="8" s="1"/>
  <c r="F136" i="74"/>
  <c r="C140" i="74" s="1"/>
  <c r="D18" i="8" s="1"/>
  <c r="G136" i="65"/>
  <c r="D140" i="65" s="1"/>
  <c r="E9" i="8" s="1"/>
  <c r="G136" i="66"/>
  <c r="D140" i="66" s="1"/>
  <c r="E10" i="8" s="1"/>
  <c r="D60" i="8"/>
  <c r="E60" i="8"/>
  <c r="E19" i="8" l="1"/>
  <c r="CD10" i="43"/>
  <c r="CC10" i="43"/>
  <c r="BY11" i="43"/>
  <c r="BT9" i="43"/>
  <c r="BP10" i="43"/>
  <c r="BU9" i="43"/>
  <c r="K60" i="8"/>
  <c r="CC11" i="43" l="1"/>
  <c r="BY12" i="43"/>
  <c r="CD11" i="43"/>
  <c r="BT10" i="43"/>
  <c r="BP11" i="43"/>
  <c r="BU10" i="43"/>
  <c r="CC12" i="43" l="1"/>
  <c r="BY13" i="43"/>
  <c r="CD12" i="43"/>
  <c r="BU11" i="43"/>
  <c r="BT11" i="43"/>
  <c r="BP12" i="43"/>
  <c r="E5" i="43"/>
  <c r="A4" i="43"/>
  <c r="A45" i="43" s="1"/>
  <c r="A5" i="43"/>
  <c r="A46" i="43" s="1"/>
  <c r="A6" i="43"/>
  <c r="A47" i="43" s="1"/>
  <c r="A7" i="43"/>
  <c r="A48" i="43" s="1"/>
  <c r="A8" i="43"/>
  <c r="A49" i="43" s="1"/>
  <c r="A9" i="43"/>
  <c r="A50" i="43" s="1"/>
  <c r="A10" i="43"/>
  <c r="A51" i="43" s="1"/>
  <c r="A11" i="43"/>
  <c r="A52" i="43" s="1"/>
  <c r="A12" i="43"/>
  <c r="A53" i="43" s="1"/>
  <c r="A13" i="43"/>
  <c r="A54" i="43" s="1"/>
  <c r="A14" i="43"/>
  <c r="A55" i="43" s="1"/>
  <c r="A15" i="43"/>
  <c r="A56" i="43" s="1"/>
  <c r="A16" i="43"/>
  <c r="A57" i="43" s="1"/>
  <c r="A17" i="43"/>
  <c r="A58" i="43" s="1"/>
  <c r="A18" i="43"/>
  <c r="A59" i="43" s="1"/>
  <c r="B52" i="43"/>
  <c r="E6" i="43" l="1"/>
  <c r="J6" i="43" s="1"/>
  <c r="J5" i="43"/>
  <c r="BY14" i="43"/>
  <c r="CC13" i="43"/>
  <c r="CD13" i="43"/>
  <c r="BT12" i="43"/>
  <c r="BP13" i="43"/>
  <c r="BU12" i="43"/>
  <c r="N5" i="43"/>
  <c r="N6" i="43" s="1"/>
  <c r="S6" i="43" s="1"/>
  <c r="S4" i="43"/>
  <c r="R4" i="43"/>
  <c r="BK4" i="43"/>
  <c r="AJ4" i="43"/>
  <c r="AF5" i="43"/>
  <c r="AK4" i="43"/>
  <c r="BC4" i="43"/>
  <c r="AX5" i="43"/>
  <c r="W5" i="43"/>
  <c r="W6" i="43" s="1"/>
  <c r="AB4" i="43"/>
  <c r="BG5" i="43"/>
  <c r="BL4" i="43"/>
  <c r="B47" i="43"/>
  <c r="B55" i="43"/>
  <c r="B51" i="43"/>
  <c r="B50" i="43"/>
  <c r="B46" i="43"/>
  <c r="B59" i="43"/>
  <c r="B54" i="43"/>
  <c r="B58" i="43"/>
  <c r="B49" i="43"/>
  <c r="B45" i="43"/>
  <c r="B53" i="43"/>
  <c r="B57" i="43"/>
  <c r="B48" i="43"/>
  <c r="B56" i="43"/>
  <c r="E7" i="43" l="1"/>
  <c r="J7" i="43" s="1"/>
  <c r="S5" i="43"/>
  <c r="BY15" i="43"/>
  <c r="CC14" i="43"/>
  <c r="CD14" i="43"/>
  <c r="BP14" i="43"/>
  <c r="BT13" i="43"/>
  <c r="BU13" i="43"/>
  <c r="N7" i="43"/>
  <c r="N8" i="43" s="1"/>
  <c r="AA4" i="43"/>
  <c r="AJ5" i="43"/>
  <c r="BB4" i="43"/>
  <c r="AS4" i="43"/>
  <c r="BK5" i="43"/>
  <c r="W7" i="43"/>
  <c r="AB6" i="43"/>
  <c r="AF6" i="43"/>
  <c r="AK5" i="43"/>
  <c r="AT4" i="43"/>
  <c r="AO5" i="43"/>
  <c r="AB5" i="43"/>
  <c r="AA5" i="43"/>
  <c r="BG6" i="43"/>
  <c r="BL5" i="43"/>
  <c r="BC5" i="43"/>
  <c r="AX6" i="43"/>
  <c r="AA6" i="43"/>
  <c r="E8" i="43" l="1"/>
  <c r="S7" i="43"/>
  <c r="BY16" i="43"/>
  <c r="CC15" i="43"/>
  <c r="CD15" i="43"/>
  <c r="BP15" i="43"/>
  <c r="BT14" i="43"/>
  <c r="BU14" i="43"/>
  <c r="R5" i="43"/>
  <c r="BK6" i="43"/>
  <c r="AJ6" i="43"/>
  <c r="AS5" i="43"/>
  <c r="BC6" i="43"/>
  <c r="AX7" i="43"/>
  <c r="AO6" i="43"/>
  <c r="AT5" i="43"/>
  <c r="BL6" i="43"/>
  <c r="BG7" i="43"/>
  <c r="AK6" i="43"/>
  <c r="AF7" i="43"/>
  <c r="AB7" i="43"/>
  <c r="W8" i="43"/>
  <c r="AA7" i="43"/>
  <c r="S8" i="43"/>
  <c r="N9" i="43"/>
  <c r="E9" i="43" l="1"/>
  <c r="J8" i="43"/>
  <c r="Y4" i="43"/>
  <c r="AC4" i="43" s="1"/>
  <c r="CD16" i="43"/>
  <c r="CC16" i="43"/>
  <c r="BY17" i="43"/>
  <c r="BP16" i="43"/>
  <c r="BT15" i="43"/>
  <c r="BU15" i="43"/>
  <c r="R6" i="43"/>
  <c r="I5" i="43"/>
  <c r="K5" i="43" s="1"/>
  <c r="BB5" i="43"/>
  <c r="T4" i="43"/>
  <c r="AI4" i="43"/>
  <c r="AU4" i="43"/>
  <c r="BA4" i="43"/>
  <c r="BI4" i="43"/>
  <c r="BM4" i="43" s="1"/>
  <c r="BJ4" i="43"/>
  <c r="AZ4" i="43"/>
  <c r="BD4" i="43" s="1"/>
  <c r="Z4" i="43"/>
  <c r="AH4" i="43"/>
  <c r="AL4" i="43" s="1"/>
  <c r="BK7" i="43"/>
  <c r="AF8" i="43"/>
  <c r="AK7" i="43"/>
  <c r="BG8" i="43"/>
  <c r="BL7" i="43"/>
  <c r="AA8" i="43"/>
  <c r="AB8" i="43"/>
  <c r="W9" i="43"/>
  <c r="AX8" i="43"/>
  <c r="BC7" i="43"/>
  <c r="AO7" i="43"/>
  <c r="AT6" i="43"/>
  <c r="S9" i="43"/>
  <c r="N10" i="43"/>
  <c r="J9" i="43" l="1"/>
  <c r="E10" i="43"/>
  <c r="AR5" i="43"/>
  <c r="Y5" i="43"/>
  <c r="AC5" i="43" s="1"/>
  <c r="CE4" i="43"/>
  <c r="CF4" i="43"/>
  <c r="CC17" i="43"/>
  <c r="BY18" i="43"/>
  <c r="CD17" i="43"/>
  <c r="BV4" i="43"/>
  <c r="BT16" i="43"/>
  <c r="BP17" i="43"/>
  <c r="BU16" i="43"/>
  <c r="AQ5" i="43"/>
  <c r="AU5" i="43" s="1"/>
  <c r="BA5" i="43"/>
  <c r="AJ8" i="43"/>
  <c r="AS7" i="43"/>
  <c r="BI5" i="43"/>
  <c r="BM5" i="43" s="1"/>
  <c r="AI5" i="43"/>
  <c r="BJ5" i="43"/>
  <c r="Z5" i="43"/>
  <c r="Q5" i="43"/>
  <c r="AH5" i="43"/>
  <c r="AL5" i="43" s="1"/>
  <c r="P5" i="43"/>
  <c r="T5" i="43" s="1"/>
  <c r="BK8" i="43"/>
  <c r="AZ5" i="43"/>
  <c r="BD5" i="43" s="1"/>
  <c r="R7" i="43"/>
  <c r="AJ7" i="43"/>
  <c r="AS6" i="43"/>
  <c r="BB6" i="43"/>
  <c r="I6" i="43"/>
  <c r="K6" i="43" s="1"/>
  <c r="AO8" i="43"/>
  <c r="AT7" i="43"/>
  <c r="BG9" i="43"/>
  <c r="BL8" i="43"/>
  <c r="BC8" i="43"/>
  <c r="AX9" i="43"/>
  <c r="AB9" i="43"/>
  <c r="AA9" i="43"/>
  <c r="W10" i="43"/>
  <c r="AK8" i="43"/>
  <c r="AF9" i="43"/>
  <c r="S10" i="43"/>
  <c r="N11" i="43"/>
  <c r="J10" i="43" l="1"/>
  <c r="E11" i="43"/>
  <c r="C45" i="43"/>
  <c r="CG4" i="43"/>
  <c r="D45" i="43" s="1"/>
  <c r="E45" i="43" s="1"/>
  <c r="F45" i="43" s="1"/>
  <c r="BA6" i="43"/>
  <c r="AR6" i="43"/>
  <c r="Y6" i="43"/>
  <c r="AC6" i="43" s="1"/>
  <c r="CE5" i="43"/>
  <c r="CC18" i="43"/>
  <c r="CD18" i="43"/>
  <c r="BV5" i="43"/>
  <c r="BT17" i="43"/>
  <c r="BP18" i="43"/>
  <c r="BU17" i="43"/>
  <c r="BB7" i="43"/>
  <c r="AQ6" i="43"/>
  <c r="AU6" i="43" s="1"/>
  <c r="AS8" i="43"/>
  <c r="Z6" i="43"/>
  <c r="BJ6" i="43"/>
  <c r="BI6" i="43"/>
  <c r="BM6" i="43" s="1"/>
  <c r="AH6" i="43"/>
  <c r="AL6" i="43" s="1"/>
  <c r="Q6" i="43"/>
  <c r="AI6" i="43"/>
  <c r="P6" i="43"/>
  <c r="T6" i="43" s="1"/>
  <c r="AZ6" i="43"/>
  <c r="BD6" i="43" s="1"/>
  <c r="R8" i="43"/>
  <c r="I7" i="43"/>
  <c r="K7" i="43" s="1"/>
  <c r="W11" i="43"/>
  <c r="AA10" i="43"/>
  <c r="AB10" i="43"/>
  <c r="AX10" i="43"/>
  <c r="BC9" i="43"/>
  <c r="AO9" i="43"/>
  <c r="AT8" i="43"/>
  <c r="BL9" i="43"/>
  <c r="BG10" i="43"/>
  <c r="AK9" i="43"/>
  <c r="AF10" i="43"/>
  <c r="S11" i="43"/>
  <c r="N12" i="43"/>
  <c r="J11" i="43" l="1"/>
  <c r="E12" i="43"/>
  <c r="CF5" i="43"/>
  <c r="CG5" i="43"/>
  <c r="D46" i="43" s="1"/>
  <c r="AQ7" i="43"/>
  <c r="AU7" i="43" s="1"/>
  <c r="Y7" i="43"/>
  <c r="AC7" i="43" s="1"/>
  <c r="AR7" i="43"/>
  <c r="CE6" i="43"/>
  <c r="BV6" i="43"/>
  <c r="BT18" i="43"/>
  <c r="BU18" i="43"/>
  <c r="AJ10" i="43"/>
  <c r="Z7" i="43"/>
  <c r="Q7" i="43"/>
  <c r="P7" i="43"/>
  <c r="T7" i="43" s="1"/>
  <c r="BJ7" i="43"/>
  <c r="AI7" i="43"/>
  <c r="BI7" i="43"/>
  <c r="BM7" i="43" s="1"/>
  <c r="AH7" i="43"/>
  <c r="AL7" i="43" s="1"/>
  <c r="BB8" i="43"/>
  <c r="BK10" i="43"/>
  <c r="BK9" i="43"/>
  <c r="AS9" i="43"/>
  <c r="R9" i="43"/>
  <c r="BA7" i="43"/>
  <c r="AZ7" i="43"/>
  <c r="BD7" i="43" s="1"/>
  <c r="AJ9" i="43"/>
  <c r="I8" i="43"/>
  <c r="K8" i="43" s="1"/>
  <c r="W12" i="43"/>
  <c r="AB11" i="43"/>
  <c r="AA11" i="43"/>
  <c r="AK10" i="43"/>
  <c r="AF11" i="43"/>
  <c r="BG11" i="43"/>
  <c r="BL10" i="43"/>
  <c r="BC10" i="43"/>
  <c r="AX11" i="43"/>
  <c r="AT9" i="43"/>
  <c r="AO10" i="43"/>
  <c r="N13" i="43"/>
  <c r="S12" i="43"/>
  <c r="J12" i="43" l="1"/>
  <c r="E13" i="43"/>
  <c r="CF6" i="43"/>
  <c r="E46" i="43"/>
  <c r="C46" i="43"/>
  <c r="CG6" i="43"/>
  <c r="D47" i="43" s="1"/>
  <c r="AQ8" i="43"/>
  <c r="AU8" i="43" s="1"/>
  <c r="AR8" i="43"/>
  <c r="Y8" i="43"/>
  <c r="AC8" i="43" s="1"/>
  <c r="CE7" i="43"/>
  <c r="BV7" i="43"/>
  <c r="CF7" i="43"/>
  <c r="I9" i="43"/>
  <c r="K9" i="43" s="1"/>
  <c r="BB9" i="43"/>
  <c r="AI8" i="43"/>
  <c r="Z8" i="43"/>
  <c r="BJ8" i="43"/>
  <c r="Q8" i="43"/>
  <c r="P8" i="43"/>
  <c r="T8" i="43" s="1"/>
  <c r="AH8" i="43"/>
  <c r="AL8" i="43" s="1"/>
  <c r="BI8" i="43"/>
  <c r="BM8" i="43" s="1"/>
  <c r="BK11" i="43"/>
  <c r="AS10" i="43"/>
  <c r="R10" i="43"/>
  <c r="AZ8" i="43"/>
  <c r="BD8" i="43" s="1"/>
  <c r="BA8" i="43"/>
  <c r="AX12" i="43"/>
  <c r="BC11" i="43"/>
  <c r="AK11" i="43"/>
  <c r="AF12" i="43"/>
  <c r="W13" i="43"/>
  <c r="AB12" i="43"/>
  <c r="AA12" i="43"/>
  <c r="BL11" i="43"/>
  <c r="BG12" i="43"/>
  <c r="AT10" i="43"/>
  <c r="AO11" i="43"/>
  <c r="N14" i="43"/>
  <c r="S13" i="43"/>
  <c r="J13" i="43" l="1"/>
  <c r="E14" i="43"/>
  <c r="C48" i="43"/>
  <c r="CG7" i="43"/>
  <c r="D48" i="43" s="1"/>
  <c r="E48" i="43" s="1"/>
  <c r="F48" i="43" s="1"/>
  <c r="F46" i="43"/>
  <c r="E47" i="43"/>
  <c r="C47" i="43"/>
  <c r="BA9" i="43"/>
  <c r="Y9" i="43"/>
  <c r="AC9" i="43" s="1"/>
  <c r="AR9" i="43"/>
  <c r="CE8" i="43"/>
  <c r="BV8" i="43"/>
  <c r="CG8" i="43" s="1"/>
  <c r="D49" i="43" s="1"/>
  <c r="AQ9" i="43"/>
  <c r="AU9" i="43" s="1"/>
  <c r="AZ9" i="43"/>
  <c r="BD9" i="43" s="1"/>
  <c r="I10" i="43"/>
  <c r="K10" i="43" s="1"/>
  <c r="R11" i="43"/>
  <c r="BB10" i="43"/>
  <c r="AJ12" i="43"/>
  <c r="BJ9" i="43"/>
  <c r="Z9" i="43"/>
  <c r="AI9" i="43"/>
  <c r="AH9" i="43"/>
  <c r="AL9" i="43" s="1"/>
  <c r="P9" i="43"/>
  <c r="T9" i="43" s="1"/>
  <c r="Q9" i="43"/>
  <c r="BI9" i="43"/>
  <c r="BM9" i="43" s="1"/>
  <c r="AJ11" i="43"/>
  <c r="AF13" i="43"/>
  <c r="AK12" i="43"/>
  <c r="W14" i="43"/>
  <c r="AB13" i="43"/>
  <c r="AA13" i="43"/>
  <c r="AX13" i="43"/>
  <c r="BC12" i="43"/>
  <c r="AO12" i="43"/>
  <c r="AT11" i="43"/>
  <c r="BL12" i="43"/>
  <c r="BG13" i="43"/>
  <c r="N15" i="43"/>
  <c r="S14" i="43"/>
  <c r="J14" i="43" l="1"/>
  <c r="E15" i="43"/>
  <c r="CF8" i="43"/>
  <c r="C49" i="43" s="1"/>
  <c r="F47" i="43"/>
  <c r="E49" i="43"/>
  <c r="AZ10" i="43"/>
  <c r="AR10" i="43"/>
  <c r="Y10" i="43"/>
  <c r="AC10" i="43" s="1"/>
  <c r="CE9" i="43"/>
  <c r="BV9" i="43"/>
  <c r="BA10" i="43"/>
  <c r="AS12" i="43"/>
  <c r="BK13" i="43"/>
  <c r="P10" i="43"/>
  <c r="T10" i="43" s="1"/>
  <c r="Z10" i="43"/>
  <c r="BI10" i="43"/>
  <c r="BM10" i="43" s="1"/>
  <c r="AI10" i="43"/>
  <c r="AH10" i="43"/>
  <c r="AL10" i="43" s="1"/>
  <c r="BJ10" i="43"/>
  <c r="Q10" i="43"/>
  <c r="AS11" i="43"/>
  <c r="BD10" i="43"/>
  <c r="BB11" i="43"/>
  <c r="AJ13" i="43"/>
  <c r="I11" i="43"/>
  <c r="K11" i="43" s="1"/>
  <c r="R12" i="43"/>
  <c r="BK12" i="43"/>
  <c r="AQ10" i="43"/>
  <c r="AU10" i="43" s="1"/>
  <c r="AB14" i="43"/>
  <c r="W15" i="43"/>
  <c r="AA14" i="43"/>
  <c r="AT12" i="43"/>
  <c r="AO13" i="43"/>
  <c r="BC13" i="43"/>
  <c r="AX14" i="43"/>
  <c r="AF14" i="43"/>
  <c r="AK13" i="43"/>
  <c r="BL13" i="43"/>
  <c r="BG14" i="43"/>
  <c r="S15" i="43"/>
  <c r="N16" i="43"/>
  <c r="F49" i="43" l="1"/>
  <c r="J15" i="43"/>
  <c r="E16" i="43"/>
  <c r="CG9" i="43"/>
  <c r="D50" i="43" s="1"/>
  <c r="CF9" i="43"/>
  <c r="AQ11" i="43"/>
  <c r="AU11" i="43" s="1"/>
  <c r="AR11" i="43"/>
  <c r="Y11" i="43"/>
  <c r="AC11" i="43" s="1"/>
  <c r="CF10" i="43"/>
  <c r="CE10" i="43"/>
  <c r="BV10" i="43"/>
  <c r="AZ11" i="43"/>
  <c r="BD11" i="43" s="1"/>
  <c r="I12" i="43"/>
  <c r="K12" i="43" s="1"/>
  <c r="AJ14" i="43"/>
  <c r="BB12" i="43"/>
  <c r="Z11" i="43"/>
  <c r="BJ11" i="43"/>
  <c r="Q11" i="43"/>
  <c r="BI11" i="43"/>
  <c r="BM11" i="43" s="1"/>
  <c r="P11" i="43"/>
  <c r="T11" i="43" s="1"/>
  <c r="AH11" i="43"/>
  <c r="AL11" i="43" s="1"/>
  <c r="AI11" i="43"/>
  <c r="R13" i="43"/>
  <c r="BA11" i="43"/>
  <c r="AO14" i="43"/>
  <c r="AT13" i="43"/>
  <c r="BL14" i="43"/>
  <c r="BG15" i="43"/>
  <c r="AF15" i="43"/>
  <c r="AK14" i="43"/>
  <c r="AX15" i="43"/>
  <c r="BC14" i="43"/>
  <c r="W16" i="43"/>
  <c r="AA15" i="43"/>
  <c r="AB15" i="43"/>
  <c r="N17" i="43"/>
  <c r="S16" i="43"/>
  <c r="J16" i="43" l="1"/>
  <c r="E17" i="43"/>
  <c r="CG10" i="43"/>
  <c r="D51" i="43" s="1"/>
  <c r="E51" i="43" s="1"/>
  <c r="C51" i="43"/>
  <c r="E50" i="43"/>
  <c r="C50" i="43"/>
  <c r="Y12" i="43"/>
  <c r="AC12" i="43" s="1"/>
  <c r="AR12" i="43"/>
  <c r="CE11" i="43"/>
  <c r="BV11" i="43"/>
  <c r="AZ12" i="43"/>
  <c r="BD12" i="43" s="1"/>
  <c r="AQ12" i="43"/>
  <c r="AU12" i="43" s="1"/>
  <c r="BB13" i="43"/>
  <c r="R14" i="43"/>
  <c r="Z12" i="43"/>
  <c r="Q12" i="43"/>
  <c r="P12" i="43"/>
  <c r="T12" i="43" s="1"/>
  <c r="BI12" i="43"/>
  <c r="BM12" i="43" s="1"/>
  <c r="BJ12" i="43"/>
  <c r="AH12" i="43"/>
  <c r="AL12" i="43" s="1"/>
  <c r="AI12" i="43"/>
  <c r="BK14" i="43"/>
  <c r="AS14" i="43"/>
  <c r="AS13" i="43"/>
  <c r="BA12" i="43"/>
  <c r="I13" i="43"/>
  <c r="K13" i="43" s="1"/>
  <c r="AX16" i="43"/>
  <c r="BC15" i="43"/>
  <c r="BL15" i="43"/>
  <c r="BG16" i="43"/>
  <c r="W17" i="43"/>
  <c r="AB16" i="43"/>
  <c r="AA16" i="43"/>
  <c r="AF16" i="43"/>
  <c r="AK15" i="43"/>
  <c r="AO15" i="43"/>
  <c r="AT14" i="43"/>
  <c r="S17" i="43"/>
  <c r="N18" i="43"/>
  <c r="J17" i="43" l="1"/>
  <c r="E18" i="43"/>
  <c r="J18" i="43" s="1"/>
  <c r="F51" i="43"/>
  <c r="F50" i="43"/>
  <c r="CG11" i="43"/>
  <c r="D52" i="43" s="1"/>
  <c r="CF11" i="43"/>
  <c r="Y13" i="43"/>
  <c r="AC13" i="43" s="1"/>
  <c r="AR13" i="43"/>
  <c r="CE12" i="43"/>
  <c r="CF12" i="43"/>
  <c r="BV12" i="43"/>
  <c r="Z13" i="43"/>
  <c r="P13" i="43"/>
  <c r="T13" i="43" s="1"/>
  <c r="BJ13" i="43"/>
  <c r="Q13" i="43"/>
  <c r="BI13" i="43"/>
  <c r="BM13" i="43" s="1"/>
  <c r="AI13" i="43"/>
  <c r="AH13" i="43"/>
  <c r="AL13" i="43" s="1"/>
  <c r="BB14" i="43"/>
  <c r="AQ13" i="43"/>
  <c r="AU13" i="43" s="1"/>
  <c r="I14" i="43"/>
  <c r="K14" i="43" s="1"/>
  <c r="AZ13" i="43"/>
  <c r="BD13" i="43" s="1"/>
  <c r="BA13" i="43"/>
  <c r="AS15" i="43"/>
  <c r="AA17" i="43"/>
  <c r="AB17" i="43"/>
  <c r="W18" i="43"/>
  <c r="BG17" i="43"/>
  <c r="BL16" i="43"/>
  <c r="AT15" i="43"/>
  <c r="AO16" i="43"/>
  <c r="AF17" i="43"/>
  <c r="AK16" i="43"/>
  <c r="AX17" i="43"/>
  <c r="BC16" i="43"/>
  <c r="S18" i="43"/>
  <c r="R15" i="43"/>
  <c r="AJ15" i="43"/>
  <c r="I15" i="43"/>
  <c r="K15" i="43" s="1"/>
  <c r="C53" i="43" l="1"/>
  <c r="E52" i="43"/>
  <c r="C52" i="43"/>
  <c r="CG12" i="43"/>
  <c r="D53" i="43" s="1"/>
  <c r="E53" i="43" s="1"/>
  <c r="AR14" i="43"/>
  <c r="Y14" i="43"/>
  <c r="AC14" i="43" s="1"/>
  <c r="CE13" i="43"/>
  <c r="CF13" i="43"/>
  <c r="BV13" i="43"/>
  <c r="Z14" i="43"/>
  <c r="Q14" i="43"/>
  <c r="AI14" i="43"/>
  <c r="P14" i="43"/>
  <c r="T14" i="43" s="1"/>
  <c r="BJ14" i="43"/>
  <c r="AH14" i="43"/>
  <c r="AL14" i="43" s="1"/>
  <c r="BI14" i="43"/>
  <c r="BM14" i="43" s="1"/>
  <c r="AQ14" i="43"/>
  <c r="AU14" i="43" s="1"/>
  <c r="AS16" i="43"/>
  <c r="BA14" i="43"/>
  <c r="AZ14" i="43"/>
  <c r="BD14" i="43" s="1"/>
  <c r="AA18" i="43"/>
  <c r="AB18" i="43"/>
  <c r="BC17" i="43"/>
  <c r="AX18" i="43"/>
  <c r="AT16" i="43"/>
  <c r="AO17" i="43"/>
  <c r="AK17" i="43"/>
  <c r="AF18" i="43"/>
  <c r="BG18" i="43"/>
  <c r="BL17" i="43"/>
  <c r="I16" i="43"/>
  <c r="K16" i="43" s="1"/>
  <c r="R16" i="43"/>
  <c r="AJ16" i="43"/>
  <c r="BB15" i="43"/>
  <c r="BK15" i="43"/>
  <c r="F53" i="43" l="1"/>
  <c r="CG13" i="43"/>
  <c r="D54" i="43" s="1"/>
  <c r="E54" i="43" s="1"/>
  <c r="C54" i="43"/>
  <c r="F52" i="43"/>
  <c r="CE14" i="43"/>
  <c r="CF14" i="43"/>
  <c r="BV14" i="43"/>
  <c r="AS17" i="43"/>
  <c r="AK18" i="43"/>
  <c r="BC18" i="43"/>
  <c r="AO18" i="43"/>
  <c r="AT17" i="43"/>
  <c r="BL18" i="43"/>
  <c r="AJ17" i="43"/>
  <c r="BB16" i="43"/>
  <c r="BK16" i="43"/>
  <c r="R17" i="43"/>
  <c r="I17" i="43"/>
  <c r="K17" i="43" s="1"/>
  <c r="CG14" i="43" l="1"/>
  <c r="D55" i="43" s="1"/>
  <c r="E55" i="43" s="1"/>
  <c r="F54" i="43"/>
  <c r="C55" i="43"/>
  <c r="AQ15" i="43"/>
  <c r="AU15" i="43" s="1"/>
  <c r="AR15" i="43"/>
  <c r="Y15" i="43"/>
  <c r="AC15" i="43" s="1"/>
  <c r="BJ15" i="43"/>
  <c r="Z15" i="43"/>
  <c r="AH15" i="43"/>
  <c r="AL15" i="43" s="1"/>
  <c r="AZ15" i="43"/>
  <c r="BD15" i="43" s="1"/>
  <c r="BA15" i="43"/>
  <c r="BI15" i="43"/>
  <c r="BM15" i="43" s="1"/>
  <c r="AI15" i="43"/>
  <c r="Q15" i="43"/>
  <c r="P15" i="43"/>
  <c r="T15" i="43" s="1"/>
  <c r="AT18" i="43"/>
  <c r="I18" i="43"/>
  <c r="K18" i="43" s="1"/>
  <c r="BB17" i="43"/>
  <c r="BK17" i="43"/>
  <c r="F55" i="43" l="1"/>
  <c r="AQ16" i="43"/>
  <c r="AU16" i="43" s="1"/>
  <c r="Y16" i="43"/>
  <c r="AC16" i="43" s="1"/>
  <c r="AR16" i="43"/>
  <c r="CE15" i="43"/>
  <c r="CF15" i="43"/>
  <c r="P16" i="43"/>
  <c r="T16" i="43" s="1"/>
  <c r="BI16" i="43"/>
  <c r="BM16" i="43" s="1"/>
  <c r="BV15" i="43"/>
  <c r="AH16" i="43"/>
  <c r="AL16" i="43" s="1"/>
  <c r="Z16" i="43"/>
  <c r="Q16" i="43"/>
  <c r="BJ16" i="43"/>
  <c r="BA16" i="43"/>
  <c r="AZ16" i="43"/>
  <c r="BD16" i="43" s="1"/>
  <c r="AI16" i="43"/>
  <c r="R18" i="43"/>
  <c r="AJ18" i="43"/>
  <c r="AS18" i="43"/>
  <c r="C56" i="43" l="1"/>
  <c r="AQ17" i="43"/>
  <c r="AU17" i="43" s="1"/>
  <c r="Y17" i="43"/>
  <c r="AC17" i="43" s="1"/>
  <c r="AR17" i="43"/>
  <c r="CG15" i="43"/>
  <c r="D56" i="43" s="1"/>
  <c r="E56" i="43" s="1"/>
  <c r="F56" i="43" s="1"/>
  <c r="CF16" i="43"/>
  <c r="CE16" i="43"/>
  <c r="BV16" i="43"/>
  <c r="BA17" i="43"/>
  <c r="Z17" i="43"/>
  <c r="BJ17" i="43"/>
  <c r="BI17" i="43"/>
  <c r="BM17" i="43" s="1"/>
  <c r="P17" i="43"/>
  <c r="T17" i="43" s="1"/>
  <c r="AZ17" i="43"/>
  <c r="BD17" i="43" s="1"/>
  <c r="AH17" i="43"/>
  <c r="AL17" i="43" s="1"/>
  <c r="AI17" i="43"/>
  <c r="BB18" i="43"/>
  <c r="BK18" i="43"/>
  <c r="Q17" i="43"/>
  <c r="D19" i="8"/>
  <c r="C57" i="43" l="1"/>
  <c r="CG16" i="43"/>
  <c r="D57" i="43" s="1"/>
  <c r="E57" i="43" s="1"/>
  <c r="F57" i="43" s="1"/>
  <c r="CE17" i="43"/>
  <c r="BV17" i="43"/>
  <c r="CG17" i="43" s="1"/>
  <c r="D58" i="43" s="1"/>
  <c r="CF17" i="43"/>
  <c r="B60" i="8"/>
  <c r="E58" i="43" l="1"/>
  <c r="C58" i="43"/>
  <c r="AZ18" i="43"/>
  <c r="BD18" i="43" s="1"/>
  <c r="AR18" i="43"/>
  <c r="Y18" i="43"/>
  <c r="AC18" i="43" s="1"/>
  <c r="BJ18" i="43"/>
  <c r="AQ18" i="43"/>
  <c r="AU18" i="43" s="1"/>
  <c r="P18" i="43"/>
  <c r="T18" i="43" s="1"/>
  <c r="AI18" i="43"/>
  <c r="Z18" i="43"/>
  <c r="Q18" i="43"/>
  <c r="AH18" i="43"/>
  <c r="AL18" i="43" s="1"/>
  <c r="BA18" i="43"/>
  <c r="BI18" i="43"/>
  <c r="BM18" i="43" s="1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A271" i="23"/>
  <c r="C269" i="23"/>
  <c r="C244" i="23"/>
  <c r="C129" i="23"/>
  <c r="B115" i="23"/>
  <c r="C115" i="23"/>
  <c r="B116" i="23"/>
  <c r="C116" i="23"/>
  <c r="B117" i="23"/>
  <c r="C117" i="23"/>
  <c r="B118" i="23"/>
  <c r="C118" i="23"/>
  <c r="B119" i="23"/>
  <c r="C119" i="23"/>
  <c r="B120" i="23"/>
  <c r="C120" i="23"/>
  <c r="B121" i="23"/>
  <c r="C121" i="23"/>
  <c r="B122" i="23"/>
  <c r="C122" i="23"/>
  <c r="B123" i="23"/>
  <c r="C123" i="23"/>
  <c r="B124" i="23"/>
  <c r="C124" i="23"/>
  <c r="B125" i="23"/>
  <c r="C125" i="23"/>
  <c r="B126" i="23"/>
  <c r="C126" i="23"/>
  <c r="B127" i="23"/>
  <c r="C127" i="23"/>
  <c r="B128" i="23"/>
  <c r="C128" i="23"/>
  <c r="B129" i="23"/>
  <c r="F58" i="43" l="1"/>
  <c r="CE18" i="43"/>
  <c r="BV18" i="43"/>
  <c r="CG18" i="43" s="1"/>
  <c r="D59" i="43" s="1"/>
  <c r="CF18" i="43"/>
  <c r="E59" i="43" l="1"/>
  <c r="C59" i="43"/>
  <c r="F59" i="43" l="1"/>
  <c r="B74" i="23"/>
  <c r="B75" i="23"/>
  <c r="B76" i="23"/>
  <c r="B77" i="23"/>
  <c r="B78" i="23"/>
  <c r="B79" i="23"/>
  <c r="B80" i="23"/>
  <c r="B81" i="23"/>
  <c r="B82" i="23"/>
  <c r="B83" i="23"/>
  <c r="B84" i="23"/>
  <c r="B85" i="23"/>
  <c r="B86" i="23"/>
  <c r="B87" i="23"/>
  <c r="B88" i="23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J57" i="8" l="1"/>
  <c r="M57" i="8" s="1"/>
  <c r="J49" i="8"/>
  <c r="J56" i="8"/>
  <c r="M56" i="8" s="1"/>
  <c r="B56" i="23" s="1"/>
  <c r="J48" i="8"/>
  <c r="J55" i="8"/>
  <c r="J47" i="8"/>
  <c r="J54" i="8"/>
  <c r="J53" i="8"/>
  <c r="J45" i="8"/>
  <c r="J46" i="8"/>
  <c r="J52" i="8"/>
  <c r="J51" i="8"/>
  <c r="M51" i="8" s="1"/>
  <c r="J58" i="8"/>
  <c r="J50" i="8"/>
  <c r="B57" i="23"/>
  <c r="B29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34" i="23" l="1"/>
  <c r="B33" i="23"/>
  <c r="M58" i="8"/>
  <c r="M45" i="8"/>
  <c r="M49" i="8"/>
  <c r="B49" i="23" s="1"/>
  <c r="M53" i="8"/>
  <c r="B53" i="23" s="1"/>
  <c r="M54" i="8"/>
  <c r="B54" i="23" s="1"/>
  <c r="M50" i="8"/>
  <c r="B50" i="23" s="1"/>
  <c r="M47" i="8"/>
  <c r="B47" i="23" s="1"/>
  <c r="M55" i="8"/>
  <c r="B55" i="23" s="1"/>
  <c r="M46" i="8"/>
  <c r="B46" i="23" s="1"/>
  <c r="M48" i="8"/>
  <c r="B48" i="23" s="1"/>
  <c r="M52" i="8"/>
  <c r="B52" i="23" s="1"/>
  <c r="B51" i="23"/>
  <c r="A203" i="21"/>
  <c r="A267" i="21" s="1"/>
  <c r="A204" i="21"/>
  <c r="A268" i="21" s="1"/>
  <c r="C184" i="21"/>
  <c r="C246" i="21" s="1"/>
  <c r="C185" i="21"/>
  <c r="C247" i="21" s="1"/>
  <c r="C171" i="21"/>
  <c r="C233" i="21" s="1"/>
  <c r="C172" i="21"/>
  <c r="C234" i="21" s="1"/>
  <c r="C173" i="21"/>
  <c r="C235" i="21" s="1"/>
  <c r="C174" i="21"/>
  <c r="C236" i="21" s="1"/>
  <c r="C175" i="21"/>
  <c r="C237" i="21" s="1"/>
  <c r="C176" i="21"/>
  <c r="C238" i="21" s="1"/>
  <c r="C177" i="21"/>
  <c r="C239" i="21" s="1"/>
  <c r="C178" i="21"/>
  <c r="C240" i="21" s="1"/>
  <c r="C179" i="21"/>
  <c r="C241" i="21" s="1"/>
  <c r="C180" i="21"/>
  <c r="C242" i="21" s="1"/>
  <c r="C181" i="21"/>
  <c r="C243" i="21" s="1"/>
  <c r="C182" i="21"/>
  <c r="C244" i="21" s="1"/>
  <c r="C183" i="21"/>
  <c r="C245" i="21" s="1"/>
  <c r="B171" i="21"/>
  <c r="B233" i="21" s="1"/>
  <c r="B172" i="21"/>
  <c r="B234" i="21" s="1"/>
  <c r="B173" i="21"/>
  <c r="B235" i="21" s="1"/>
  <c r="B174" i="21"/>
  <c r="B236" i="21" s="1"/>
  <c r="B175" i="21"/>
  <c r="B237" i="21" s="1"/>
  <c r="B176" i="21"/>
  <c r="B238" i="21" s="1"/>
  <c r="B177" i="21"/>
  <c r="B239" i="21" s="1"/>
  <c r="B178" i="21"/>
  <c r="B240" i="21" s="1"/>
  <c r="B179" i="21"/>
  <c r="B241" i="21" s="1"/>
  <c r="B180" i="21"/>
  <c r="B242" i="21" s="1"/>
  <c r="B181" i="21"/>
  <c r="B243" i="21" s="1"/>
  <c r="B182" i="21"/>
  <c r="B244" i="21" s="1"/>
  <c r="B183" i="21"/>
  <c r="B245" i="21" s="1"/>
  <c r="B184" i="21"/>
  <c r="B246" i="21" s="1"/>
  <c r="B185" i="21"/>
  <c r="B247" i="21" s="1"/>
  <c r="C137" i="21"/>
  <c r="C138" i="21"/>
  <c r="C139" i="21"/>
  <c r="C140" i="21"/>
  <c r="C141" i="21"/>
  <c r="C142" i="21"/>
  <c r="C143" i="21"/>
  <c r="C144" i="21"/>
  <c r="C145" i="21"/>
  <c r="C146" i="21"/>
  <c r="C147" i="21"/>
  <c r="C148" i="21"/>
  <c r="C149" i="21"/>
  <c r="C150" i="21"/>
  <c r="C151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C70" i="21"/>
  <c r="C121" i="21" s="1"/>
  <c r="C71" i="21"/>
  <c r="C122" i="21" s="1"/>
  <c r="C72" i="21"/>
  <c r="C123" i="21" s="1"/>
  <c r="C73" i="21"/>
  <c r="C124" i="21" s="1"/>
  <c r="C74" i="21"/>
  <c r="C125" i="21" s="1"/>
  <c r="C75" i="21"/>
  <c r="C126" i="21" s="1"/>
  <c r="C76" i="21"/>
  <c r="C127" i="21" s="1"/>
  <c r="C77" i="21"/>
  <c r="C128" i="21" s="1"/>
  <c r="C78" i="21"/>
  <c r="C129" i="21" s="1"/>
  <c r="C79" i="21"/>
  <c r="C130" i="21" s="1"/>
  <c r="C80" i="21"/>
  <c r="C131" i="21" s="1"/>
  <c r="C81" i="21"/>
  <c r="C132" i="21" s="1"/>
  <c r="C82" i="21"/>
  <c r="C133" i="21" s="1"/>
  <c r="C83" i="21"/>
  <c r="C134" i="21" s="1"/>
  <c r="C84" i="21"/>
  <c r="C135" i="21" s="1"/>
  <c r="B32" i="23" l="1"/>
  <c r="B58" i="23"/>
  <c r="B45" i="23"/>
  <c r="A272" i="21"/>
  <c r="A277" i="21" s="1"/>
  <c r="A33" i="23"/>
  <c r="A273" i="21"/>
  <c r="A278" i="21" s="1"/>
  <c r="A34" i="23"/>
  <c r="C169" i="21"/>
  <c r="C161" i="21"/>
  <c r="C168" i="21"/>
  <c r="C160" i="21"/>
  <c r="C167" i="21"/>
  <c r="C159" i="21"/>
  <c r="C166" i="21"/>
  <c r="C158" i="21"/>
  <c r="C165" i="21"/>
  <c r="C157" i="21"/>
  <c r="C164" i="21"/>
  <c r="C156" i="21"/>
  <c r="C163" i="21"/>
  <c r="C155" i="21"/>
  <c r="C162" i="21"/>
  <c r="A62" i="23" l="1"/>
  <c r="A92" i="23" s="1"/>
  <c r="A95" i="23" s="1"/>
  <c r="A164" i="23" s="1"/>
  <c r="A213" i="23" s="1"/>
  <c r="A234" i="23" s="1"/>
  <c r="A262" i="23" s="1"/>
  <c r="A288" i="23" s="1"/>
  <c r="A293" i="23" s="1"/>
  <c r="A299" i="23" s="1"/>
  <c r="A79" i="24"/>
  <c r="A98" i="24" s="1"/>
  <c r="A117" i="24" s="1"/>
  <c r="A61" i="23"/>
  <c r="A91" i="23" s="1"/>
  <c r="A94" i="23" s="1"/>
  <c r="A163" i="23" s="1"/>
  <c r="A212" i="23" s="1"/>
  <c r="A233" i="23" s="1"/>
  <c r="A261" i="23" s="1"/>
  <c r="A287" i="23" s="1"/>
  <c r="A292" i="23" s="1"/>
  <c r="A298" i="23" s="1"/>
  <c r="A78" i="24"/>
  <c r="A97" i="24" s="1"/>
  <c r="A116" i="24" s="1"/>
  <c r="C217" i="21"/>
  <c r="C40" i="24"/>
  <c r="C180" i="23"/>
  <c r="C225" i="21"/>
  <c r="C188" i="23"/>
  <c r="C48" i="24"/>
  <c r="C222" i="21"/>
  <c r="C185" i="23"/>
  <c r="C45" i="24"/>
  <c r="C220" i="21"/>
  <c r="C43" i="24"/>
  <c r="C183" i="23"/>
  <c r="C221" i="21"/>
  <c r="C184" i="23"/>
  <c r="C44" i="24"/>
  <c r="C229" i="21"/>
  <c r="C192" i="23"/>
  <c r="C52" i="24"/>
  <c r="C218" i="21"/>
  <c r="C181" i="23"/>
  <c r="C41" i="24"/>
  <c r="C226" i="21"/>
  <c r="C189" i="23"/>
  <c r="C49" i="24"/>
  <c r="C230" i="21"/>
  <c r="C193" i="23"/>
  <c r="C53" i="24"/>
  <c r="C219" i="21"/>
  <c r="C42" i="24"/>
  <c r="C182" i="23"/>
  <c r="C223" i="21"/>
  <c r="C46" i="24"/>
  <c r="C186" i="23"/>
  <c r="C227" i="21"/>
  <c r="C50" i="24"/>
  <c r="C190" i="23"/>
  <c r="C231" i="21"/>
  <c r="C194" i="23"/>
  <c r="C54" i="24"/>
  <c r="C224" i="21"/>
  <c r="C187" i="23"/>
  <c r="C47" i="24"/>
  <c r="C228" i="21"/>
  <c r="C51" i="24"/>
  <c r="C191" i="23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A30" i="21"/>
  <c r="A46" i="21" s="1"/>
  <c r="A64" i="21" s="1"/>
  <c r="A81" i="21" s="1"/>
  <c r="A97" i="21" s="1"/>
  <c r="A132" i="21" s="1"/>
  <c r="A148" i="21" s="1"/>
  <c r="A166" i="21" s="1"/>
  <c r="A182" i="21" s="1"/>
  <c r="A199" i="21" s="1"/>
  <c r="A228" i="21" s="1"/>
  <c r="A244" i="21" s="1"/>
  <c r="A263" i="21" s="1"/>
  <c r="A26" i="23" s="1"/>
  <c r="A31" i="21"/>
  <c r="A47" i="21" s="1"/>
  <c r="A65" i="21" s="1"/>
  <c r="A82" i="21" s="1"/>
  <c r="A98" i="21" s="1"/>
  <c r="A133" i="21" s="1"/>
  <c r="A149" i="21" s="1"/>
  <c r="A167" i="21" s="1"/>
  <c r="A183" i="21" s="1"/>
  <c r="A200" i="21" s="1"/>
  <c r="A229" i="21" s="1"/>
  <c r="A245" i="21" s="1"/>
  <c r="A264" i="21" s="1"/>
  <c r="A27" i="23" s="1"/>
  <c r="A32" i="21"/>
  <c r="A48" i="21" s="1"/>
  <c r="A66" i="21" s="1"/>
  <c r="A83" i="21" s="1"/>
  <c r="A99" i="21" s="1"/>
  <c r="A134" i="21" s="1"/>
  <c r="A150" i="21" s="1"/>
  <c r="A168" i="21" s="1"/>
  <c r="A184" i="21" s="1"/>
  <c r="A201" i="21" s="1"/>
  <c r="A230" i="21" s="1"/>
  <c r="A246" i="21" s="1"/>
  <c r="A265" i="21" s="1"/>
  <c r="A28" i="23" s="1"/>
  <c r="A33" i="21"/>
  <c r="A49" i="21" s="1"/>
  <c r="A67" i="21" s="1"/>
  <c r="A84" i="21" s="1"/>
  <c r="A100" i="21" s="1"/>
  <c r="A135" i="21" s="1"/>
  <c r="A151" i="21" s="1"/>
  <c r="A169" i="21" s="1"/>
  <c r="A185" i="21" s="1"/>
  <c r="A202" i="21" s="1"/>
  <c r="A231" i="21" s="1"/>
  <c r="A247" i="21" s="1"/>
  <c r="A266" i="21" s="1"/>
  <c r="A29" i="23" s="1"/>
  <c r="A19" i="21"/>
  <c r="A35" i="21" s="1"/>
  <c r="A53" i="21" s="1"/>
  <c r="A70" i="21" s="1"/>
  <c r="A86" i="21" s="1"/>
  <c r="A121" i="21" s="1"/>
  <c r="A137" i="21" s="1"/>
  <c r="A155" i="21" s="1"/>
  <c r="A171" i="21" s="1"/>
  <c r="A188" i="21" s="1"/>
  <c r="A217" i="21" s="1"/>
  <c r="A233" i="21" s="1"/>
  <c r="A252" i="21" s="1"/>
  <c r="A15" i="23" s="1"/>
  <c r="A20" i="21"/>
  <c r="A36" i="21" s="1"/>
  <c r="A54" i="21" s="1"/>
  <c r="A71" i="21" s="1"/>
  <c r="A87" i="21" s="1"/>
  <c r="A122" i="21" s="1"/>
  <c r="A138" i="21" s="1"/>
  <c r="A156" i="21" s="1"/>
  <c r="A172" i="21" s="1"/>
  <c r="A189" i="21" s="1"/>
  <c r="A218" i="21" s="1"/>
  <c r="A234" i="21" s="1"/>
  <c r="A253" i="21" s="1"/>
  <c r="A16" i="23" s="1"/>
  <c r="A21" i="21"/>
  <c r="A37" i="21" s="1"/>
  <c r="A55" i="21" s="1"/>
  <c r="A72" i="21" s="1"/>
  <c r="A88" i="21" s="1"/>
  <c r="A123" i="21" s="1"/>
  <c r="A139" i="21" s="1"/>
  <c r="A157" i="21" s="1"/>
  <c r="A173" i="21" s="1"/>
  <c r="A190" i="21" s="1"/>
  <c r="A219" i="21" s="1"/>
  <c r="A235" i="21" s="1"/>
  <c r="A254" i="21" s="1"/>
  <c r="A17" i="23" s="1"/>
  <c r="A22" i="21"/>
  <c r="A38" i="21" s="1"/>
  <c r="A56" i="21" s="1"/>
  <c r="A73" i="21" s="1"/>
  <c r="A89" i="21" s="1"/>
  <c r="A124" i="21" s="1"/>
  <c r="A140" i="21" s="1"/>
  <c r="A158" i="21" s="1"/>
  <c r="A174" i="21" s="1"/>
  <c r="A191" i="21" s="1"/>
  <c r="A220" i="21" s="1"/>
  <c r="A236" i="21" s="1"/>
  <c r="A255" i="21" s="1"/>
  <c r="A18" i="23" s="1"/>
  <c r="A23" i="21"/>
  <c r="A39" i="21" s="1"/>
  <c r="A57" i="21" s="1"/>
  <c r="A74" i="21" s="1"/>
  <c r="A90" i="21" s="1"/>
  <c r="A125" i="21" s="1"/>
  <c r="A141" i="21" s="1"/>
  <c r="A159" i="21" s="1"/>
  <c r="A175" i="21" s="1"/>
  <c r="A192" i="21" s="1"/>
  <c r="A221" i="21" s="1"/>
  <c r="A237" i="21" s="1"/>
  <c r="A256" i="21" s="1"/>
  <c r="A19" i="23" s="1"/>
  <c r="A24" i="21"/>
  <c r="A40" i="21" s="1"/>
  <c r="A58" i="21" s="1"/>
  <c r="A75" i="21" s="1"/>
  <c r="A91" i="21" s="1"/>
  <c r="A126" i="21" s="1"/>
  <c r="A142" i="21" s="1"/>
  <c r="A160" i="21" s="1"/>
  <c r="A176" i="21" s="1"/>
  <c r="A193" i="21" s="1"/>
  <c r="A222" i="21" s="1"/>
  <c r="A238" i="21" s="1"/>
  <c r="A257" i="21" s="1"/>
  <c r="A20" i="23" s="1"/>
  <c r="A25" i="21"/>
  <c r="A41" i="21" s="1"/>
  <c r="A59" i="21" s="1"/>
  <c r="A76" i="21" s="1"/>
  <c r="A92" i="21" s="1"/>
  <c r="A127" i="21" s="1"/>
  <c r="A143" i="21" s="1"/>
  <c r="A161" i="21" s="1"/>
  <c r="A177" i="21" s="1"/>
  <c r="A194" i="21" s="1"/>
  <c r="A223" i="21" s="1"/>
  <c r="A239" i="21" s="1"/>
  <c r="A258" i="21" s="1"/>
  <c r="A21" i="23" s="1"/>
  <c r="A26" i="21"/>
  <c r="A42" i="21" s="1"/>
  <c r="A60" i="21" s="1"/>
  <c r="A77" i="21" s="1"/>
  <c r="A93" i="21" s="1"/>
  <c r="A128" i="21" s="1"/>
  <c r="A144" i="21" s="1"/>
  <c r="A162" i="21" s="1"/>
  <c r="A178" i="21" s="1"/>
  <c r="A195" i="21" s="1"/>
  <c r="A224" i="21" s="1"/>
  <c r="A240" i="21" s="1"/>
  <c r="A259" i="21" s="1"/>
  <c r="A22" i="23" s="1"/>
  <c r="A27" i="21"/>
  <c r="A43" i="21" s="1"/>
  <c r="A61" i="21" s="1"/>
  <c r="A78" i="21" s="1"/>
  <c r="A94" i="21" s="1"/>
  <c r="A129" i="21" s="1"/>
  <c r="A145" i="21" s="1"/>
  <c r="A163" i="21" s="1"/>
  <c r="A179" i="21" s="1"/>
  <c r="A196" i="21" s="1"/>
  <c r="A225" i="21" s="1"/>
  <c r="A241" i="21" s="1"/>
  <c r="A260" i="21" s="1"/>
  <c r="A23" i="23" s="1"/>
  <c r="A28" i="21"/>
  <c r="A44" i="21" s="1"/>
  <c r="A62" i="21" s="1"/>
  <c r="A79" i="21" s="1"/>
  <c r="A95" i="21" s="1"/>
  <c r="A130" i="21" s="1"/>
  <c r="A146" i="21" s="1"/>
  <c r="A164" i="21" s="1"/>
  <c r="A180" i="21" s="1"/>
  <c r="A197" i="21" s="1"/>
  <c r="A226" i="21" s="1"/>
  <c r="A242" i="21" s="1"/>
  <c r="A261" i="21" s="1"/>
  <c r="A24" i="23" s="1"/>
  <c r="A29" i="21"/>
  <c r="A45" i="21" s="1"/>
  <c r="A63" i="21" s="1"/>
  <c r="A80" i="21" s="1"/>
  <c r="A96" i="21" s="1"/>
  <c r="A131" i="21" s="1"/>
  <c r="A147" i="21" s="1"/>
  <c r="A165" i="21" s="1"/>
  <c r="A181" i="21" s="1"/>
  <c r="A198" i="21" s="1"/>
  <c r="A227" i="21" s="1"/>
  <c r="A243" i="21" s="1"/>
  <c r="A262" i="21" s="1"/>
  <c r="A25" i="23" s="1"/>
  <c r="C63" i="24" l="1"/>
  <c r="C101" i="24"/>
  <c r="C82" i="24"/>
  <c r="A119" i="24"/>
  <c r="A162" i="24"/>
  <c r="A181" i="24" s="1"/>
  <c r="A200" i="24" s="1"/>
  <c r="A203" i="24" s="1"/>
  <c r="A258" i="24" s="1"/>
  <c r="A287" i="24" s="1"/>
  <c r="A293" i="24" s="1"/>
  <c r="A120" i="24"/>
  <c r="A163" i="24"/>
  <c r="A182" i="24" s="1"/>
  <c r="A201" i="24" s="1"/>
  <c r="A204" i="24" s="1"/>
  <c r="A259" i="24" s="1"/>
  <c r="A288" i="24" s="1"/>
  <c r="A294" i="24" s="1"/>
  <c r="A47" i="23"/>
  <c r="A76" i="23" s="1"/>
  <c r="A117" i="23" s="1"/>
  <c r="A133" i="23" s="1"/>
  <c r="A150" i="23" s="1"/>
  <c r="A182" i="23" s="1"/>
  <c r="A199" i="23" s="1"/>
  <c r="A220" i="23" s="1"/>
  <c r="A248" i="23" s="1"/>
  <c r="A274" i="23" s="1"/>
  <c r="A26" i="24"/>
  <c r="A42" i="24" s="1"/>
  <c r="A65" i="24" s="1"/>
  <c r="A84" i="24" s="1"/>
  <c r="A103" i="24" s="1"/>
  <c r="A149" i="24" s="1"/>
  <c r="A168" i="24" s="1"/>
  <c r="A187" i="24" s="1"/>
  <c r="A226" i="24" s="1"/>
  <c r="A245" i="24" s="1"/>
  <c r="A274" i="24" s="1"/>
  <c r="A46" i="23"/>
  <c r="A75" i="23" s="1"/>
  <c r="A116" i="23" s="1"/>
  <c r="A132" i="23" s="1"/>
  <c r="A149" i="23" s="1"/>
  <c r="A181" i="23" s="1"/>
  <c r="A198" i="23" s="1"/>
  <c r="A219" i="23" s="1"/>
  <c r="A247" i="23" s="1"/>
  <c r="A273" i="23" s="1"/>
  <c r="A25" i="24"/>
  <c r="A41" i="24" s="1"/>
  <c r="A64" i="24" s="1"/>
  <c r="A83" i="24" s="1"/>
  <c r="A102" i="24" s="1"/>
  <c r="A148" i="24" s="1"/>
  <c r="A167" i="24" s="1"/>
  <c r="A186" i="24" s="1"/>
  <c r="A225" i="24" s="1"/>
  <c r="A244" i="24" s="1"/>
  <c r="A273" i="24" s="1"/>
  <c r="A45" i="23"/>
  <c r="A74" i="23" s="1"/>
  <c r="A115" i="23" s="1"/>
  <c r="A131" i="23" s="1"/>
  <c r="A148" i="23" s="1"/>
  <c r="A180" i="23" s="1"/>
  <c r="A197" i="23" s="1"/>
  <c r="A218" i="23" s="1"/>
  <c r="A246" i="23" s="1"/>
  <c r="A272" i="23" s="1"/>
  <c r="A24" i="24"/>
  <c r="A40" i="24" s="1"/>
  <c r="A63" i="24" s="1"/>
  <c r="A82" i="24" s="1"/>
  <c r="A101" i="24" s="1"/>
  <c r="A147" i="24" s="1"/>
  <c r="A166" i="24" s="1"/>
  <c r="A185" i="24" s="1"/>
  <c r="A224" i="24" s="1"/>
  <c r="A243" i="24" s="1"/>
  <c r="A272" i="24" s="1"/>
  <c r="A51" i="23"/>
  <c r="A80" i="23" s="1"/>
  <c r="A121" i="23" s="1"/>
  <c r="A137" i="23" s="1"/>
  <c r="A154" i="23" s="1"/>
  <c r="A186" i="23" s="1"/>
  <c r="A203" i="23" s="1"/>
  <c r="A224" i="23" s="1"/>
  <c r="A252" i="23" s="1"/>
  <c r="A278" i="23" s="1"/>
  <c r="A30" i="24"/>
  <c r="A46" i="24" s="1"/>
  <c r="A69" i="24" s="1"/>
  <c r="A88" i="24" s="1"/>
  <c r="A107" i="24" s="1"/>
  <c r="A153" i="24" s="1"/>
  <c r="A172" i="24" s="1"/>
  <c r="A191" i="24" s="1"/>
  <c r="A230" i="24" s="1"/>
  <c r="A249" i="24" s="1"/>
  <c r="A278" i="24" s="1"/>
  <c r="A50" i="23"/>
  <c r="A79" i="23" s="1"/>
  <c r="A120" i="23" s="1"/>
  <c r="A136" i="23" s="1"/>
  <c r="A153" i="23" s="1"/>
  <c r="A185" i="23" s="1"/>
  <c r="A202" i="23" s="1"/>
  <c r="A223" i="23" s="1"/>
  <c r="A251" i="23" s="1"/>
  <c r="A277" i="23" s="1"/>
  <c r="A29" i="24"/>
  <c r="A45" i="24" s="1"/>
  <c r="A68" i="24" s="1"/>
  <c r="A87" i="24" s="1"/>
  <c r="A106" i="24" s="1"/>
  <c r="A152" i="24" s="1"/>
  <c r="A171" i="24" s="1"/>
  <c r="A190" i="24" s="1"/>
  <c r="A229" i="24" s="1"/>
  <c r="A248" i="24" s="1"/>
  <c r="A277" i="24" s="1"/>
  <c r="A48" i="23"/>
  <c r="A77" i="23" s="1"/>
  <c r="A118" i="23" s="1"/>
  <c r="A134" i="23" s="1"/>
  <c r="A151" i="23" s="1"/>
  <c r="A183" i="23" s="1"/>
  <c r="A200" i="23" s="1"/>
  <c r="A221" i="23" s="1"/>
  <c r="A249" i="23" s="1"/>
  <c r="A275" i="23" s="1"/>
  <c r="A27" i="24"/>
  <c r="A43" i="24" s="1"/>
  <c r="A66" i="24" s="1"/>
  <c r="A85" i="24" s="1"/>
  <c r="A104" i="24" s="1"/>
  <c r="A150" i="24" s="1"/>
  <c r="A169" i="24" s="1"/>
  <c r="A188" i="24" s="1"/>
  <c r="A227" i="24" s="1"/>
  <c r="A246" i="24" s="1"/>
  <c r="A275" i="24" s="1"/>
  <c r="A49" i="23"/>
  <c r="A78" i="23" s="1"/>
  <c r="A119" i="23" s="1"/>
  <c r="A135" i="23" s="1"/>
  <c r="A152" i="23" s="1"/>
  <c r="A184" i="23" s="1"/>
  <c r="A201" i="23" s="1"/>
  <c r="A222" i="23" s="1"/>
  <c r="A250" i="23" s="1"/>
  <c r="A276" i="23" s="1"/>
  <c r="A28" i="24"/>
  <c r="A44" i="24" s="1"/>
  <c r="A67" i="24" s="1"/>
  <c r="A86" i="24" s="1"/>
  <c r="A105" i="24" s="1"/>
  <c r="A151" i="24" s="1"/>
  <c r="A170" i="24" s="1"/>
  <c r="A189" i="24" s="1"/>
  <c r="A228" i="24" s="1"/>
  <c r="A247" i="24" s="1"/>
  <c r="A276" i="24" s="1"/>
  <c r="A56" i="23"/>
  <c r="A85" i="23" s="1"/>
  <c r="A126" i="23" s="1"/>
  <c r="A142" i="23" s="1"/>
  <c r="A159" i="23" s="1"/>
  <c r="A191" i="23" s="1"/>
  <c r="A208" i="23" s="1"/>
  <c r="A229" i="23" s="1"/>
  <c r="A257" i="23" s="1"/>
  <c r="A283" i="23" s="1"/>
  <c r="A35" i="24"/>
  <c r="A51" i="24" s="1"/>
  <c r="A74" i="24" s="1"/>
  <c r="A93" i="24" s="1"/>
  <c r="A112" i="24" s="1"/>
  <c r="A158" i="24" s="1"/>
  <c r="A177" i="24" s="1"/>
  <c r="A196" i="24" s="1"/>
  <c r="A235" i="24" s="1"/>
  <c r="A254" i="24" s="1"/>
  <c r="A283" i="24" s="1"/>
  <c r="A55" i="23"/>
  <c r="A84" i="23" s="1"/>
  <c r="A125" i="23" s="1"/>
  <c r="A141" i="23" s="1"/>
  <c r="A158" i="23" s="1"/>
  <c r="A190" i="23" s="1"/>
  <c r="A207" i="23" s="1"/>
  <c r="A228" i="23" s="1"/>
  <c r="A256" i="23" s="1"/>
  <c r="A282" i="23" s="1"/>
  <c r="A34" i="24"/>
  <c r="A50" i="24" s="1"/>
  <c r="A73" i="24" s="1"/>
  <c r="A92" i="24" s="1"/>
  <c r="A111" i="24" s="1"/>
  <c r="A157" i="24" s="1"/>
  <c r="A176" i="24" s="1"/>
  <c r="A195" i="24" s="1"/>
  <c r="A234" i="24" s="1"/>
  <c r="A253" i="24" s="1"/>
  <c r="A282" i="24" s="1"/>
  <c r="A57" i="23"/>
  <c r="A86" i="23" s="1"/>
  <c r="A127" i="23" s="1"/>
  <c r="A143" i="23" s="1"/>
  <c r="A160" i="23" s="1"/>
  <c r="A192" i="23" s="1"/>
  <c r="A209" i="23" s="1"/>
  <c r="A230" i="23" s="1"/>
  <c r="A258" i="23" s="1"/>
  <c r="A284" i="23" s="1"/>
  <c r="A36" i="24"/>
  <c r="A52" i="24" s="1"/>
  <c r="A75" i="24" s="1"/>
  <c r="A94" i="24" s="1"/>
  <c r="A113" i="24" s="1"/>
  <c r="A159" i="24" s="1"/>
  <c r="A178" i="24" s="1"/>
  <c r="A197" i="24" s="1"/>
  <c r="A236" i="24" s="1"/>
  <c r="A255" i="24" s="1"/>
  <c r="A284" i="24" s="1"/>
  <c r="A53" i="23"/>
  <c r="A82" i="23" s="1"/>
  <c r="A123" i="23" s="1"/>
  <c r="A139" i="23" s="1"/>
  <c r="A156" i="23" s="1"/>
  <c r="A188" i="23" s="1"/>
  <c r="A205" i="23" s="1"/>
  <c r="A226" i="23" s="1"/>
  <c r="A254" i="23" s="1"/>
  <c r="A280" i="23" s="1"/>
  <c r="A32" i="24"/>
  <c r="A48" i="24" s="1"/>
  <c r="A71" i="24" s="1"/>
  <c r="A90" i="24" s="1"/>
  <c r="A109" i="24" s="1"/>
  <c r="A155" i="24" s="1"/>
  <c r="A174" i="24" s="1"/>
  <c r="A193" i="24" s="1"/>
  <c r="A232" i="24" s="1"/>
  <c r="A251" i="24" s="1"/>
  <c r="A280" i="24" s="1"/>
  <c r="A52" i="23"/>
  <c r="A81" i="23" s="1"/>
  <c r="A122" i="23" s="1"/>
  <c r="A138" i="23" s="1"/>
  <c r="A155" i="23" s="1"/>
  <c r="A187" i="23" s="1"/>
  <c r="A204" i="23" s="1"/>
  <c r="A225" i="23" s="1"/>
  <c r="A253" i="23" s="1"/>
  <c r="A279" i="23" s="1"/>
  <c r="A31" i="24"/>
  <c r="A47" i="24" s="1"/>
  <c r="A70" i="24" s="1"/>
  <c r="A89" i="24" s="1"/>
  <c r="A108" i="24" s="1"/>
  <c r="A154" i="24" s="1"/>
  <c r="A173" i="24" s="1"/>
  <c r="A192" i="24" s="1"/>
  <c r="A231" i="24" s="1"/>
  <c r="A250" i="24" s="1"/>
  <c r="A279" i="24" s="1"/>
  <c r="A59" i="23"/>
  <c r="A88" i="23" s="1"/>
  <c r="A129" i="23" s="1"/>
  <c r="A145" i="23" s="1"/>
  <c r="A162" i="23" s="1"/>
  <c r="A194" i="23" s="1"/>
  <c r="A211" i="23" s="1"/>
  <c r="A232" i="23" s="1"/>
  <c r="A260" i="23" s="1"/>
  <c r="A286" i="23" s="1"/>
  <c r="A38" i="24"/>
  <c r="A54" i="24" s="1"/>
  <c r="A77" i="24" s="1"/>
  <c r="A96" i="24" s="1"/>
  <c r="A115" i="24" s="1"/>
  <c r="A161" i="24" s="1"/>
  <c r="A180" i="24" s="1"/>
  <c r="A199" i="24" s="1"/>
  <c r="A238" i="24" s="1"/>
  <c r="A257" i="24" s="1"/>
  <c r="A286" i="24" s="1"/>
  <c r="A54" i="23"/>
  <c r="A83" i="23" s="1"/>
  <c r="A124" i="23" s="1"/>
  <c r="A140" i="23" s="1"/>
  <c r="A157" i="23" s="1"/>
  <c r="A189" i="23" s="1"/>
  <c r="A206" i="23" s="1"/>
  <c r="A227" i="23" s="1"/>
  <c r="A255" i="23" s="1"/>
  <c r="A281" i="23" s="1"/>
  <c r="A33" i="24"/>
  <c r="A49" i="24" s="1"/>
  <c r="A72" i="24" s="1"/>
  <c r="A91" i="24" s="1"/>
  <c r="A110" i="24" s="1"/>
  <c r="A156" i="24" s="1"/>
  <c r="A175" i="24" s="1"/>
  <c r="A194" i="24" s="1"/>
  <c r="A233" i="24" s="1"/>
  <c r="A252" i="24" s="1"/>
  <c r="A281" i="24" s="1"/>
  <c r="A58" i="23"/>
  <c r="A87" i="23" s="1"/>
  <c r="A128" i="23" s="1"/>
  <c r="A144" i="23" s="1"/>
  <c r="A161" i="23" s="1"/>
  <c r="A193" i="23" s="1"/>
  <c r="A210" i="23" s="1"/>
  <c r="A231" i="23" s="1"/>
  <c r="A259" i="23" s="1"/>
  <c r="A285" i="23" s="1"/>
  <c r="A37" i="24"/>
  <c r="A53" i="24" s="1"/>
  <c r="A76" i="24" s="1"/>
  <c r="A95" i="24" s="1"/>
  <c r="A114" i="24" s="1"/>
  <c r="A160" i="24" s="1"/>
  <c r="A179" i="24" s="1"/>
  <c r="A198" i="24" s="1"/>
  <c r="A237" i="24" s="1"/>
  <c r="A256" i="24" s="1"/>
  <c r="A285" i="24" s="1"/>
  <c r="C107" i="24"/>
  <c r="C88" i="24"/>
  <c r="C69" i="24"/>
  <c r="C91" i="24"/>
  <c r="C72" i="24"/>
  <c r="C110" i="24"/>
  <c r="C74" i="24"/>
  <c r="C93" i="24"/>
  <c r="C112" i="24"/>
  <c r="C115" i="24"/>
  <c r="C96" i="24"/>
  <c r="C77" i="24"/>
  <c r="C67" i="24"/>
  <c r="C105" i="24"/>
  <c r="C86" i="24"/>
  <c r="C109" i="24"/>
  <c r="C71" i="24"/>
  <c r="C90" i="24"/>
  <c r="C108" i="24"/>
  <c r="C70" i="24"/>
  <c r="C89" i="24"/>
  <c r="C111" i="24"/>
  <c r="C92" i="24"/>
  <c r="C73" i="24"/>
  <c r="C76" i="24"/>
  <c r="C95" i="24"/>
  <c r="C114" i="24"/>
  <c r="C104" i="24"/>
  <c r="C85" i="24"/>
  <c r="C66" i="24"/>
  <c r="C83" i="24"/>
  <c r="C64" i="24"/>
  <c r="C102" i="24"/>
  <c r="C94" i="24"/>
  <c r="C113" i="24"/>
  <c r="C75" i="24"/>
  <c r="C103" i="24"/>
  <c r="C65" i="24"/>
  <c r="C84" i="24"/>
  <c r="C87" i="24"/>
  <c r="C68" i="24"/>
  <c r="C106" i="24"/>
  <c r="A44" i="8"/>
  <c r="A29" i="8"/>
  <c r="A50" i="8" s="1"/>
  <c r="A30" i="8"/>
  <c r="A51" i="8" s="1"/>
  <c r="A31" i="8"/>
  <c r="A52" i="8" s="1"/>
  <c r="A32" i="8"/>
  <c r="A53" i="8" s="1"/>
  <c r="A33" i="8"/>
  <c r="A54" i="8" s="1"/>
  <c r="A34" i="8"/>
  <c r="A55" i="8" s="1"/>
  <c r="A35" i="8"/>
  <c r="A56" i="8" s="1"/>
  <c r="A36" i="8"/>
  <c r="A57" i="8" s="1"/>
  <c r="A37" i="8"/>
  <c r="A58" i="8" s="1"/>
  <c r="A38" i="8"/>
  <c r="A59" i="8" s="1"/>
  <c r="A24" i="8"/>
  <c r="A45" i="8" s="1"/>
  <c r="A25" i="8"/>
  <c r="A46" i="8" s="1"/>
  <c r="A26" i="8"/>
  <c r="A47" i="8" s="1"/>
  <c r="A27" i="8"/>
  <c r="A48" i="8" s="1"/>
  <c r="A28" i="8"/>
  <c r="A49" i="8" s="1"/>
  <c r="C10" i="20"/>
  <c r="C17" i="20" s="1"/>
  <c r="C11" i="20"/>
  <c r="C18" i="20" s="1"/>
  <c r="C12" i="20"/>
  <c r="C19" i="20" s="1"/>
  <c r="B72" i="23"/>
  <c r="B42" i="23"/>
  <c r="C112" i="23"/>
  <c r="B112" i="23"/>
  <c r="B220" i="24"/>
  <c r="C61" i="24"/>
  <c r="B61" i="24"/>
  <c r="B270" i="23"/>
  <c r="B108" i="23"/>
  <c r="C322" i="24"/>
  <c r="C22" i="24" s="1"/>
  <c r="B322" i="24"/>
  <c r="B22" i="24" s="1"/>
  <c r="C265" i="24"/>
  <c r="B265" i="24"/>
  <c r="C241" i="24"/>
  <c r="C221" i="24"/>
  <c r="B221" i="24"/>
  <c r="C139" i="24"/>
  <c r="C267" i="23"/>
  <c r="C272" i="23" s="1"/>
  <c r="C242" i="23"/>
  <c r="C246" i="23" s="1"/>
  <c r="C241" i="23"/>
  <c r="B241" i="23"/>
  <c r="C195" i="23"/>
  <c r="D114" i="23"/>
  <c r="C113" i="23"/>
  <c r="B113" i="23"/>
  <c r="C109" i="23"/>
  <c r="B109" i="23"/>
  <c r="C250" i="21"/>
  <c r="B250" i="21"/>
  <c r="C216" i="21"/>
  <c r="B216" i="21"/>
  <c r="D186" i="21"/>
  <c r="D248" i="21" s="1"/>
  <c r="C186" i="21"/>
  <c r="C248" i="21" s="1"/>
  <c r="B186" i="21"/>
  <c r="E170" i="21"/>
  <c r="E232" i="21" s="1"/>
  <c r="D170" i="21"/>
  <c r="D232" i="21" s="1"/>
  <c r="E136" i="21"/>
  <c r="B119" i="21"/>
  <c r="C117" i="21"/>
  <c r="C213" i="21" s="1"/>
  <c r="B117" i="21"/>
  <c r="B213" i="21" s="1"/>
  <c r="E51" i="21"/>
  <c r="C50" i="21"/>
  <c r="C62" i="21" s="1"/>
  <c r="B50" i="21"/>
  <c r="B54" i="21" s="1"/>
  <c r="B16" i="21"/>
  <c r="C16" i="21"/>
  <c r="B39" i="8"/>
  <c r="B38" i="24"/>
  <c r="L60" i="8"/>
  <c r="C60" i="8"/>
  <c r="B61" i="23" l="1"/>
  <c r="C188" i="24"/>
  <c r="C167" i="24"/>
  <c r="C147" i="24"/>
  <c r="A300" i="24"/>
  <c r="A303" i="24" s="1"/>
  <c r="A311" i="24" s="1"/>
  <c r="A297" i="24"/>
  <c r="A299" i="24"/>
  <c r="A302" i="24" s="1"/>
  <c r="A310" i="24" s="1"/>
  <c r="A296" i="24"/>
  <c r="D12" i="20"/>
  <c r="F60" i="8"/>
  <c r="C140" i="23"/>
  <c r="C233" i="24"/>
  <c r="B225" i="24"/>
  <c r="B244" i="24" s="1"/>
  <c r="B132" i="23"/>
  <c r="B149" i="23" s="1"/>
  <c r="C220" i="24"/>
  <c r="C196" i="24"/>
  <c r="C186" i="24"/>
  <c r="C189" i="24"/>
  <c r="C197" i="24"/>
  <c r="C190" i="24"/>
  <c r="C198" i="24"/>
  <c r="C193" i="24"/>
  <c r="C194" i="24"/>
  <c r="C187" i="24"/>
  <c r="C191" i="24"/>
  <c r="C199" i="24"/>
  <c r="C192" i="24"/>
  <c r="C185" i="24"/>
  <c r="C195" i="24"/>
  <c r="C151" i="24"/>
  <c r="C159" i="24"/>
  <c r="C170" i="24"/>
  <c r="C178" i="24"/>
  <c r="C152" i="24"/>
  <c r="C160" i="24"/>
  <c r="C171" i="24"/>
  <c r="C179" i="24"/>
  <c r="C153" i="24"/>
  <c r="C161" i="24"/>
  <c r="C172" i="24"/>
  <c r="C180" i="24"/>
  <c r="C154" i="24"/>
  <c r="C173" i="24"/>
  <c r="C155" i="24"/>
  <c r="C166" i="24"/>
  <c r="C174" i="24"/>
  <c r="C148" i="24"/>
  <c r="C156" i="24"/>
  <c r="C175" i="24"/>
  <c r="C149" i="24"/>
  <c r="C157" i="24"/>
  <c r="C168" i="24"/>
  <c r="C176" i="24"/>
  <c r="C150" i="24"/>
  <c r="C158" i="24"/>
  <c r="C169" i="24"/>
  <c r="C177" i="24"/>
  <c r="C270" i="23"/>
  <c r="C200" i="23"/>
  <c r="C208" i="23"/>
  <c r="C209" i="23"/>
  <c r="C211" i="23"/>
  <c r="C199" i="23"/>
  <c r="C205" i="23"/>
  <c r="C203" i="23"/>
  <c r="C201" i="23"/>
  <c r="C207" i="23"/>
  <c r="C197" i="23"/>
  <c r="C206" i="23"/>
  <c r="C204" i="23"/>
  <c r="C198" i="23"/>
  <c r="C210" i="23"/>
  <c r="C202" i="23"/>
  <c r="C259" i="23"/>
  <c r="C252" i="23"/>
  <c r="C254" i="23"/>
  <c r="C251" i="23"/>
  <c r="C260" i="23"/>
  <c r="C247" i="23"/>
  <c r="C255" i="23"/>
  <c r="C248" i="23"/>
  <c r="C256" i="23"/>
  <c r="C249" i="23"/>
  <c r="C257" i="23"/>
  <c r="C250" i="23"/>
  <c r="C258" i="23"/>
  <c r="C280" i="23"/>
  <c r="C273" i="23"/>
  <c r="C281" i="23"/>
  <c r="C279" i="23"/>
  <c r="C282" i="23"/>
  <c r="C275" i="23"/>
  <c r="C283" i="23"/>
  <c r="C286" i="23"/>
  <c r="C276" i="23"/>
  <c r="C284" i="23"/>
  <c r="C277" i="23"/>
  <c r="C285" i="23"/>
  <c r="C278" i="23"/>
  <c r="C108" i="23"/>
  <c r="B91" i="23"/>
  <c r="B92" i="23"/>
  <c r="B248" i="21"/>
  <c r="B121" i="21"/>
  <c r="B155" i="21" s="1"/>
  <c r="B129" i="21"/>
  <c r="B163" i="21" s="1"/>
  <c r="B122" i="21"/>
  <c r="B156" i="21" s="1"/>
  <c r="B130" i="21"/>
  <c r="B164" i="21" s="1"/>
  <c r="B134" i="21"/>
  <c r="B168" i="21" s="1"/>
  <c r="B123" i="21"/>
  <c r="B157" i="21" s="1"/>
  <c r="B131" i="21"/>
  <c r="B165" i="21" s="1"/>
  <c r="B126" i="21"/>
  <c r="B160" i="21" s="1"/>
  <c r="B128" i="21"/>
  <c r="B162" i="21" s="1"/>
  <c r="B124" i="21"/>
  <c r="B158" i="21" s="1"/>
  <c r="B132" i="21"/>
  <c r="B166" i="21" s="1"/>
  <c r="B125" i="21"/>
  <c r="B159" i="21" s="1"/>
  <c r="B133" i="21"/>
  <c r="B167" i="21" s="1"/>
  <c r="B127" i="21"/>
  <c r="B161" i="21" s="1"/>
  <c r="B135" i="21"/>
  <c r="B169" i="21" s="1"/>
  <c r="B87" i="21"/>
  <c r="C67" i="21"/>
  <c r="C58" i="21"/>
  <c r="B67" i="21"/>
  <c r="C224" i="24"/>
  <c r="B53" i="21"/>
  <c r="B62" i="21"/>
  <c r="C57" i="21"/>
  <c r="B59" i="21"/>
  <c r="C61" i="21"/>
  <c r="B56" i="21"/>
  <c r="C66" i="21"/>
  <c r="B64" i="21"/>
  <c r="B61" i="21"/>
  <c r="C55" i="21"/>
  <c r="B58" i="21"/>
  <c r="B57" i="21"/>
  <c r="C64" i="21"/>
  <c r="C63" i="21"/>
  <c r="B66" i="21"/>
  <c r="C54" i="21"/>
  <c r="B55" i="21"/>
  <c r="B65" i="21"/>
  <c r="B60" i="21"/>
  <c r="B63" i="21"/>
  <c r="C59" i="21"/>
  <c r="C65" i="21"/>
  <c r="C56" i="21"/>
  <c r="B264" i="24"/>
  <c r="J59" i="8"/>
  <c r="M59" i="8" s="1"/>
  <c r="B94" i="23" l="1"/>
  <c r="B59" i="23"/>
  <c r="B62" i="23" s="1"/>
  <c r="J60" i="8"/>
  <c r="C236" i="24"/>
  <c r="C255" i="24" s="1"/>
  <c r="C143" i="23"/>
  <c r="C226" i="24"/>
  <c r="C245" i="24" s="1"/>
  <c r="C133" i="23"/>
  <c r="C225" i="24"/>
  <c r="C244" i="24" s="1"/>
  <c r="C132" i="23"/>
  <c r="C134" i="23"/>
  <c r="C227" i="24"/>
  <c r="C246" i="24" s="1"/>
  <c r="C131" i="23"/>
  <c r="C243" i="24"/>
  <c r="C237" i="24"/>
  <c r="C256" i="24" s="1"/>
  <c r="C144" i="23"/>
  <c r="C141" i="23"/>
  <c r="C234" i="24"/>
  <c r="C253" i="24" s="1"/>
  <c r="C229" i="24"/>
  <c r="C248" i="24" s="1"/>
  <c r="C136" i="23"/>
  <c r="C142" i="23"/>
  <c r="C235" i="24"/>
  <c r="C254" i="24" s="1"/>
  <c r="C139" i="23"/>
  <c r="C232" i="24"/>
  <c r="C251" i="24" s="1"/>
  <c r="C238" i="24"/>
  <c r="C257" i="24" s="1"/>
  <c r="C145" i="23"/>
  <c r="C138" i="23"/>
  <c r="C231" i="24"/>
  <c r="C250" i="24" s="1"/>
  <c r="C230" i="24"/>
  <c r="C249" i="24" s="1"/>
  <c r="C137" i="23"/>
  <c r="C135" i="23"/>
  <c r="C228" i="24"/>
  <c r="C247" i="24" s="1"/>
  <c r="B96" i="21"/>
  <c r="B234" i="24"/>
  <c r="B253" i="24" s="1"/>
  <c r="B141" i="23"/>
  <c r="B158" i="23" s="1"/>
  <c r="B189" i="23"/>
  <c r="B49" i="24"/>
  <c r="B183" i="23"/>
  <c r="B43" i="24"/>
  <c r="B98" i="21"/>
  <c r="B143" i="23"/>
  <c r="B160" i="23" s="1"/>
  <c r="B236" i="24"/>
  <c r="B255" i="24" s="1"/>
  <c r="B229" i="24"/>
  <c r="B248" i="24" s="1"/>
  <c r="B136" i="23"/>
  <c r="B153" i="23" s="1"/>
  <c r="B187" i="23"/>
  <c r="B47" i="24"/>
  <c r="B188" i="23"/>
  <c r="B48" i="24"/>
  <c r="B191" i="23"/>
  <c r="B51" i="24"/>
  <c r="B135" i="23"/>
  <c r="B152" i="23" s="1"/>
  <c r="B228" i="24"/>
  <c r="B247" i="24" s="1"/>
  <c r="B181" i="23"/>
  <c r="B41" i="24"/>
  <c r="B185" i="23"/>
  <c r="B45" i="24"/>
  <c r="B180" i="23"/>
  <c r="B40" i="24"/>
  <c r="B50" i="24"/>
  <c r="B190" i="23"/>
  <c r="B93" i="21"/>
  <c r="B231" i="24"/>
  <c r="B250" i="24" s="1"/>
  <c r="B138" i="23"/>
  <c r="B155" i="23" s="1"/>
  <c r="B95" i="21"/>
  <c r="B233" i="24"/>
  <c r="B252" i="24" s="1"/>
  <c r="B140" i="23"/>
  <c r="B157" i="23" s="1"/>
  <c r="B194" i="23"/>
  <c r="B54" i="24"/>
  <c r="B97" i="21"/>
  <c r="B142" i="23"/>
  <c r="B159" i="23" s="1"/>
  <c r="B235" i="24"/>
  <c r="B254" i="24" s="1"/>
  <c r="B186" i="23"/>
  <c r="B46" i="24"/>
  <c r="B42" i="24"/>
  <c r="B182" i="23"/>
  <c r="B230" i="24"/>
  <c r="B249" i="24" s="1"/>
  <c r="B137" i="23"/>
  <c r="B154" i="23" s="1"/>
  <c r="B226" i="24"/>
  <c r="B245" i="24" s="1"/>
  <c r="B133" i="23"/>
  <c r="B150" i="23" s="1"/>
  <c r="B94" i="21"/>
  <c r="B232" i="24"/>
  <c r="B251" i="24" s="1"/>
  <c r="B139" i="23"/>
  <c r="B156" i="23" s="1"/>
  <c r="B99" i="21"/>
  <c r="B237" i="24"/>
  <c r="B256" i="24" s="1"/>
  <c r="B144" i="23"/>
  <c r="B161" i="23" s="1"/>
  <c r="B100" i="21"/>
  <c r="B238" i="24"/>
  <c r="B257" i="24" s="1"/>
  <c r="B145" i="23"/>
  <c r="B162" i="23" s="1"/>
  <c r="B52" i="24"/>
  <c r="B192" i="23"/>
  <c r="B224" i="24"/>
  <c r="B243" i="24" s="1"/>
  <c r="B131" i="23"/>
  <c r="B148" i="23" s="1"/>
  <c r="B89" i="21"/>
  <c r="B134" i="23"/>
  <c r="B151" i="23" s="1"/>
  <c r="B227" i="24"/>
  <c r="B246" i="24" s="1"/>
  <c r="B44" i="24"/>
  <c r="B184" i="23"/>
  <c r="B193" i="23"/>
  <c r="B53" i="24"/>
  <c r="B273" i="24"/>
  <c r="C264" i="24"/>
  <c r="C277" i="24" s="1"/>
  <c r="C252" i="24"/>
  <c r="B202" i="21"/>
  <c r="B231" i="21"/>
  <c r="B266" i="21" s="1"/>
  <c r="B199" i="21"/>
  <c r="B228" i="21"/>
  <c r="B263" i="21" s="1"/>
  <c r="B197" i="21"/>
  <c r="B226" i="21"/>
  <c r="B261" i="21" s="1"/>
  <c r="B191" i="21"/>
  <c r="B220" i="21"/>
  <c r="B255" i="21" s="1"/>
  <c r="B189" i="21"/>
  <c r="B218" i="21"/>
  <c r="B253" i="21" s="1"/>
  <c r="B195" i="21"/>
  <c r="B224" i="21"/>
  <c r="B259" i="21" s="1"/>
  <c r="B196" i="21"/>
  <c r="B225" i="21"/>
  <c r="B260" i="21" s="1"/>
  <c r="B193" i="21"/>
  <c r="B222" i="21"/>
  <c r="B257" i="21" s="1"/>
  <c r="B188" i="21"/>
  <c r="B217" i="21"/>
  <c r="B252" i="21" s="1"/>
  <c r="B198" i="21"/>
  <c r="B227" i="21"/>
  <c r="B262" i="21" s="1"/>
  <c r="B194" i="21"/>
  <c r="B223" i="21"/>
  <c r="B258" i="21" s="1"/>
  <c r="B190" i="21"/>
  <c r="B219" i="21"/>
  <c r="B254" i="21" s="1"/>
  <c r="B200" i="21"/>
  <c r="B229" i="21"/>
  <c r="B264" i="21" s="1"/>
  <c r="B192" i="21"/>
  <c r="B221" i="21"/>
  <c r="B256" i="21" s="1"/>
  <c r="B201" i="21"/>
  <c r="B230" i="21"/>
  <c r="B265" i="21" s="1"/>
  <c r="B90" i="21"/>
  <c r="B91" i="21"/>
  <c r="B88" i="21"/>
  <c r="B92" i="21"/>
  <c r="B163" i="23" l="1"/>
  <c r="B164" i="23"/>
  <c r="B102" i="21"/>
  <c r="B268" i="21"/>
  <c r="M60" i="8"/>
  <c r="B285" i="24"/>
  <c r="B283" i="24"/>
  <c r="B279" i="24"/>
  <c r="B276" i="24"/>
  <c r="B286" i="24"/>
  <c r="B278" i="24"/>
  <c r="B280" i="24"/>
  <c r="B272" i="24"/>
  <c r="B275" i="24"/>
  <c r="B277" i="24"/>
  <c r="B282" i="24"/>
  <c r="B161" i="24"/>
  <c r="B77" i="24"/>
  <c r="B115" i="24"/>
  <c r="B180" i="24"/>
  <c r="B96" i="24"/>
  <c r="B199" i="24"/>
  <c r="B202" i="23"/>
  <c r="B223" i="23"/>
  <c r="B277" i="23"/>
  <c r="B251" i="23"/>
  <c r="B205" i="23"/>
  <c r="B254" i="23"/>
  <c r="B226" i="23"/>
  <c r="B280" i="23"/>
  <c r="B274" i="23"/>
  <c r="B220" i="23"/>
  <c r="B199" i="23"/>
  <c r="B248" i="23"/>
  <c r="B286" i="23"/>
  <c r="B260" i="23"/>
  <c r="B211" i="23"/>
  <c r="B232" i="23"/>
  <c r="B102" i="24"/>
  <c r="B167" i="24"/>
  <c r="B64" i="24"/>
  <c r="B83" i="24"/>
  <c r="B148" i="24"/>
  <c r="B186" i="24"/>
  <c r="B89" i="24"/>
  <c r="B173" i="24"/>
  <c r="B70" i="24"/>
  <c r="B192" i="24"/>
  <c r="B108" i="24"/>
  <c r="B154" i="24"/>
  <c r="B188" i="24"/>
  <c r="B66" i="24"/>
  <c r="B169" i="24"/>
  <c r="B85" i="24"/>
  <c r="B104" i="24"/>
  <c r="B150" i="24"/>
  <c r="B198" i="24"/>
  <c r="B160" i="24"/>
  <c r="B114" i="24"/>
  <c r="B95" i="24"/>
  <c r="B76" i="24"/>
  <c r="B179" i="24"/>
  <c r="B187" i="24"/>
  <c r="B149" i="24"/>
  <c r="B168" i="24"/>
  <c r="B103" i="24"/>
  <c r="B65" i="24"/>
  <c r="B84" i="24"/>
  <c r="B256" i="23"/>
  <c r="B282" i="23"/>
  <c r="B207" i="23"/>
  <c r="B228" i="23"/>
  <c r="B273" i="23"/>
  <c r="B219" i="23"/>
  <c r="B198" i="23"/>
  <c r="B247" i="23"/>
  <c r="B253" i="23"/>
  <c r="B204" i="23"/>
  <c r="B279" i="23"/>
  <c r="B225" i="23"/>
  <c r="B221" i="23"/>
  <c r="B275" i="23"/>
  <c r="B200" i="23"/>
  <c r="B249" i="23"/>
  <c r="B274" i="24"/>
  <c r="B222" i="23"/>
  <c r="B276" i="23"/>
  <c r="B250" i="23"/>
  <c r="B201" i="23"/>
  <c r="B252" i="23"/>
  <c r="B278" i="23"/>
  <c r="B224" i="23"/>
  <c r="B203" i="23"/>
  <c r="B206" i="23"/>
  <c r="B281" i="23"/>
  <c r="B227" i="23"/>
  <c r="B255" i="23"/>
  <c r="B210" i="23"/>
  <c r="B285" i="23"/>
  <c r="B259" i="23"/>
  <c r="B231" i="23"/>
  <c r="B153" i="24"/>
  <c r="B107" i="24"/>
  <c r="B69" i="24"/>
  <c r="B191" i="24"/>
  <c r="B172" i="24"/>
  <c r="B88" i="24"/>
  <c r="B281" i="24"/>
  <c r="B185" i="24"/>
  <c r="B63" i="24"/>
  <c r="B82" i="24"/>
  <c r="B166" i="24"/>
  <c r="B147" i="24"/>
  <c r="B101" i="24"/>
  <c r="B93" i="24"/>
  <c r="B177" i="24"/>
  <c r="B74" i="24"/>
  <c r="B158" i="24"/>
  <c r="B196" i="24"/>
  <c r="B112" i="24"/>
  <c r="B230" i="23"/>
  <c r="B258" i="23"/>
  <c r="B262" i="23" s="1"/>
  <c r="B209" i="23"/>
  <c r="B284" i="23"/>
  <c r="B288" i="23" s="1"/>
  <c r="B246" i="23"/>
  <c r="B218" i="23"/>
  <c r="B233" i="23" s="1"/>
  <c r="B197" i="23"/>
  <c r="B272" i="23"/>
  <c r="B208" i="23"/>
  <c r="B229" i="23"/>
  <c r="B257" i="23"/>
  <c r="B283" i="23"/>
  <c r="B157" i="24"/>
  <c r="B92" i="24"/>
  <c r="B111" i="24"/>
  <c r="B195" i="24"/>
  <c r="B176" i="24"/>
  <c r="B73" i="24"/>
  <c r="B110" i="24"/>
  <c r="B72" i="24"/>
  <c r="B91" i="24"/>
  <c r="B175" i="24"/>
  <c r="B194" i="24"/>
  <c r="B156" i="24"/>
  <c r="B170" i="24"/>
  <c r="B105" i="24"/>
  <c r="B67" i="24"/>
  <c r="B86" i="24"/>
  <c r="B189" i="24"/>
  <c r="B151" i="24"/>
  <c r="B284" i="24"/>
  <c r="B178" i="24"/>
  <c r="B159" i="24"/>
  <c r="B197" i="24"/>
  <c r="B75" i="24"/>
  <c r="B94" i="24"/>
  <c r="B113" i="24"/>
  <c r="B87" i="24"/>
  <c r="B152" i="24"/>
  <c r="B68" i="24"/>
  <c r="B190" i="24"/>
  <c r="B106" i="24"/>
  <c r="B171" i="24"/>
  <c r="B193" i="24"/>
  <c r="B90" i="24"/>
  <c r="B71" i="24"/>
  <c r="B174" i="24"/>
  <c r="B155" i="24"/>
  <c r="B109" i="24"/>
  <c r="B259" i="24"/>
  <c r="B294" i="24" s="1"/>
  <c r="C273" i="24"/>
  <c r="C281" i="24"/>
  <c r="C274" i="24"/>
  <c r="C282" i="24"/>
  <c r="C275" i="24"/>
  <c r="C283" i="24"/>
  <c r="C285" i="24"/>
  <c r="C276" i="24"/>
  <c r="C284" i="24"/>
  <c r="C278" i="24"/>
  <c r="C286" i="24"/>
  <c r="C279" i="24"/>
  <c r="C272" i="24"/>
  <c r="C280" i="24"/>
  <c r="B258" i="24"/>
  <c r="B204" i="21"/>
  <c r="B203" i="21"/>
  <c r="B261" i="23" l="1"/>
  <c r="B234" i="23"/>
  <c r="B287" i="23"/>
  <c r="B293" i="24"/>
  <c r="B292" i="24" s="1"/>
  <c r="B260" i="24"/>
  <c r="B165" i="23"/>
  <c r="B60" i="23"/>
  <c r="B95" i="23"/>
  <c r="B269" i="21"/>
  <c r="B205" i="21"/>
  <c r="B103" i="21"/>
  <c r="B182" i="24"/>
  <c r="B116" i="24"/>
  <c r="B201" i="24"/>
  <c r="B200" i="24"/>
  <c r="B213" i="23"/>
  <c r="B98" i="24"/>
  <c r="B162" i="24"/>
  <c r="B117" i="24"/>
  <c r="B78" i="24"/>
  <c r="B181" i="24"/>
  <c r="B79" i="24"/>
  <c r="B163" i="24"/>
  <c r="B212" i="23"/>
  <c r="B97" i="24"/>
  <c r="B288" i="24"/>
  <c r="B297" i="24" s="1"/>
  <c r="B287" i="24"/>
  <c r="B272" i="21"/>
  <c r="B273" i="21"/>
  <c r="B278" i="21" s="1"/>
  <c r="E6" i="25" s="1"/>
  <c r="B263" i="23" l="1"/>
  <c r="B296" i="24"/>
  <c r="B295" i="24" s="1"/>
  <c r="B289" i="24"/>
  <c r="B202" i="24"/>
  <c r="B183" i="24"/>
  <c r="B164" i="24"/>
  <c r="B118" i="24"/>
  <c r="B99" i="24"/>
  <c r="B80" i="24"/>
  <c r="B289" i="23"/>
  <c r="B235" i="23"/>
  <c r="B93" i="23"/>
  <c r="B277" i="21"/>
  <c r="B204" i="24"/>
  <c r="B303" i="24" s="1"/>
  <c r="B119" i="24"/>
  <c r="B203" i="24"/>
  <c r="B292" i="23"/>
  <c r="B298" i="23" s="1"/>
  <c r="B293" i="23"/>
  <c r="B120" i="24"/>
  <c r="B300" i="24" s="1"/>
  <c r="C291" i="23" l="1"/>
  <c r="B279" i="21"/>
  <c r="E275" i="21"/>
  <c r="E5" i="25"/>
  <c r="E7" i="25" s="1"/>
  <c r="B205" i="24"/>
  <c r="B299" i="24"/>
  <c r="B298" i="24" s="1"/>
  <c r="B121" i="24"/>
  <c r="B302" i="24"/>
  <c r="B301" i="24" s="1"/>
  <c r="B299" i="23"/>
  <c r="B311" i="24"/>
  <c r="G6" i="25" s="1"/>
  <c r="F5" i="25"/>
  <c r="B214" i="23"/>
  <c r="F6" i="25" l="1"/>
  <c r="F7" i="25" s="1"/>
  <c r="B297" i="23"/>
  <c r="B310" i="24"/>
  <c r="B309" i="24" s="1"/>
  <c r="H6" i="25" l="1"/>
  <c r="G5" i="25"/>
  <c r="D18" i="20" l="1"/>
  <c r="G7" i="25"/>
  <c r="H5" i="25"/>
  <c r="D17" i="20" l="1"/>
  <c r="H7" i="25"/>
  <c r="D19" i="20" s="1"/>
</calcChain>
</file>

<file path=xl/sharedStrings.xml><?xml version="1.0" encoding="utf-8"?>
<sst xmlns="http://schemas.openxmlformats.org/spreadsheetml/2006/main" count="2264" uniqueCount="375">
  <si>
    <t>-</t>
  </si>
  <si>
    <t>%</t>
  </si>
  <si>
    <t>Unit</t>
  </si>
  <si>
    <t>Parameter</t>
  </si>
  <si>
    <t>Source</t>
  </si>
  <si>
    <t>kg</t>
  </si>
  <si>
    <t>kg-dm/day</t>
  </si>
  <si>
    <t xml:space="preserve">2006 IPCC guideline, volume 4, chapter 10 </t>
  </si>
  <si>
    <t>Direct N2O Emissions</t>
  </si>
  <si>
    <t xml:space="preserve">                               Value</t>
  </si>
  <si>
    <t xml:space="preserve">                              Value </t>
  </si>
  <si>
    <t>Indirect N2O Emissions</t>
  </si>
  <si>
    <t>EF4</t>
  </si>
  <si>
    <t>EF1</t>
  </si>
  <si>
    <t>EF5</t>
  </si>
  <si>
    <t>kg/animal/day</t>
  </si>
  <si>
    <t>numbers</t>
  </si>
  <si>
    <t>m3 CH4/kg-VS</t>
  </si>
  <si>
    <t xml:space="preserve">                                      Value </t>
  </si>
  <si>
    <t xml:space="preserve">A) Phase I: Anaerobic digester </t>
  </si>
  <si>
    <t xml:space="preserve">Total CH4 emissions </t>
  </si>
  <si>
    <t>B) PHASE II: Aerobic treatment</t>
  </si>
  <si>
    <t>LEAKEAGE</t>
  </si>
  <si>
    <t>MCFd</t>
  </si>
  <si>
    <t>Rvs,n</t>
  </si>
  <si>
    <t>from Land Application(tCO2e)</t>
  </si>
  <si>
    <t>at the project site</t>
  </si>
  <si>
    <t>Fraction of manure handled in system j</t>
  </si>
  <si>
    <t>calculated</t>
  </si>
  <si>
    <t xml:space="preserve">calculated </t>
  </si>
  <si>
    <t>Annex 1, ACM0010</t>
  </si>
  <si>
    <t>table 11.3, chapter 11, volume 4, 2006 IPCC</t>
  </si>
  <si>
    <t>Market Swine</t>
  </si>
  <si>
    <t>Breeding Swine</t>
  </si>
  <si>
    <t xml:space="preserve">BASELINE EMISSIONS </t>
  </si>
  <si>
    <t>i) CH4 emissions</t>
  </si>
  <si>
    <t>2006 IPCC default value, vol. 4, ch. 10, tbl. 10.21</t>
  </si>
  <si>
    <t>2006 IPCC default value, vol. 4, ch. 10, tbl. 11.3</t>
  </si>
  <si>
    <t>Conservative Factor</t>
  </si>
  <si>
    <t>ii) Methane emissions from aerobic AWMS treatment (PEAer, y):</t>
  </si>
  <si>
    <t>MS%j</t>
  </si>
  <si>
    <t xml:space="preserve">PROJECT EMISSION </t>
  </si>
  <si>
    <t>ii)Methane emissions from disposal of treated manure</t>
  </si>
  <si>
    <t>table 11.1, chapter 11, volume 4, 2006 IPCC</t>
  </si>
  <si>
    <t>2006 IPCC default value, vol. 4, ch. 10, tbl. 10A-7,8</t>
  </si>
  <si>
    <t>kg/animal-yr</t>
  </si>
  <si>
    <t>Calulated</t>
  </si>
  <si>
    <t>kg N/1000kg animal mass/day</t>
  </si>
  <si>
    <t>2006 IPCC guideline, volume 4, chapter 10, tbl. 10A-7</t>
  </si>
  <si>
    <t>Calculated</t>
  </si>
  <si>
    <t>Default value ACM0010</t>
  </si>
  <si>
    <t>days</t>
  </si>
  <si>
    <t>MCF with cons. Factor</t>
  </si>
  <si>
    <t xml:space="preserve">Calculated  </t>
  </si>
  <si>
    <t>2006 IPCC Guidelines, volume 4, chapter 11, table 11.3</t>
  </si>
  <si>
    <t>2006 IPCC default value, vol. 4, ch. 10, tbl.10.22 (According to Chapter 8.2 in US-EPA (2001), "a covered lagoon will not lose NH3-N to the atmosphere")</t>
  </si>
  <si>
    <t>2006 IPCC default value, vol. 4, ch. 11, tbl.11.3 (According to Chapter 8.2 in US-EPA (2001), "a covered lagoon will not lose NH3-N to the atmosphere")</t>
    <phoneticPr fontId="0" type="noConversion"/>
  </si>
  <si>
    <t>Unit</t>
    <phoneticPr fontId="0" type="noConversion"/>
  </si>
  <si>
    <t>Source</t>
    <phoneticPr fontId="0" type="noConversion"/>
  </si>
  <si>
    <t xml:space="preserve">Value </t>
    <phoneticPr fontId="0" type="noConversion"/>
  </si>
  <si>
    <t>Parameter</t>
    <phoneticPr fontId="0" type="noConversion"/>
  </si>
  <si>
    <t xml:space="preserve">calculated </t>
    <phoneticPr fontId="0" type="noConversion"/>
  </si>
  <si>
    <t>2006 IPCC default value, vol. 4, ch. 10, tbl. 10.21 Anaerobic digester</t>
    <phoneticPr fontId="0" type="noConversion"/>
  </si>
  <si>
    <t xml:space="preserve">2006 IPCC default value, vol. 4, ch. 11, tbl.11.3 </t>
    <phoneticPr fontId="0" type="noConversion"/>
  </si>
  <si>
    <t>TAM</t>
  </si>
  <si>
    <t>2006 IPCC default value, vol. 4, ch. 10, tbl. 10.19</t>
    <phoneticPr fontId="0" type="noConversion"/>
  </si>
  <si>
    <t xml:space="preserve">2006 IPCC default value, vol. 4, ch. 10, tbl.10.22 </t>
    <phoneticPr fontId="0" type="noConversion"/>
  </si>
  <si>
    <t>kg N/animal/year</t>
    <phoneticPr fontId="0" type="noConversion"/>
  </si>
  <si>
    <t>No of heads</t>
    <phoneticPr fontId="0" type="noConversion"/>
  </si>
  <si>
    <t>total</t>
  </si>
  <si>
    <t>Title of the project activity</t>
  </si>
  <si>
    <t>GS ID of the project activity</t>
    <phoneticPr fontId="11" type="noConversion"/>
  </si>
  <si>
    <t>Version number of this calculation sheet</t>
    <phoneticPr fontId="11" type="noConversion"/>
  </si>
  <si>
    <t>Date</t>
    <phoneticPr fontId="11" type="noConversion"/>
  </si>
  <si>
    <t>Duration of this monitoring period</t>
  </si>
  <si>
    <t>Market Swine</t>
    <phoneticPr fontId="0" type="noConversion"/>
  </si>
  <si>
    <t>Breeding Swine</t>
    <phoneticPr fontId="0" type="noConversion"/>
  </si>
  <si>
    <t>1. Mean value and standard deviations for strata</t>
    <phoneticPr fontId="11" type="noConversion"/>
  </si>
  <si>
    <t xml:space="preserve"> Population total</t>
    <phoneticPr fontId="11" type="noConversion"/>
  </si>
  <si>
    <t xml:space="preserve">(N)  </t>
    <phoneticPr fontId="11" type="noConversion"/>
  </si>
  <si>
    <t>2. The stratified estimated overall mean:</t>
    <phoneticPr fontId="11" type="noConversion"/>
  </si>
  <si>
    <t xml:space="preserve"> The stratified estimated overall mean  </t>
  </si>
  <si>
    <t xml:space="preserve"> N  </t>
  </si>
  <si>
    <t>3. The standard error of the stratified estimated overall mean:</t>
    <phoneticPr fontId="11" type="noConversion"/>
  </si>
  <si>
    <t xml:space="preserve"> Standard error of the stratified estimated overall mean</t>
    <phoneticPr fontId="11" type="noConversion"/>
  </si>
  <si>
    <t>4. t-value</t>
    <phoneticPr fontId="11" type="noConversion"/>
  </si>
  <si>
    <t>5. Precision</t>
    <phoneticPr fontId="11" type="noConversion"/>
  </si>
  <si>
    <t xml:space="preserve">Precision   </t>
    <phoneticPr fontId="11" type="noConversion"/>
  </si>
  <si>
    <t>6. Calculation results</t>
    <phoneticPr fontId="11" type="noConversion"/>
  </si>
  <si>
    <t>t-value</t>
    <phoneticPr fontId="11" type="noConversion"/>
  </si>
  <si>
    <t>Relative Precision</t>
    <phoneticPr fontId="11" type="noConversion"/>
  </si>
  <si>
    <t>-</t>
    <phoneticPr fontId="0" type="noConversion"/>
  </si>
  <si>
    <t>BASELINE EMISSIONS       BEy =</t>
    <phoneticPr fontId="0" type="noConversion"/>
  </si>
  <si>
    <t>kg-dm/ animal/year</t>
    <phoneticPr fontId="0" type="noConversion"/>
  </si>
  <si>
    <t>Page 12 of tool 14: Project and leakage emissions from anaerobic digesters</t>
    <phoneticPr fontId="0" type="noConversion"/>
  </si>
  <si>
    <t>2006 IPCC guideline, volume 4, chapter 10, tbl. 10A-7</t>
    <phoneticPr fontId="0" type="noConversion"/>
  </si>
  <si>
    <t>Tt(k)</t>
    <phoneticPr fontId="11" type="noConversion"/>
  </si>
  <si>
    <t>MMi(kg/kmol)</t>
    <phoneticPr fontId="11" type="noConversion"/>
  </si>
  <si>
    <t>Ru(Pa.m3/kmol.K))</t>
    <phoneticPr fontId="11" type="noConversion"/>
  </si>
  <si>
    <t>t CH4</t>
    <phoneticPr fontId="0" type="noConversion"/>
  </si>
  <si>
    <t>Vf3(m3)</t>
    <phoneticPr fontId="11" type="noConversion"/>
  </si>
  <si>
    <t>Breeding Swine</t>
    <phoneticPr fontId="11" type="noConversion"/>
  </si>
  <si>
    <t>average</t>
    <phoneticPr fontId="11" type="noConversion"/>
  </si>
  <si>
    <t>tCO2e</t>
  </si>
  <si>
    <t>Weight record table</t>
  </si>
  <si>
    <t>kg</t>
    <phoneticPr fontId="0" type="noConversion"/>
  </si>
  <si>
    <t>Calculated</t>
    <phoneticPr fontId="0" type="noConversion"/>
  </si>
  <si>
    <t>Fraction of manure handled in system j</t>
    <phoneticPr fontId="0" type="noConversion"/>
  </si>
  <si>
    <t>MWh</t>
    <phoneticPr fontId="0" type="noConversion"/>
  </si>
  <si>
    <t>calculated</t>
    <phoneticPr fontId="0" type="noConversion"/>
  </si>
  <si>
    <t>%</t>
    <phoneticPr fontId="0" type="noConversion"/>
  </si>
  <si>
    <t>LEy =</t>
    <phoneticPr fontId="0" type="noConversion"/>
  </si>
  <si>
    <t xml:space="preserve"> Value </t>
    <phoneticPr fontId="0" type="noConversion"/>
  </si>
  <si>
    <t>Tool to determine project emissions from flaring gases containing methane</t>
    <phoneticPr fontId="0" type="noConversion"/>
  </si>
  <si>
    <t>Time</t>
    <phoneticPr fontId="11" type="noConversion"/>
  </si>
  <si>
    <t>SDG8</t>
    <phoneticPr fontId="11" type="noConversion"/>
  </si>
  <si>
    <t>SDG13</t>
    <phoneticPr fontId="11" type="noConversion"/>
  </si>
  <si>
    <t>IPCC AR5</t>
  </si>
  <si>
    <t>kgN/animal/yr</t>
    <phoneticPr fontId="0" type="noConversion"/>
  </si>
  <si>
    <t>total</t>
    <phoneticPr fontId="0" type="noConversion"/>
  </si>
  <si>
    <t>Ministry of Ecology and Environment of the People's Republic of China</t>
    <phoneticPr fontId="0" type="noConversion"/>
  </si>
  <si>
    <t>Tool 05:Baseline, project and/or leakage emissions from electricity consumption and monitoring of electricity generation</t>
    <phoneticPr fontId="0" type="noConversion"/>
  </si>
  <si>
    <t>No fossil fuel comsumed during this MP, therefore,Project emissions from fossil fuel consumption associated with the anaerobic digester is not be taken into account</t>
    <phoneticPr fontId="0" type="noConversion"/>
  </si>
  <si>
    <t xml:space="preserve">                                      Value </t>
    <phoneticPr fontId="0" type="noConversion"/>
  </si>
  <si>
    <t>IPCC AR5</t>
    <phoneticPr fontId="0" type="noConversion"/>
  </si>
  <si>
    <t>PDD</t>
    <phoneticPr fontId="0" type="noConversion"/>
  </si>
  <si>
    <t>kg/animal/yr</t>
    <phoneticPr fontId="0" type="noConversion"/>
  </si>
  <si>
    <t>tCO2e</t>
    <phoneticPr fontId="11" type="noConversion"/>
  </si>
  <si>
    <t>2006 IPCC guideline, volume 4, chapter 10, Tbl. 10.17</t>
    <phoneticPr fontId="11" type="noConversion"/>
  </si>
  <si>
    <t>01/01/2022-31/03/2022</t>
    <phoneticPr fontId="11" type="noConversion"/>
  </si>
  <si>
    <t>SDG7</t>
    <phoneticPr fontId="11" type="noConversion"/>
  </si>
  <si>
    <t>Total number of jobs</t>
    <phoneticPr fontId="11" type="noConversion"/>
  </si>
  <si>
    <r>
      <t>Amount of GHGs emission avoided or sequestered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eq)</t>
    </r>
    <phoneticPr fontId="11" type="noConversion"/>
  </si>
  <si>
    <t>Time interval</t>
    <phoneticPr fontId="11" type="noConversion"/>
  </si>
  <si>
    <t>01/02/1021-28/02/2021</t>
    <phoneticPr fontId="11" type="noConversion"/>
  </si>
  <si>
    <t>01/03/2021-31/03/3021</t>
    <phoneticPr fontId="11" type="noConversion"/>
  </si>
  <si>
    <t>01/04/2021-30/04/2021</t>
    <phoneticPr fontId="11" type="noConversion"/>
  </si>
  <si>
    <t>01/05/2021-31/05/2021</t>
    <phoneticPr fontId="11" type="noConversion"/>
  </si>
  <si>
    <t>01/06/2021-30/06/2021</t>
    <phoneticPr fontId="11" type="noConversion"/>
  </si>
  <si>
    <t>01/08/2021-31/08/2021</t>
    <phoneticPr fontId="11" type="noConversion"/>
  </si>
  <si>
    <t>01/07/2021-31/07/2021</t>
    <phoneticPr fontId="11" type="noConversion"/>
  </si>
  <si>
    <t>01/09/2021-30/09/2021</t>
    <phoneticPr fontId="11" type="noConversion"/>
  </si>
  <si>
    <t>01/10/2021-31/10/2021</t>
    <phoneticPr fontId="11" type="noConversion"/>
  </si>
  <si>
    <t>01/11/2021-30/11/2021</t>
    <phoneticPr fontId="11" type="noConversion"/>
  </si>
  <si>
    <t>01/12/2021-31/12/2021</t>
    <phoneticPr fontId="11" type="noConversion"/>
  </si>
  <si>
    <t>01/02/2022-28/02/2022</t>
    <phoneticPr fontId="11" type="noConversion"/>
  </si>
  <si>
    <t>01/03/2022-31/03/2022</t>
    <phoneticPr fontId="11" type="noConversion"/>
  </si>
  <si>
    <r>
      <t>Average swine population used in both baseline and project case emission reductions (N</t>
    </r>
    <r>
      <rPr>
        <vertAlign val="subscript"/>
        <sz val="10"/>
        <rFont val="Verdana"/>
        <family val="2"/>
      </rPr>
      <t>L,T</t>
    </r>
    <r>
      <rPr>
        <sz val="10"/>
        <rFont val="Verdana"/>
        <family val="2"/>
      </rPr>
      <t>) and Weight of swine (W</t>
    </r>
    <r>
      <rPr>
        <vertAlign val="subscript"/>
        <sz val="10"/>
        <rFont val="Verdana"/>
        <family val="2"/>
      </rPr>
      <t>site</t>
    </r>
    <r>
      <rPr>
        <sz val="10"/>
        <rFont val="Verdana"/>
        <family val="2"/>
      </rPr>
      <t>)</t>
    </r>
    <phoneticPr fontId="11" type="noConversion"/>
  </si>
  <si>
    <r>
      <t>N</t>
    </r>
    <r>
      <rPr>
        <vertAlign val="subscript"/>
        <sz val="10"/>
        <rFont val="Verdana"/>
        <family val="2"/>
      </rPr>
      <t>LT</t>
    </r>
    <phoneticPr fontId="11" type="noConversion"/>
  </si>
  <si>
    <r>
      <t>w</t>
    </r>
    <r>
      <rPr>
        <vertAlign val="subscript"/>
        <sz val="10"/>
        <rFont val="Verdana"/>
        <family val="2"/>
      </rPr>
      <t>site</t>
    </r>
    <phoneticPr fontId="11" type="noConversion"/>
  </si>
  <si>
    <r>
      <t>EC</t>
    </r>
    <r>
      <rPr>
        <vertAlign val="subscript"/>
        <sz val="10"/>
        <rFont val="Verdana"/>
        <family val="2"/>
      </rPr>
      <t>PJ,j,y</t>
    </r>
    <r>
      <rPr>
        <sz val="10"/>
        <rFont val="Verdana"/>
        <family val="2"/>
      </rPr>
      <t>(MWh)</t>
    </r>
    <phoneticPr fontId="11" type="noConversion"/>
  </si>
  <si>
    <r>
      <t>Vf1(m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>)</t>
    </r>
    <phoneticPr fontId="11" type="noConversion"/>
  </si>
  <si>
    <r>
      <t>Vf2(m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>)</t>
    </r>
    <phoneticPr fontId="11" type="noConversion"/>
  </si>
  <si>
    <r>
      <t>T</t>
    </r>
    <r>
      <rPr>
        <vertAlign val="subscript"/>
        <sz val="11"/>
        <color indexed="63"/>
        <rFont val="Verdana"/>
        <family val="2"/>
      </rPr>
      <t>t</t>
    </r>
    <r>
      <rPr>
        <sz val="11"/>
        <color indexed="63"/>
        <rFont val="Verdana"/>
        <family val="2"/>
      </rPr>
      <t>(°C)</t>
    </r>
    <phoneticPr fontId="11" type="noConversion"/>
  </si>
  <si>
    <r>
      <t>P</t>
    </r>
    <r>
      <rPr>
        <vertAlign val="subscript"/>
        <sz val="11"/>
        <color indexed="63"/>
        <rFont val="Verdana"/>
        <family val="2"/>
      </rPr>
      <t>t</t>
    </r>
    <r>
      <rPr>
        <sz val="11"/>
        <color indexed="63"/>
        <rFont val="Verdana"/>
        <family val="2"/>
      </rPr>
      <t>(pa)</t>
    </r>
    <phoneticPr fontId="11" type="noConversion"/>
  </si>
  <si>
    <r>
      <t>ρ</t>
    </r>
    <r>
      <rPr>
        <vertAlign val="subscript"/>
        <sz val="10"/>
        <color indexed="63"/>
        <rFont val="Verdana"/>
        <family val="2"/>
      </rPr>
      <t>i,n</t>
    </r>
    <r>
      <rPr>
        <sz val="10"/>
        <color indexed="63"/>
        <rFont val="Verdana"/>
        <family val="2"/>
      </rPr>
      <t>(t/m3)</t>
    </r>
    <phoneticPr fontId="11" type="noConversion"/>
  </si>
  <si>
    <r>
      <t>V</t>
    </r>
    <r>
      <rPr>
        <vertAlign val="subscript"/>
        <sz val="11"/>
        <color indexed="63"/>
        <rFont val="Verdana"/>
        <family val="2"/>
      </rPr>
      <t>i,t,db</t>
    </r>
    <r>
      <rPr>
        <sz val="11"/>
        <color indexed="63"/>
        <rFont val="Verdana"/>
        <family val="2"/>
      </rPr>
      <t>(%)</t>
    </r>
    <phoneticPr fontId="11" type="noConversion"/>
  </si>
  <si>
    <r>
      <t>V</t>
    </r>
    <r>
      <rPr>
        <vertAlign val="subscript"/>
        <sz val="11"/>
        <color indexed="63"/>
        <rFont val="Verdana"/>
        <family val="2"/>
      </rPr>
      <t>t,db</t>
    </r>
    <r>
      <rPr>
        <sz val="11"/>
        <color indexed="63"/>
        <rFont val="Verdana"/>
        <family val="2"/>
      </rPr>
      <t>(m</t>
    </r>
    <r>
      <rPr>
        <vertAlign val="superscript"/>
        <sz val="11"/>
        <color indexed="63"/>
        <rFont val="Verdana"/>
        <family val="2"/>
      </rPr>
      <t>3</t>
    </r>
    <r>
      <rPr>
        <sz val="11"/>
        <color indexed="63"/>
        <rFont val="Verdana"/>
        <family val="2"/>
      </rPr>
      <t>/month)</t>
    </r>
    <phoneticPr fontId="11" type="noConversion"/>
  </si>
  <si>
    <t>01/01/2021-31/12/2021</t>
    <phoneticPr fontId="0" type="noConversion"/>
  </si>
  <si>
    <t>01/01/2022-31/03/2022</t>
    <phoneticPr fontId="0" type="noConversion"/>
  </si>
  <si>
    <t>01/01/2022-31/01/2022</t>
    <phoneticPr fontId="11" type="noConversion"/>
  </si>
  <si>
    <r>
      <t>GWP</t>
    </r>
    <r>
      <rPr>
        <i/>
        <vertAlign val="subscript"/>
        <sz val="10"/>
        <color indexed="8"/>
        <rFont val="Verdana"/>
        <family val="2"/>
      </rPr>
      <t>CH4</t>
    </r>
  </si>
  <si>
    <r>
      <t>tCO</t>
    </r>
    <r>
      <rPr>
        <vertAlign val="subscript"/>
        <sz val="10"/>
        <color indexed="8"/>
        <rFont val="Verdana"/>
        <family val="2"/>
      </rPr>
      <t>2</t>
    </r>
    <r>
      <rPr>
        <sz val="10"/>
        <color indexed="8"/>
        <rFont val="Verdana"/>
        <family val="2"/>
      </rPr>
      <t>/tCH</t>
    </r>
    <r>
      <rPr>
        <vertAlign val="subscript"/>
        <sz val="10"/>
        <color indexed="8"/>
        <rFont val="Verdana"/>
        <family val="2"/>
      </rPr>
      <t>4</t>
    </r>
    <phoneticPr fontId="11" type="noConversion"/>
  </si>
  <si>
    <r>
      <t>D</t>
    </r>
    <r>
      <rPr>
        <i/>
        <vertAlign val="subscript"/>
        <sz val="10"/>
        <color indexed="8"/>
        <rFont val="Verdana"/>
        <family val="2"/>
      </rPr>
      <t>CH4</t>
    </r>
  </si>
  <si>
    <r>
      <t>MCF</t>
    </r>
    <r>
      <rPr>
        <vertAlign val="subscript"/>
        <sz val="10"/>
        <color indexed="8"/>
        <rFont val="Verdana"/>
        <family val="2"/>
      </rPr>
      <t>j</t>
    </r>
    <phoneticPr fontId="0" type="noConversion"/>
  </si>
  <si>
    <r>
      <t>B</t>
    </r>
    <r>
      <rPr>
        <i/>
        <vertAlign val="subscript"/>
        <sz val="8"/>
        <color indexed="8"/>
        <rFont val="Verdana"/>
        <family val="2"/>
      </rPr>
      <t>o,LT</t>
    </r>
    <phoneticPr fontId="0" type="noConversion"/>
  </si>
  <si>
    <r>
      <t>m</t>
    </r>
    <r>
      <rPr>
        <vertAlign val="superscript"/>
        <sz val="10"/>
        <color indexed="8"/>
        <rFont val="Verdana"/>
        <family val="2"/>
      </rPr>
      <t>3</t>
    </r>
    <r>
      <rPr>
        <sz val="10"/>
        <color indexed="8"/>
        <rFont val="Verdana"/>
        <family val="2"/>
      </rPr>
      <t xml:space="preserve"> CH</t>
    </r>
    <r>
      <rPr>
        <vertAlign val="subscript"/>
        <sz val="10"/>
        <color indexed="8"/>
        <rFont val="Verdana"/>
        <family val="2"/>
      </rPr>
      <t>4</t>
    </r>
    <r>
      <rPr>
        <sz val="10"/>
        <color indexed="8"/>
        <rFont val="Verdana"/>
        <family val="2"/>
      </rPr>
      <t xml:space="preserve"> /kg-dm</t>
    </r>
    <phoneticPr fontId="11" type="noConversion"/>
  </si>
  <si>
    <r>
      <t>N</t>
    </r>
    <r>
      <rPr>
        <vertAlign val="subscript"/>
        <sz val="8"/>
        <color indexed="8"/>
        <rFont val="Verdana"/>
        <family val="2"/>
      </rPr>
      <t>LT</t>
    </r>
    <phoneticPr fontId="0" type="noConversion"/>
  </si>
  <si>
    <r>
      <t>W</t>
    </r>
    <r>
      <rPr>
        <i/>
        <vertAlign val="subscript"/>
        <sz val="8"/>
        <rFont val="Verdana"/>
        <family val="2"/>
      </rPr>
      <t>site</t>
    </r>
    <phoneticPr fontId="0" type="noConversion"/>
  </si>
  <si>
    <r>
      <t>W</t>
    </r>
    <r>
      <rPr>
        <vertAlign val="subscript"/>
        <sz val="10"/>
        <color indexed="8"/>
        <rFont val="Verdana"/>
        <family val="2"/>
      </rPr>
      <t>default</t>
    </r>
    <phoneticPr fontId="0" type="noConversion"/>
  </si>
  <si>
    <r>
      <t>VS</t>
    </r>
    <r>
      <rPr>
        <sz val="8"/>
        <color indexed="8"/>
        <rFont val="Verdana"/>
        <family val="2"/>
      </rPr>
      <t>default</t>
    </r>
  </si>
  <si>
    <r>
      <t>VS</t>
    </r>
    <r>
      <rPr>
        <vertAlign val="subscript"/>
        <sz val="8"/>
        <color indexed="8"/>
        <rFont val="Verdana"/>
        <family val="2"/>
      </rPr>
      <t>LT,y</t>
    </r>
    <phoneticPr fontId="0" type="noConversion"/>
  </si>
  <si>
    <r>
      <t>MS%</t>
    </r>
    <r>
      <rPr>
        <vertAlign val="subscript"/>
        <sz val="8"/>
        <color indexed="8"/>
        <rFont val="Verdana"/>
        <family val="2"/>
      </rPr>
      <t>Bl,j</t>
    </r>
    <phoneticPr fontId="0" type="noConversion"/>
  </si>
  <si>
    <r>
      <t>BE</t>
    </r>
    <r>
      <rPr>
        <vertAlign val="subscript"/>
        <sz val="10"/>
        <color rgb="FF000000"/>
        <rFont val="Verdana"/>
        <family val="2"/>
      </rPr>
      <t>CH4</t>
    </r>
    <r>
      <rPr>
        <sz val="10"/>
        <color indexed="8"/>
        <rFont val="Verdana"/>
        <family val="2"/>
      </rPr>
      <t>-monthy</t>
    </r>
    <phoneticPr fontId="11" type="noConversion"/>
  </si>
  <si>
    <r>
      <t>tCO</t>
    </r>
    <r>
      <rPr>
        <vertAlign val="subscript"/>
        <sz val="10"/>
        <color indexed="8"/>
        <rFont val="Verdana"/>
        <family val="2"/>
      </rPr>
      <t>2</t>
    </r>
    <r>
      <rPr>
        <sz val="10"/>
        <color indexed="8"/>
        <rFont val="Verdana"/>
        <family val="2"/>
      </rPr>
      <t>e</t>
    </r>
    <phoneticPr fontId="0" type="noConversion"/>
  </si>
  <si>
    <r>
      <t>tCO</t>
    </r>
    <r>
      <rPr>
        <vertAlign val="subscript"/>
        <sz val="10"/>
        <color indexed="8"/>
        <rFont val="Verdana"/>
        <family val="2"/>
      </rPr>
      <t>2e</t>
    </r>
    <r>
      <rPr>
        <sz val="10"/>
        <color indexed="8"/>
        <rFont val="Arial"/>
        <family val="2"/>
      </rPr>
      <t/>
    </r>
  </si>
  <si>
    <r>
      <t>BE</t>
    </r>
    <r>
      <rPr>
        <b/>
        <sz val="8"/>
        <color indexed="8"/>
        <rFont val="Verdana"/>
        <family val="2"/>
      </rPr>
      <t xml:space="preserve">CH4,y </t>
    </r>
    <phoneticPr fontId="0" type="noConversion"/>
  </si>
  <si>
    <r>
      <t>EF</t>
    </r>
    <r>
      <rPr>
        <i/>
        <vertAlign val="subscript"/>
        <sz val="10"/>
        <rFont val="Verdana"/>
        <family val="2"/>
      </rPr>
      <t>N2O,D,j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</si>
  <si>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</t>
    </r>
    <phoneticPr fontId="0" type="noConversion"/>
  </si>
  <si>
    <r>
      <t>N</t>
    </r>
    <r>
      <rPr>
        <i/>
        <vertAlign val="subscript"/>
        <sz val="10"/>
        <rFont val="Verdana"/>
        <family val="2"/>
      </rPr>
      <t>rate(T)</t>
    </r>
    <phoneticPr fontId="0" type="noConversion"/>
  </si>
  <si>
    <r>
      <t>NEX</t>
    </r>
    <r>
      <rPr>
        <i/>
        <vertAlign val="subscript"/>
        <sz val="8"/>
        <rFont val="Verdana"/>
        <family val="2"/>
      </rPr>
      <t>IPCCdefault</t>
    </r>
    <phoneticPr fontId="0" type="noConversion"/>
  </si>
  <si>
    <r>
      <t>W</t>
    </r>
    <r>
      <rPr>
        <i/>
        <vertAlign val="subscript"/>
        <sz val="8"/>
        <rFont val="Verdana"/>
        <family val="2"/>
      </rPr>
      <t>default</t>
    </r>
    <phoneticPr fontId="0" type="noConversion"/>
  </si>
  <si>
    <r>
      <t>NEX</t>
    </r>
    <r>
      <rPr>
        <i/>
        <vertAlign val="subscript"/>
        <sz val="10"/>
        <rFont val="Verdana"/>
        <family val="2"/>
      </rPr>
      <t>LT,y</t>
    </r>
    <phoneticPr fontId="0" type="noConversion"/>
  </si>
  <si>
    <r>
      <t>N</t>
    </r>
    <r>
      <rPr>
        <i/>
        <vertAlign val="subscript"/>
        <sz val="8"/>
        <rFont val="Verdana"/>
        <family val="2"/>
      </rPr>
      <t>LT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</si>
  <si>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O-N/year</t>
    </r>
    <phoneticPr fontId="11" type="noConversion"/>
  </si>
  <si>
    <r>
      <t>E</t>
    </r>
    <r>
      <rPr>
        <b/>
        <vertAlign val="subscript"/>
        <sz val="10"/>
        <rFont val="Verdana"/>
        <family val="2"/>
      </rPr>
      <t>N2O,D,y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</si>
  <si>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O-N/year</t>
    </r>
    <phoneticPr fontId="0" type="noConversion"/>
  </si>
  <si>
    <r>
      <t>EF</t>
    </r>
    <r>
      <rPr>
        <i/>
        <vertAlign val="subscript"/>
        <sz val="10"/>
        <rFont val="Verdana"/>
        <family val="2"/>
      </rPr>
      <t>N2O,ID,j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</si>
  <si>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O/kg N</t>
    </r>
    <phoneticPr fontId="0" type="noConversion"/>
  </si>
  <si>
    <r>
      <t>F</t>
    </r>
    <r>
      <rPr>
        <i/>
        <vertAlign val="subscript"/>
        <sz val="10"/>
        <rFont val="Verdana"/>
        <family val="2"/>
      </rPr>
      <t>gasMS,j,LT</t>
    </r>
    <phoneticPr fontId="0" type="noConversion"/>
  </si>
  <si>
    <r>
      <t>NEX</t>
    </r>
    <r>
      <rPr>
        <vertAlign val="subscript"/>
        <sz val="8"/>
        <rFont val="Verdana"/>
        <family val="2"/>
      </rPr>
      <t>LT</t>
    </r>
    <r>
      <rPr>
        <vertAlign val="subscript"/>
        <sz val="10"/>
        <rFont val="Verdana"/>
        <family val="2"/>
      </rPr>
      <t>,y</t>
    </r>
    <phoneticPr fontId="0" type="noConversion"/>
  </si>
  <si>
    <r>
      <t>GWP</t>
    </r>
    <r>
      <rPr>
        <vertAlign val="subscript"/>
        <sz val="10"/>
        <rFont val="Verdana"/>
        <family val="2"/>
      </rPr>
      <t>N2O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</si>
  <si>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11" type="noConversion"/>
  </si>
  <si>
    <r>
      <t>CF</t>
    </r>
    <r>
      <rPr>
        <vertAlign val="subscript"/>
        <sz val="10"/>
        <rFont val="Verdana"/>
        <family val="2"/>
      </rPr>
      <t>N20,N-N</t>
    </r>
    <phoneticPr fontId="0" type="noConversion"/>
  </si>
  <si>
    <r>
      <t>Conversion Factor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 to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</si>
  <si>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E</t>
    </r>
    <r>
      <rPr>
        <b/>
        <vertAlign val="subscript"/>
        <sz val="10"/>
        <rFont val="Verdana"/>
        <family val="2"/>
      </rPr>
      <t>N2O,ID,y</t>
    </r>
    <phoneticPr fontId="0" type="noConversion"/>
  </si>
  <si>
    <r>
      <t>BE</t>
    </r>
    <r>
      <rPr>
        <i/>
        <vertAlign val="subscript"/>
        <sz val="8"/>
        <rFont val="Verdana"/>
        <family val="2"/>
      </rPr>
      <t>N2O,y</t>
    </r>
    <r>
      <rPr>
        <i/>
        <sz val="8"/>
        <rFont val="Verdana"/>
        <family val="2"/>
      </rPr>
      <t xml:space="preserve"> </t>
    </r>
    <r>
      <rPr>
        <b/>
        <sz val="10"/>
        <rFont val="Verdana"/>
        <family val="2"/>
      </rPr>
      <t>= GWP</t>
    </r>
    <r>
      <rPr>
        <b/>
        <vertAlign val="subscript"/>
        <sz val="8"/>
        <rFont val="Verdana"/>
        <family val="2"/>
      </rPr>
      <t>N2O</t>
    </r>
    <r>
      <rPr>
        <b/>
        <sz val="10"/>
        <rFont val="Verdana"/>
        <family val="2"/>
      </rPr>
      <t>*CF</t>
    </r>
    <r>
      <rPr>
        <b/>
        <vertAlign val="subscript"/>
        <sz val="8"/>
        <rFont val="Verdana"/>
        <family val="2"/>
      </rPr>
      <t>N2O-N,N</t>
    </r>
    <r>
      <rPr>
        <b/>
        <sz val="10"/>
        <rFont val="Verdana"/>
        <family val="2"/>
      </rPr>
      <t>* 1/1000*(E</t>
    </r>
    <r>
      <rPr>
        <b/>
        <vertAlign val="subscript"/>
        <sz val="8"/>
        <rFont val="Verdana"/>
        <family val="2"/>
      </rPr>
      <t>N2O,D,y</t>
    </r>
    <r>
      <rPr>
        <b/>
        <sz val="10"/>
        <rFont val="Verdana"/>
        <family val="2"/>
      </rPr>
      <t xml:space="preserve"> + E</t>
    </r>
    <r>
      <rPr>
        <b/>
        <vertAlign val="subscript"/>
        <sz val="8"/>
        <rFont val="Verdana"/>
        <family val="2"/>
      </rPr>
      <t>N2O,ID,y</t>
    </r>
    <r>
      <rPr>
        <b/>
        <sz val="10"/>
        <rFont val="Verdana"/>
        <family val="2"/>
      </rPr>
      <t>) =</t>
    </r>
    <phoneticPr fontId="0" type="noConversion"/>
  </si>
  <si>
    <r>
      <t xml:space="preserve"> BE</t>
    </r>
    <r>
      <rPr>
        <b/>
        <sz val="8"/>
        <rFont val="Verdana"/>
        <family val="2"/>
      </rPr>
      <t xml:space="preserve">CH4,y </t>
    </r>
    <r>
      <rPr>
        <b/>
        <sz val="10"/>
        <rFont val="Verdana"/>
        <family val="2"/>
      </rPr>
      <t>+ BE</t>
    </r>
    <r>
      <rPr>
        <b/>
        <sz val="8"/>
        <rFont val="Verdana"/>
        <family val="2"/>
      </rPr>
      <t>N2O</t>
    </r>
    <r>
      <rPr>
        <b/>
        <sz val="10"/>
        <rFont val="Verdana"/>
        <family val="2"/>
      </rPr>
      <t xml:space="preserve"> </t>
    </r>
    <r>
      <rPr>
        <b/>
        <sz val="8"/>
        <rFont val="Verdana"/>
        <family val="2"/>
      </rPr>
      <t xml:space="preserve"> =</t>
    </r>
    <phoneticPr fontId="0" type="noConversion"/>
  </si>
  <si>
    <t>EN2O,D,y-monthly</t>
    <phoneticPr fontId="11" type="noConversion"/>
  </si>
  <si>
    <t>EN2O,ID,y-monthly</t>
    <phoneticPr fontId="11" type="noConversion"/>
  </si>
  <si>
    <r>
      <t>F</t>
    </r>
    <r>
      <rPr>
        <vertAlign val="subscript"/>
        <sz val="8"/>
        <rFont val="Verdana"/>
        <family val="2"/>
      </rPr>
      <t>CH4,RG,m</t>
    </r>
    <phoneticPr fontId="11" type="noConversion"/>
  </si>
  <si>
    <r>
      <t>EC</t>
    </r>
    <r>
      <rPr>
        <vertAlign val="subscript"/>
        <sz val="10"/>
        <rFont val="Verdana"/>
        <family val="2"/>
      </rPr>
      <t>PJ,j,y</t>
    </r>
    <phoneticPr fontId="0" type="noConversion"/>
  </si>
  <si>
    <r>
      <t>EF</t>
    </r>
    <r>
      <rPr>
        <vertAlign val="subscript"/>
        <sz val="10"/>
        <rFont val="Verdana"/>
        <family val="2"/>
      </rPr>
      <t>EF,j,y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</si>
  <si>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/MWh</t>
    </r>
    <phoneticPr fontId="0" type="noConversion"/>
  </si>
  <si>
    <r>
      <t>TDL</t>
    </r>
    <r>
      <rPr>
        <vertAlign val="subscript"/>
        <sz val="10"/>
        <rFont val="Verdana"/>
        <family val="2"/>
      </rPr>
      <t>j,y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</si>
  <si>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EC,y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</si>
  <si>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e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</si>
  <si>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FC,y</t>
    </r>
    <phoneticPr fontId="0" type="noConversion"/>
  </si>
  <si>
    <r>
      <t>GWP</t>
    </r>
    <r>
      <rPr>
        <i/>
        <vertAlign val="subscript"/>
        <sz val="10"/>
        <color indexed="8"/>
        <rFont val="Verdana"/>
        <family val="2"/>
      </rPr>
      <t>CH4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</si>
  <si>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/tCH</t>
    </r>
    <r>
      <rPr>
        <vertAlign val="subscript"/>
        <sz val="10"/>
        <rFont val="Verdana"/>
        <family val="2"/>
      </rPr>
      <t>4</t>
    </r>
    <phoneticPr fontId="0" type="noConversion"/>
  </si>
  <si>
    <r>
      <t>EF</t>
    </r>
    <r>
      <rPr>
        <i/>
        <vertAlign val="subscript"/>
        <sz val="10"/>
        <color indexed="8"/>
        <rFont val="Verdana"/>
        <family val="2"/>
      </rPr>
      <t>CH4,default</t>
    </r>
    <phoneticPr fontId="0" type="noConversion"/>
  </si>
  <si>
    <r>
      <t>tCH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leaked / tCH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produced</t>
    </r>
    <phoneticPr fontId="0" type="noConversion"/>
  </si>
  <si>
    <r>
      <t>Q</t>
    </r>
    <r>
      <rPr>
        <vertAlign val="subscript"/>
        <sz val="10"/>
        <rFont val="Verdana"/>
        <family val="2"/>
      </rPr>
      <t>CH4,y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</si>
  <si>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CH4,y</t>
    </r>
    <phoneticPr fontId="0" type="noConversion"/>
  </si>
  <si>
    <r>
      <t>η</t>
    </r>
    <r>
      <rPr>
        <vertAlign val="subscript"/>
        <sz val="10"/>
        <color indexed="8"/>
        <rFont val="Verdana"/>
        <family val="2"/>
      </rPr>
      <t>flare,m</t>
    </r>
    <phoneticPr fontId="0" type="noConversion"/>
  </si>
  <si>
    <r>
      <t>PE</t>
    </r>
    <r>
      <rPr>
        <vertAlign val="subscript"/>
        <sz val="10"/>
        <color indexed="8"/>
        <rFont val="Verdana"/>
        <family val="2"/>
      </rPr>
      <t>flare,y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</si>
  <si>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AD</t>
    </r>
    <phoneticPr fontId="0" type="noConversion"/>
  </si>
  <si>
    <r>
      <t>GWP</t>
    </r>
    <r>
      <rPr>
        <vertAlign val="subscript"/>
        <sz val="10"/>
        <rFont val="Verdana"/>
        <family val="2"/>
      </rPr>
      <t>CH4</t>
    </r>
    <phoneticPr fontId="0" type="noConversion"/>
  </si>
  <si>
    <r>
      <t>D</t>
    </r>
    <r>
      <rPr>
        <vertAlign val="subscript"/>
        <sz val="10"/>
        <rFont val="Verdana"/>
        <family val="2"/>
      </rPr>
      <t>CH4</t>
    </r>
    <phoneticPr fontId="0" type="noConversion"/>
  </si>
  <si>
    <r>
      <t>t/m</t>
    </r>
    <r>
      <rPr>
        <vertAlign val="superscript"/>
        <sz val="10"/>
        <rFont val="Verdana"/>
        <family val="2"/>
      </rPr>
      <t>3</t>
    </r>
    <phoneticPr fontId="0" type="noConversion"/>
  </si>
  <si>
    <r>
      <t>F</t>
    </r>
    <r>
      <rPr>
        <vertAlign val="subscript"/>
        <sz val="10"/>
        <rFont val="Verdana"/>
        <family val="2"/>
      </rPr>
      <t>Aer</t>
    </r>
    <phoneticPr fontId="0" type="noConversion"/>
  </si>
  <si>
    <r>
      <t>1-R</t>
    </r>
    <r>
      <rPr>
        <vertAlign val="subscript"/>
        <sz val="10"/>
        <rFont val="Verdana"/>
        <family val="2"/>
      </rPr>
      <t>vs,n</t>
    </r>
    <phoneticPr fontId="0" type="noConversion"/>
  </si>
  <si>
    <r>
      <t>B</t>
    </r>
    <r>
      <rPr>
        <vertAlign val="subscript"/>
        <sz val="10"/>
        <rFont val="Verdana"/>
        <family val="2"/>
      </rPr>
      <t>0,LT</t>
    </r>
    <phoneticPr fontId="0" type="noConversion"/>
  </si>
  <si>
    <r>
      <t>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/kg-dm</t>
    </r>
    <phoneticPr fontId="0" type="noConversion"/>
  </si>
  <si>
    <r>
      <t>N</t>
    </r>
    <r>
      <rPr>
        <vertAlign val="subscript"/>
        <sz val="10"/>
        <rFont val="Verdana"/>
        <family val="2"/>
      </rPr>
      <t>LT</t>
    </r>
    <phoneticPr fontId="0" type="noConversion"/>
  </si>
  <si>
    <r>
      <t>VS</t>
    </r>
    <r>
      <rPr>
        <vertAlign val="subscript"/>
        <sz val="10"/>
        <rFont val="Verdana"/>
        <family val="2"/>
      </rPr>
      <t>LT,y</t>
    </r>
    <phoneticPr fontId="0" type="noConversion"/>
  </si>
  <si>
    <r>
      <t>MS%</t>
    </r>
    <r>
      <rPr>
        <vertAlign val="subscript"/>
        <sz val="10"/>
        <rFont val="Verdana"/>
        <family val="2"/>
      </rPr>
      <t>j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</si>
  <si>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Aer,y</t>
    </r>
    <phoneticPr fontId="0" type="noConversion"/>
  </si>
  <si>
    <r>
      <t>PE</t>
    </r>
    <r>
      <rPr>
        <b/>
        <vertAlign val="subscript"/>
        <sz val="10"/>
        <color indexed="9"/>
        <rFont val="Verdana"/>
        <family val="2"/>
      </rPr>
      <t>N2O,Y</t>
    </r>
    <r>
      <rPr>
        <b/>
        <sz val="10"/>
        <color indexed="9"/>
        <rFont val="Verdana"/>
        <family val="2"/>
      </rPr>
      <t>=310*(44/28)*1/1000*EF</t>
    </r>
    <r>
      <rPr>
        <b/>
        <vertAlign val="subscript"/>
        <sz val="10"/>
        <color indexed="9"/>
        <rFont val="Verdana"/>
        <family val="2"/>
      </rPr>
      <t>N2O</t>
    </r>
    <r>
      <rPr>
        <b/>
        <sz val="10"/>
        <color indexed="9"/>
        <rFont val="Verdana"/>
        <family val="2"/>
      </rPr>
      <t>*NEX*N</t>
    </r>
  </si>
  <si>
    <r>
      <t>EF</t>
    </r>
    <r>
      <rPr>
        <vertAlign val="subscript"/>
        <sz val="8"/>
        <rFont val="Verdana"/>
        <family val="2"/>
      </rPr>
      <t xml:space="preserve">N2O,D,j </t>
    </r>
    <phoneticPr fontId="11" type="noConversion"/>
  </si>
  <si>
    <r>
      <t>NEX</t>
    </r>
    <r>
      <rPr>
        <sz val="7"/>
        <rFont val="Verdana"/>
        <family val="2"/>
      </rPr>
      <t>LT,y</t>
    </r>
  </si>
  <si>
    <r>
      <t>EF</t>
    </r>
    <r>
      <rPr>
        <sz val="8"/>
        <rFont val="Verdana"/>
        <family val="2"/>
      </rPr>
      <t xml:space="preserve">N2O,D,j 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</si>
  <si>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NH</t>
    </r>
    <r>
      <rPr>
        <vertAlign val="subscript"/>
        <sz val="10"/>
        <rFont val="Verdana"/>
        <family val="2"/>
      </rPr>
      <t>3</t>
    </r>
    <r>
      <rPr>
        <sz val="10"/>
        <rFont val="Verdana"/>
        <family val="2"/>
      </rPr>
      <t>-N and NO</t>
    </r>
    <r>
      <rPr>
        <vertAlign val="subscript"/>
        <sz val="10"/>
        <rFont val="Verdana"/>
        <family val="2"/>
      </rPr>
      <t>X</t>
    </r>
    <r>
      <rPr>
        <sz val="10"/>
        <rFont val="Verdana"/>
        <family val="2"/>
      </rPr>
      <t>-N</t>
    </r>
    <phoneticPr fontId="0" type="noConversion"/>
  </si>
  <si>
    <r>
      <t>E</t>
    </r>
    <r>
      <rPr>
        <b/>
        <sz val="7"/>
        <rFont val="Verdana"/>
        <family val="2"/>
      </rPr>
      <t>N2O,D,y</t>
    </r>
    <phoneticPr fontId="0" type="noConversion"/>
  </si>
  <si>
    <r>
      <t>a) CH4 emissions: PE</t>
    </r>
    <r>
      <rPr>
        <i/>
        <sz val="8"/>
        <color indexed="9"/>
        <rFont val="Verdana"/>
        <family val="2"/>
      </rPr>
      <t>Aer,y</t>
    </r>
  </si>
  <si>
    <r>
      <t>EF</t>
    </r>
    <r>
      <rPr>
        <vertAlign val="subscript"/>
        <sz val="8"/>
        <rFont val="Verdana"/>
        <family val="2"/>
      </rPr>
      <t>N2O,ID</t>
    </r>
    <phoneticPr fontId="0" type="noConversion"/>
  </si>
  <si>
    <r>
      <t>F</t>
    </r>
    <r>
      <rPr>
        <vertAlign val="subscript"/>
        <sz val="10"/>
        <rFont val="Verdana"/>
        <family val="2"/>
      </rPr>
      <t>gasMS,j,LT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</si>
  <si>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</si>
  <si>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E</t>
    </r>
    <r>
      <rPr>
        <b/>
        <sz val="7"/>
        <rFont val="Verdana"/>
        <family val="2"/>
      </rPr>
      <t>N2O,ID,y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</si>
  <si>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N2O,y</t>
    </r>
    <r>
      <rPr>
        <b/>
        <sz val="10"/>
        <rFont val="Verdana"/>
        <family val="2"/>
      </rPr>
      <t>=GWP</t>
    </r>
    <r>
      <rPr>
        <b/>
        <vertAlign val="subscript"/>
        <sz val="10"/>
        <rFont val="Verdana"/>
        <family val="2"/>
      </rPr>
      <t>N2O</t>
    </r>
    <r>
      <rPr>
        <b/>
        <sz val="10"/>
        <rFont val="Verdana"/>
        <family val="2"/>
      </rPr>
      <t>*(44/28)*1/1000*(E</t>
    </r>
    <r>
      <rPr>
        <b/>
        <vertAlign val="subscript"/>
        <sz val="7"/>
        <rFont val="Verdana"/>
        <family val="2"/>
      </rPr>
      <t>N2O,ID,y</t>
    </r>
    <r>
      <rPr>
        <b/>
        <sz val="7"/>
        <rFont val="Verdana"/>
        <family val="2"/>
      </rPr>
      <t xml:space="preserve"> +</t>
    </r>
    <r>
      <rPr>
        <b/>
        <sz val="10"/>
        <rFont val="Verdana"/>
        <family val="2"/>
      </rPr>
      <t>E</t>
    </r>
    <r>
      <rPr>
        <b/>
        <vertAlign val="subscript"/>
        <sz val="7"/>
        <rFont val="Verdana"/>
        <family val="2"/>
      </rPr>
      <t>N20,ID,y</t>
    </r>
    <r>
      <rPr>
        <b/>
        <sz val="10"/>
        <rFont val="Verdana"/>
        <family val="2"/>
      </rPr>
      <t>)=</t>
    </r>
    <phoneticPr fontId="0" type="noConversion"/>
  </si>
  <si>
    <r>
      <t>PEy (tCO</t>
    </r>
    <r>
      <rPr>
        <b/>
        <vertAlign val="subscript"/>
        <sz val="12"/>
        <rFont val="Verdana"/>
        <family val="2"/>
      </rPr>
      <t>2</t>
    </r>
    <r>
      <rPr>
        <b/>
        <sz val="12"/>
        <rFont val="Verdana"/>
        <family val="2"/>
      </rPr>
      <t>e)</t>
    </r>
    <phoneticPr fontId="0" type="noConversion"/>
  </si>
  <si>
    <r>
      <t>Fi,t(t 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>/month)</t>
    </r>
    <phoneticPr fontId="11" type="noConversion"/>
  </si>
  <si>
    <t>total</t>
    <phoneticPr fontId="11" type="noConversion"/>
  </si>
  <si>
    <r>
      <t>E</t>
    </r>
    <r>
      <rPr>
        <vertAlign val="subscript"/>
        <sz val="10"/>
        <rFont val="Verdana"/>
        <family val="2"/>
      </rPr>
      <t>N2O,D,y</t>
    </r>
    <r>
      <rPr>
        <sz val="10"/>
        <rFont val="Verdana"/>
        <family val="2"/>
      </rPr>
      <t>-monthly</t>
    </r>
    <phoneticPr fontId="11" type="noConversion"/>
  </si>
  <si>
    <r>
      <t>PE</t>
    </r>
    <r>
      <rPr>
        <vertAlign val="subscript"/>
        <sz val="10"/>
        <rFont val="Verdana"/>
        <family val="2"/>
      </rPr>
      <t>Aer,y</t>
    </r>
    <r>
      <rPr>
        <sz val="10"/>
        <rFont val="Verdana"/>
        <family val="2"/>
      </rPr>
      <t>-monthly</t>
    </r>
    <phoneticPr fontId="0" type="noConversion"/>
  </si>
  <si>
    <t xml:space="preserve">kg N2O-N/year </t>
    <phoneticPr fontId="0" type="noConversion"/>
  </si>
  <si>
    <r>
      <t>N</t>
    </r>
    <r>
      <rPr>
        <vertAlign val="subscript"/>
        <sz val="8"/>
        <rFont val="Verdana"/>
        <family val="2"/>
      </rPr>
      <t>LT</t>
    </r>
    <phoneticPr fontId="0" type="noConversion"/>
  </si>
  <si>
    <r>
      <t>NEX</t>
    </r>
    <r>
      <rPr>
        <vertAlign val="subscript"/>
        <sz val="8"/>
        <rFont val="Verdana"/>
        <family val="2"/>
      </rPr>
      <t>LT,y</t>
    </r>
    <phoneticPr fontId="0" type="noConversion"/>
  </si>
  <si>
    <r>
      <t>R</t>
    </r>
    <r>
      <rPr>
        <i/>
        <vertAlign val="subscript"/>
        <sz val="8"/>
        <rFont val="Verdana"/>
        <family val="2"/>
      </rPr>
      <t>N,n</t>
    </r>
    <phoneticPr fontId="11" type="noConversion"/>
  </si>
  <si>
    <r>
      <t>KgN-N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NH</t>
    </r>
    <r>
      <rPr>
        <vertAlign val="subscript"/>
        <sz val="10"/>
        <rFont val="Verdana"/>
        <family val="2"/>
      </rPr>
      <t>3</t>
    </r>
    <r>
      <rPr>
        <sz val="10"/>
        <rFont val="Verdana"/>
        <family val="2"/>
      </rPr>
      <t>-N+NO</t>
    </r>
    <r>
      <rPr>
        <vertAlign val="subscript"/>
        <sz val="10"/>
        <rFont val="Verdana"/>
        <family val="2"/>
      </rPr>
      <t>X</t>
    </r>
    <r>
      <rPr>
        <sz val="10"/>
        <rFont val="Verdana"/>
        <family val="2"/>
      </rPr>
      <t>-N</t>
    </r>
    <phoneticPr fontId="0" type="noConversion"/>
  </si>
  <si>
    <r>
      <t>F</t>
    </r>
    <r>
      <rPr>
        <vertAlign val="subscript"/>
        <sz val="10"/>
        <rFont val="Verdana"/>
        <family val="2"/>
      </rPr>
      <t>leach</t>
    </r>
    <phoneticPr fontId="11" type="noConversion"/>
  </si>
  <si>
    <r>
      <t>F</t>
    </r>
    <r>
      <rPr>
        <vertAlign val="subscript"/>
        <sz val="10"/>
        <rFont val="Verdana"/>
        <family val="2"/>
      </rPr>
      <t>gasm</t>
    </r>
    <phoneticPr fontId="11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</si>
  <si>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</si>
  <si>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LE</t>
    </r>
    <r>
      <rPr>
        <vertAlign val="subscript"/>
        <sz val="8"/>
        <rFont val="Verdana"/>
        <family val="2"/>
      </rPr>
      <t>N2O,land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</si>
  <si>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 xml:space="preserve"> 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O-N/year </t>
    </r>
    <phoneticPr fontId="0" type="noConversion"/>
  </si>
  <si>
    <r>
      <t>LE</t>
    </r>
    <r>
      <rPr>
        <vertAlign val="subscript"/>
        <sz val="8"/>
        <rFont val="Verdana"/>
        <family val="2"/>
      </rPr>
      <t>N2O,runoff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</si>
  <si>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O-N/year </t>
    </r>
    <phoneticPr fontId="0" type="noConversion"/>
  </si>
  <si>
    <r>
      <t>LE</t>
    </r>
    <r>
      <rPr>
        <vertAlign val="subscript"/>
        <sz val="8"/>
        <rFont val="Verdana"/>
        <family val="2"/>
      </rPr>
      <t>N2O,vol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</si>
  <si>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BL,N2O,y</t>
    </r>
    <phoneticPr fontId="0" type="noConversion"/>
  </si>
  <si>
    <r>
      <t>R</t>
    </r>
    <r>
      <rPr>
        <i/>
        <sz val="8"/>
        <rFont val="Verdana"/>
        <family val="2"/>
      </rPr>
      <t>N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</si>
  <si>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</t>
    </r>
    <phoneticPr fontId="11" type="noConversion"/>
  </si>
  <si>
    <r>
      <t>LE</t>
    </r>
    <r>
      <rPr>
        <b/>
        <vertAlign val="subscript"/>
        <sz val="10"/>
        <rFont val="Verdana"/>
        <family val="2"/>
      </rPr>
      <t>N2O,land,y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</si>
  <si>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N2O,runoff,y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</si>
  <si>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N2O,vol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</si>
  <si>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PJ,N2O,y</t>
    </r>
    <phoneticPr fontId="0" type="noConversion"/>
  </si>
  <si>
    <r>
      <t>GWP</t>
    </r>
    <r>
      <rPr>
        <sz val="8"/>
        <rFont val="Verdana"/>
        <family val="2"/>
      </rPr>
      <t>CH4</t>
    </r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</si>
  <si>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CH</t>
    </r>
    <r>
      <rPr>
        <vertAlign val="subscript"/>
        <sz val="10"/>
        <rFont val="Verdana"/>
        <family val="2"/>
      </rPr>
      <t>4</t>
    </r>
    <phoneticPr fontId="0" type="noConversion"/>
  </si>
  <si>
    <r>
      <t>D</t>
    </r>
    <r>
      <rPr>
        <sz val="8"/>
        <rFont val="Verdana"/>
        <family val="2"/>
      </rPr>
      <t>CH4</t>
    </r>
  </si>
  <si>
    <r>
      <t>VS</t>
    </r>
    <r>
      <rPr>
        <sz val="8"/>
        <rFont val="Verdana"/>
        <family val="2"/>
      </rPr>
      <t>LT,y</t>
    </r>
  </si>
  <si>
    <r>
      <t>B</t>
    </r>
    <r>
      <rPr>
        <vertAlign val="subscript"/>
        <sz val="10"/>
        <rFont val="Verdana"/>
        <family val="2"/>
      </rPr>
      <t>0,LT</t>
    </r>
    <phoneticPr fontId="11" type="noConversion"/>
  </si>
  <si>
    <r>
      <t>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CH4/kg-dm</t>
    </r>
    <phoneticPr fontId="0" type="noConversion"/>
  </si>
  <si>
    <r>
      <t>R</t>
    </r>
    <r>
      <rPr>
        <vertAlign val="subscript"/>
        <sz val="10"/>
        <rFont val="Verdana"/>
        <family val="2"/>
      </rPr>
      <t xml:space="preserve">VS </t>
    </r>
    <phoneticPr fontId="11" type="noConversion"/>
  </si>
  <si>
    <r>
      <t>LE</t>
    </r>
    <r>
      <rPr>
        <vertAlign val="subscript"/>
        <sz val="10"/>
        <rFont val="Verdana"/>
        <family val="2"/>
      </rPr>
      <t>BL,CH4,y</t>
    </r>
    <r>
      <rPr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</si>
  <si>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BL,CH4,y</t>
    </r>
    <phoneticPr fontId="0" type="noConversion"/>
  </si>
  <si>
    <r>
      <t>B</t>
    </r>
    <r>
      <rPr>
        <vertAlign val="subscript"/>
        <sz val="10"/>
        <rFont val="Verdana"/>
        <family val="2"/>
      </rPr>
      <t>o,LT</t>
    </r>
    <phoneticPr fontId="0" type="noConversion"/>
  </si>
  <si>
    <r>
      <t>R</t>
    </r>
    <r>
      <rPr>
        <sz val="8"/>
        <rFont val="Verdana"/>
        <family val="2"/>
      </rPr>
      <t>VS</t>
    </r>
  </si>
  <si>
    <r>
      <t>LE</t>
    </r>
    <r>
      <rPr>
        <vertAlign val="subscript"/>
        <sz val="10"/>
        <rFont val="Verdana"/>
        <family val="2"/>
      </rPr>
      <t>PJ,CH4 ,y</t>
    </r>
    <r>
      <rPr>
        <sz val="10"/>
        <rFont val="Verdana"/>
        <family val="2"/>
      </rPr>
      <t>-monthly</t>
    </r>
    <phoneticPr fontId="0" type="noConversion"/>
  </si>
  <si>
    <r>
      <t xml:space="preserve">LE </t>
    </r>
    <r>
      <rPr>
        <b/>
        <vertAlign val="subscript"/>
        <sz val="10"/>
        <rFont val="Verdana"/>
        <family val="2"/>
      </rPr>
      <t>PJ,CH4 ,y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</si>
  <si>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PJ,CH4,y</t>
    </r>
    <phoneticPr fontId="0" type="noConversion"/>
  </si>
  <si>
    <r>
      <t>a. LE</t>
    </r>
    <r>
      <rPr>
        <i/>
        <sz val="8"/>
        <color indexed="9"/>
        <rFont val="Verdana"/>
        <family val="2"/>
      </rPr>
      <t xml:space="preserve">B,CH4 </t>
    </r>
    <r>
      <rPr>
        <b/>
        <sz val="10"/>
        <color indexed="9"/>
        <rFont val="Verdana"/>
        <family val="2"/>
      </rPr>
      <t>CH4- land application</t>
    </r>
  </si>
  <si>
    <r>
      <t>VS</t>
    </r>
    <r>
      <rPr>
        <i/>
        <sz val="8"/>
        <color indexed="9"/>
        <rFont val="Verdana"/>
        <family val="2"/>
      </rPr>
      <t>LT,M</t>
    </r>
  </si>
  <si>
    <r>
      <t>N</t>
    </r>
    <r>
      <rPr>
        <i/>
        <vertAlign val="subscript"/>
        <sz val="10"/>
        <color indexed="9"/>
        <rFont val="Verdana"/>
        <family val="2"/>
      </rPr>
      <t>population(head, animal population)</t>
    </r>
  </si>
  <si>
    <r>
      <t>B</t>
    </r>
    <r>
      <rPr>
        <i/>
        <sz val="8"/>
        <color indexed="9"/>
        <rFont val="Verdana"/>
        <family val="2"/>
      </rPr>
      <t>0,LT</t>
    </r>
  </si>
  <si>
    <t>Swine Farm</t>
    <phoneticPr fontId="70" type="noConversion"/>
  </si>
  <si>
    <t>Wsite-Arithmetic mean</t>
    <phoneticPr fontId="70" type="noConversion"/>
  </si>
  <si>
    <t>NLT</t>
    <phoneticPr fontId="70" type="noConversion"/>
  </si>
  <si>
    <t>Wsite-Arithmetic mean*NLT</t>
    <phoneticPr fontId="70" type="noConversion"/>
  </si>
  <si>
    <t>Market</t>
    <phoneticPr fontId="70" type="noConversion"/>
  </si>
  <si>
    <t>Breeding</t>
    <phoneticPr fontId="70" type="noConversion"/>
  </si>
  <si>
    <t>total</t>
    <phoneticPr fontId="70" type="noConversion"/>
  </si>
  <si>
    <t>Wsite-Weighted average</t>
    <phoneticPr fontId="70" type="noConversion"/>
  </si>
  <si>
    <t>time</t>
    <phoneticPr fontId="11" type="noConversion"/>
  </si>
  <si>
    <r>
      <t xml:space="preserve"> </t>
    </r>
    <r>
      <rPr>
        <b/>
        <sz val="12"/>
        <color indexed="8"/>
        <rFont val="Verdana"/>
        <family val="2"/>
      </rPr>
      <t>m</t>
    </r>
    <r>
      <rPr>
        <b/>
        <vertAlign val="subscript"/>
        <sz val="12"/>
        <color indexed="8"/>
        <rFont val="Verdana"/>
        <family val="2"/>
      </rPr>
      <t>Strat</t>
    </r>
    <phoneticPr fontId="11" type="noConversion"/>
  </si>
  <si>
    <r>
      <t>s.e. (m</t>
    </r>
    <r>
      <rPr>
        <b/>
        <vertAlign val="subscript"/>
        <sz val="12"/>
        <rFont val="Verdana"/>
        <family val="2"/>
      </rPr>
      <t>Strat</t>
    </r>
    <r>
      <rPr>
        <b/>
        <sz val="12"/>
        <rFont val="Verdana"/>
        <family val="2"/>
      </rPr>
      <t>)</t>
    </r>
    <phoneticPr fontId="11" type="noConversion"/>
  </si>
  <si>
    <r>
      <t>m</t>
    </r>
    <r>
      <rPr>
        <vertAlign val="subscript"/>
        <sz val="11"/>
        <rFont val="Verdana"/>
        <family val="2"/>
      </rPr>
      <t>i</t>
    </r>
    <phoneticPr fontId="11" type="noConversion"/>
  </si>
  <si>
    <r>
      <t xml:space="preserve"> </t>
    </r>
    <r>
      <rPr>
        <sz val="10.5"/>
        <color indexed="8"/>
        <rFont val="Verdana"/>
        <family val="2"/>
      </rPr>
      <t>SD</t>
    </r>
    <r>
      <rPr>
        <vertAlign val="subscript"/>
        <sz val="10.5"/>
        <color indexed="8"/>
        <rFont val="Verdana"/>
        <family val="2"/>
      </rPr>
      <t>i</t>
    </r>
    <phoneticPr fontId="11" type="noConversion"/>
  </si>
  <si>
    <r>
      <t>n</t>
    </r>
    <r>
      <rPr>
        <vertAlign val="subscript"/>
        <sz val="11"/>
        <rFont val="Verdana"/>
        <family val="2"/>
      </rPr>
      <t>i</t>
    </r>
    <phoneticPr fontId="11" type="noConversion"/>
  </si>
  <si>
    <r>
      <t>g</t>
    </r>
    <r>
      <rPr>
        <vertAlign val="subscript"/>
        <sz val="11"/>
        <rFont val="Verdana"/>
        <family val="2"/>
      </rPr>
      <t>i</t>
    </r>
    <phoneticPr fontId="11" type="noConversion"/>
  </si>
  <si>
    <r>
      <t>g</t>
    </r>
    <r>
      <rPr>
        <vertAlign val="subscript"/>
        <sz val="11"/>
        <rFont val="Verdana"/>
        <family val="2"/>
      </rPr>
      <t>i</t>
    </r>
    <r>
      <rPr>
        <sz val="11"/>
        <rFont val="Verdana"/>
        <family val="2"/>
      </rPr>
      <t>/N</t>
    </r>
    <phoneticPr fontId="11" type="noConversion"/>
  </si>
  <si>
    <r>
      <t>g</t>
    </r>
    <r>
      <rPr>
        <vertAlign val="subscript"/>
        <sz val="11"/>
        <rFont val="Verdana"/>
        <family val="2"/>
      </rPr>
      <t>i</t>
    </r>
    <r>
      <rPr>
        <sz val="11"/>
        <rFont val="Verdana"/>
        <family val="2"/>
      </rPr>
      <t>*m</t>
    </r>
    <r>
      <rPr>
        <vertAlign val="subscript"/>
        <sz val="11"/>
        <rFont val="Verdana"/>
        <family val="2"/>
      </rPr>
      <t>i</t>
    </r>
    <r>
      <rPr>
        <sz val="11"/>
        <rFont val="Verdana"/>
        <family val="2"/>
      </rPr>
      <t>/N</t>
    </r>
    <phoneticPr fontId="11" type="noConversion"/>
  </si>
  <si>
    <r>
      <t>1-(n</t>
    </r>
    <r>
      <rPr>
        <vertAlign val="subscript"/>
        <sz val="11"/>
        <rFont val="Verdana"/>
        <family val="2"/>
      </rPr>
      <t>i</t>
    </r>
    <r>
      <rPr>
        <sz val="11"/>
        <rFont val="Verdana"/>
        <family val="2"/>
      </rPr>
      <t>/g</t>
    </r>
    <r>
      <rPr>
        <vertAlign val="subscript"/>
        <sz val="11"/>
        <rFont val="Verdana"/>
        <family val="2"/>
      </rPr>
      <t>i</t>
    </r>
    <r>
      <rPr>
        <sz val="11"/>
        <rFont val="Verdana"/>
        <family val="2"/>
      </rPr>
      <t>)</t>
    </r>
    <phoneticPr fontId="11" type="noConversion"/>
  </si>
  <si>
    <r>
      <t>SD</t>
    </r>
    <r>
      <rPr>
        <vertAlign val="subscript"/>
        <sz val="11"/>
        <rFont val="Verdana"/>
        <family val="2"/>
      </rPr>
      <t>i</t>
    </r>
    <r>
      <rPr>
        <vertAlign val="superscript"/>
        <sz val="11"/>
        <rFont val="Verdana"/>
        <family val="2"/>
      </rPr>
      <t>2</t>
    </r>
    <r>
      <rPr>
        <sz val="11"/>
        <rFont val="Verdana"/>
        <family val="2"/>
      </rPr>
      <t>/n</t>
    </r>
    <r>
      <rPr>
        <vertAlign val="subscript"/>
        <sz val="11"/>
        <rFont val="Verdana"/>
        <family val="2"/>
      </rPr>
      <t>i</t>
    </r>
    <phoneticPr fontId="11" type="noConversion"/>
  </si>
  <si>
    <r>
      <t xml:space="preserve"> m</t>
    </r>
    <r>
      <rPr>
        <b/>
        <vertAlign val="subscript"/>
        <sz val="11"/>
        <rFont val="Verdana"/>
        <family val="2"/>
      </rPr>
      <t xml:space="preserve">Strat </t>
    </r>
    <r>
      <rPr>
        <b/>
        <sz val="11"/>
        <rFont val="Verdana"/>
        <family val="2"/>
      </rPr>
      <t xml:space="preserve"> </t>
    </r>
    <phoneticPr fontId="11" type="noConversion"/>
  </si>
  <si>
    <r>
      <t xml:space="preserve"> g</t>
    </r>
    <r>
      <rPr>
        <b/>
        <vertAlign val="subscript"/>
        <sz val="11"/>
        <rFont val="Verdana"/>
        <family val="2"/>
      </rPr>
      <t xml:space="preserve">i  </t>
    </r>
    <phoneticPr fontId="11" type="noConversion"/>
  </si>
  <si>
    <r>
      <t xml:space="preserve"> Size of the i</t>
    </r>
    <r>
      <rPr>
        <vertAlign val="superscript"/>
        <sz val="11"/>
        <rFont val="Verdana"/>
        <family val="2"/>
      </rPr>
      <t>th</t>
    </r>
    <r>
      <rPr>
        <sz val="11"/>
        <rFont val="Verdana"/>
        <family val="2"/>
      </rPr>
      <t xml:space="preserve"> district where i=a,…,k  </t>
    </r>
    <phoneticPr fontId="11" type="noConversion"/>
  </si>
  <si>
    <r>
      <t xml:space="preserve"> m</t>
    </r>
    <r>
      <rPr>
        <b/>
        <vertAlign val="subscript"/>
        <sz val="11"/>
        <rFont val="Verdana"/>
        <family val="2"/>
      </rPr>
      <t xml:space="preserve">i  </t>
    </r>
    <phoneticPr fontId="11" type="noConversion"/>
  </si>
  <si>
    <r>
      <t xml:space="preserve"> Mean of the i</t>
    </r>
    <r>
      <rPr>
        <vertAlign val="superscript"/>
        <sz val="11"/>
        <rFont val="Verdana"/>
        <family val="2"/>
      </rPr>
      <t>th</t>
    </r>
    <r>
      <rPr>
        <sz val="11"/>
        <rFont val="Verdana"/>
        <family val="2"/>
      </rPr>
      <t xml:space="preserve"> district where i= a,…,k  </t>
    </r>
    <phoneticPr fontId="11" type="noConversion"/>
  </si>
  <si>
    <r>
      <t>s.e. (m</t>
    </r>
    <r>
      <rPr>
        <b/>
        <vertAlign val="subscript"/>
        <sz val="11"/>
        <rFont val="Verdana"/>
        <family val="2"/>
      </rPr>
      <t>Strat</t>
    </r>
    <r>
      <rPr>
        <b/>
        <sz val="11"/>
        <rFont val="Verdana"/>
        <family val="2"/>
      </rPr>
      <t xml:space="preserve">)   </t>
    </r>
    <phoneticPr fontId="11" type="noConversion"/>
  </si>
  <si>
    <r>
      <t xml:space="preserve"> n</t>
    </r>
    <r>
      <rPr>
        <b/>
        <vertAlign val="subscript"/>
        <sz val="11"/>
        <rFont val="Verdana"/>
        <family val="2"/>
      </rPr>
      <t xml:space="preserve">i </t>
    </r>
    <r>
      <rPr>
        <b/>
        <sz val="11"/>
        <rFont val="Verdana"/>
        <family val="2"/>
      </rPr>
      <t xml:space="preserve"> </t>
    </r>
    <phoneticPr fontId="11" type="noConversion"/>
  </si>
  <si>
    <r>
      <t xml:space="preserve"> Number of sampled units the i</t>
    </r>
    <r>
      <rPr>
        <vertAlign val="superscript"/>
        <sz val="11"/>
        <rFont val="Verdana"/>
        <family val="2"/>
      </rPr>
      <t>th</t>
    </r>
    <r>
      <rPr>
        <sz val="11"/>
        <rFont val="Verdana"/>
        <family val="2"/>
      </rPr>
      <t xml:space="preserve"> district where i=a,…,k  </t>
    </r>
    <phoneticPr fontId="11" type="noConversion"/>
  </si>
  <si>
    <r>
      <t xml:space="preserve"> SD</t>
    </r>
    <r>
      <rPr>
        <b/>
        <vertAlign val="subscript"/>
        <sz val="11"/>
        <rFont val="Verdana"/>
        <family val="2"/>
      </rPr>
      <t>i</t>
    </r>
    <r>
      <rPr>
        <b/>
        <vertAlign val="superscript"/>
        <sz val="11"/>
        <rFont val="Verdana"/>
        <family val="2"/>
      </rPr>
      <t>2</t>
    </r>
    <r>
      <rPr>
        <b/>
        <sz val="11"/>
        <rFont val="Verdana"/>
        <family val="2"/>
      </rPr>
      <t xml:space="preserve">  </t>
    </r>
    <phoneticPr fontId="11" type="noConversion"/>
  </si>
  <si>
    <r>
      <t xml:space="preserve"> Variance of the i</t>
    </r>
    <r>
      <rPr>
        <vertAlign val="superscript"/>
        <sz val="11"/>
        <rFont val="Verdana"/>
        <family val="2"/>
      </rPr>
      <t>th</t>
    </r>
    <r>
      <rPr>
        <sz val="11"/>
        <rFont val="Verdana"/>
        <family val="2"/>
      </rPr>
      <t xml:space="preserve"> district where i=a,…,k </t>
    </r>
    <phoneticPr fontId="11" type="noConversion"/>
  </si>
  <si>
    <r>
      <t xml:space="preserve">The precision associated with an estimate is: 
</t>
    </r>
    <r>
      <rPr>
        <b/>
        <sz val="12"/>
        <rFont val="Verdana"/>
        <family val="2"/>
      </rPr>
      <t>t-value × standard error of the mean</t>
    </r>
    <phoneticPr fontId="11" type="noConversion"/>
  </si>
  <si>
    <r>
      <t xml:space="preserve">Precision </t>
    </r>
    <r>
      <rPr>
        <b/>
        <sz val="12"/>
        <color indexed="8"/>
        <rFont val="Verdana"/>
        <family val="2"/>
      </rPr>
      <t xml:space="preserve"> </t>
    </r>
    <r>
      <rPr>
        <b/>
        <sz val="12"/>
        <rFont val="Verdana"/>
        <family val="2"/>
      </rPr>
      <t xml:space="preserve"> </t>
    </r>
    <phoneticPr fontId="11" type="noConversion"/>
  </si>
  <si>
    <t>20/01/2021-31/01/2021</t>
    <phoneticPr fontId="11" type="noConversion"/>
  </si>
  <si>
    <t>Monthly Statistics of the average animal weight of a defined livestock population at the project site (Wsite)</t>
    <phoneticPr fontId="11" type="noConversion"/>
  </si>
  <si>
    <t>Bama Yanyan swine farm</t>
  </si>
  <si>
    <t>Market swine</t>
    <phoneticPr fontId="80" type="noConversion"/>
  </si>
  <si>
    <t>Breeding swine</t>
    <phoneticPr fontId="80" type="noConversion"/>
  </si>
  <si>
    <t>NO.</t>
    <phoneticPr fontId="70" type="noConversion"/>
  </si>
  <si>
    <t>Nursery phase 0-60</t>
    <phoneticPr fontId="81" type="noConversion"/>
  </si>
  <si>
    <t xml:space="preserve">Growing phase 60-130days </t>
    <phoneticPr fontId="81" type="noConversion"/>
  </si>
  <si>
    <t>Mature phase 130-180days</t>
    <phoneticPr fontId="81" type="noConversion"/>
  </si>
  <si>
    <t>Nursery phase  30-70days</t>
    <phoneticPr fontId="81" type="noConversion"/>
  </si>
  <si>
    <t xml:space="preserve">Growing phase  70-220days </t>
    <phoneticPr fontId="81" type="noConversion"/>
  </si>
  <si>
    <t>Mature phase  220-310days</t>
    <phoneticPr fontId="81" type="noConversion"/>
  </si>
  <si>
    <t>Chongzuo Zuozhou swine Farm</t>
  </si>
  <si>
    <t>Tianyang Wucun swine Farm</t>
  </si>
  <si>
    <t>Quanzhou Dengjiabu swine Farm</t>
  </si>
  <si>
    <t>Chongzuo Quming swine Farm</t>
  </si>
  <si>
    <t>Jingxi swine Farm</t>
  </si>
  <si>
    <t>Liucheng Mashan swine Farm</t>
  </si>
  <si>
    <t>Tengxian Tianping swine Farm</t>
  </si>
  <si>
    <t>Debao Chengguan swine Farm</t>
  </si>
  <si>
    <t>20/01/2021-31/12/2021</t>
    <phoneticPr fontId="11" type="noConversion"/>
  </si>
  <si>
    <t>t-value is depends on:
(i) the level of confidence, and
(ii) the size of the sample. 
The t-value associated with 95% confidence and the sample size of 444 is 1.9653 as derived in Microsoft Excel using the TINV
function</t>
    <phoneticPr fontId="11" type="noConversion"/>
  </si>
  <si>
    <t>18 full time jobs created,including 9 females and 9 males</t>
    <phoneticPr fontId="11" type="noConversion"/>
  </si>
  <si>
    <t>Shuangbaotai Animal Manure Management System GHG Mitigation Project in Guangxi Province</t>
    <phoneticPr fontId="11" type="noConversion"/>
  </si>
  <si>
    <t>GS 11336</t>
    <phoneticPr fontId="11" type="noConversion"/>
  </si>
  <si>
    <t>20/01/2021 - 31/03/2022 (both days included)</t>
    <phoneticPr fontId="11" type="noConversion"/>
  </si>
  <si>
    <r>
      <t>EG</t>
    </r>
    <r>
      <rPr>
        <vertAlign val="subscript"/>
        <sz val="9"/>
        <color rgb="FF171717"/>
        <rFont val="Verdana"/>
        <family val="2"/>
      </rPr>
      <t>d,y</t>
    </r>
    <r>
      <rPr>
        <sz val="9"/>
        <color rgb="FF171717"/>
        <rFont val="Verdana"/>
        <family val="2"/>
      </rPr>
      <t>(MWh)</t>
    </r>
    <phoneticPr fontId="11" type="noConversion"/>
  </si>
  <si>
    <t>monthly electricity consumption and generation</t>
    <phoneticPr fontId="11" type="noConversion"/>
  </si>
  <si>
    <r>
      <t>Baseline Emission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e)</t>
    </r>
    <phoneticPr fontId="11" type="noConversion"/>
  </si>
  <si>
    <r>
      <t>Project Emisson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e)</t>
    </r>
    <phoneticPr fontId="11" type="noConversion"/>
  </si>
  <si>
    <r>
      <t>Leakage Emisson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e)</t>
    </r>
    <phoneticPr fontId="11" type="noConversion"/>
  </si>
  <si>
    <r>
      <t>Emission Reductions(tCO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e)</t>
    </r>
    <phoneticPr fontId="11" type="noConversion"/>
  </si>
  <si>
    <t>ACM0010 Version 08.0, page 8</t>
    <phoneticPr fontId="11" type="noConversion"/>
  </si>
  <si>
    <t>ACM0010 Version 08.0, page 10</t>
    <phoneticPr fontId="11" type="noConversion"/>
  </si>
  <si>
    <t>calculated</t>
    <phoneticPr fontId="11" type="noConversion"/>
  </si>
  <si>
    <t xml:space="preserve"> the power consumption in this monitoring period comes from the region power grid. </t>
    <phoneticPr fontId="0" type="noConversion"/>
  </si>
  <si>
    <t>calculated, biogas flow is sourced from DCS system, Temperature and pressure is sourced from DCS system. CH4 is calculated as equation 16 and 17 in MR.</t>
    <phoneticPr fontId="0" type="noConversion"/>
  </si>
  <si>
    <r>
      <t>monitored</t>
    </r>
    <r>
      <rPr>
        <sz val="10"/>
        <rFont val="宋体"/>
        <family val="2"/>
        <charset val="134"/>
      </rPr>
      <t>，</t>
    </r>
    <r>
      <rPr>
        <sz val="10"/>
        <rFont val="Verdana"/>
        <family val="2"/>
      </rPr>
      <t>biogas flow is sourced from DCS system</t>
    </r>
    <phoneticPr fontId="11" type="noConversion"/>
  </si>
  <si>
    <t>ACM0010 Version 08.0, page 8</t>
    <phoneticPr fontId="0" type="noConversion"/>
  </si>
  <si>
    <t xml:space="preserve"> Appendix 1 of ACM0010 </t>
    <phoneticPr fontId="11" type="noConversion"/>
  </si>
  <si>
    <t>PDD</t>
    <phoneticPr fontId="11" type="noConversion"/>
  </si>
  <si>
    <t xml:space="preserve"> Appendix 1 of ACM0010 </t>
    <phoneticPr fontId="0" type="noConversion"/>
  </si>
  <si>
    <t xml:space="preserve">  Appendix 1 of ACM0010 </t>
    <phoneticPr fontId="0" type="noConversion"/>
  </si>
  <si>
    <t>tCO2e</t>
    <phoneticPr fontId="0" type="noConversion"/>
  </si>
  <si>
    <t xml:space="preserve">Appendix 1 of ACM0010 </t>
    <phoneticPr fontId="0" type="noConversion"/>
  </si>
  <si>
    <t>2006 IPCC default value, vol. 4, ch. 10, tbl. 10.21,</t>
    <phoneticPr fontId="11" type="noConversion"/>
  </si>
  <si>
    <r>
      <t>calculated as equatoin 4 and 5 in MR, of which N</t>
    </r>
    <r>
      <rPr>
        <vertAlign val="subscript"/>
        <sz val="10"/>
        <color indexed="8"/>
        <rFont val="Verdana"/>
        <family val="2"/>
      </rPr>
      <t>LT</t>
    </r>
    <r>
      <rPr>
        <sz val="10"/>
        <color indexed="8"/>
        <rFont val="Verdana"/>
        <family val="2"/>
      </rPr>
      <t xml:space="preserve"> for marke swine and breeding swine is sourced from  "Export record form of market swine" and " Breeding swine stock record"</t>
    </r>
    <phoneticPr fontId="0" type="noConversion"/>
  </si>
  <si>
    <r>
      <t>N</t>
    </r>
    <r>
      <rPr>
        <vertAlign val="subscript"/>
        <sz val="10"/>
        <color rgb="FF000000"/>
        <rFont val="Verdana"/>
        <family val="2"/>
      </rPr>
      <t>dy</t>
    </r>
    <phoneticPr fontId="11" type="noConversion"/>
  </si>
  <si>
    <t>employee records and production record from DCS system</t>
    <phoneticPr fontId="0" type="noConversion"/>
  </si>
  <si>
    <t>calculated as equatoin 4 and 5 in MR, of which NLT for marke swine and breeding swine is sourced from  "Export record form of market swine" and " Breeding swine stock record"</t>
    <phoneticPr fontId="11" type="noConversion"/>
  </si>
  <si>
    <t>calculated as equatoin 4 and 5 in MR, of which NLT for marke swine and breeding swine is sourced from  "Export record form of market swine" and " Breeding swine stock record"</t>
    <phoneticPr fontId="0" type="noConversion"/>
  </si>
  <si>
    <r>
      <t>t/m</t>
    </r>
    <r>
      <rPr>
        <vertAlign val="superscript"/>
        <sz val="10"/>
        <color rgb="FF000000"/>
        <rFont val="Verdana"/>
        <family val="2"/>
      </rPr>
      <t>3</t>
    </r>
    <phoneticPr fontId="11" type="noConversion"/>
  </si>
  <si>
    <r>
      <t>i) Methane emissions from AWMS where gas is captured (PE</t>
    </r>
    <r>
      <rPr>
        <vertAlign val="subscript"/>
        <sz val="10"/>
        <rFont val="Verdana"/>
        <family val="2"/>
      </rPr>
      <t>AD, y</t>
    </r>
    <r>
      <rPr>
        <sz val="10"/>
        <rFont val="Verdana"/>
        <family val="2"/>
      </rPr>
      <t xml:space="preserve">): </t>
    </r>
    <phoneticPr fontId="11" type="noConversion"/>
  </si>
  <si>
    <t>24/06/2022</t>
    <phoneticPr fontId="16" type="noConversion"/>
  </si>
  <si>
    <t>Total electricity produced (MWh)</t>
    <phoneticPr fontId="11" type="noConversion"/>
  </si>
  <si>
    <r>
      <t>E</t>
    </r>
    <r>
      <rPr>
        <vertAlign val="subscript"/>
        <sz val="10"/>
        <rFont val="Verdana"/>
        <family val="2"/>
      </rPr>
      <t>N2O,ID,y-monthly</t>
    </r>
    <phoneticPr fontId="11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</si>
  <si>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e</t>
    </r>
    <phoneticPr fontId="11" type="noConversion"/>
  </si>
  <si>
    <r>
      <t>tCH</t>
    </r>
    <r>
      <rPr>
        <vertAlign val="subscript"/>
        <sz val="10"/>
        <rFont val="Verdana"/>
        <family val="2"/>
      </rPr>
      <t>4</t>
    </r>
    <phoneticPr fontId="11" type="noConversion"/>
  </si>
  <si>
    <r>
      <t>ii) N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O emissions</t>
    </r>
    <phoneticPr fontId="11" type="noConversion"/>
  </si>
  <si>
    <r>
      <t>iii)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 emissions from manure management</t>
    </r>
    <phoneticPr fontId="11" type="noConversion"/>
  </si>
  <si>
    <r>
      <t>i) Estimation of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 emissions: 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</si>
</sst>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(* #,##0.00_);_(* \(#,##0.00\);_(* &quot;-&quot;??_);_(@_)"/>
    <numFmt numFmtId="177" formatCode="_(* #,##0_);_(* \(#,##0\);_(* &quot;-&quot;??_);_(@_)"/>
    <numFmt numFmtId="178" formatCode="0_ "/>
    <numFmt numFmtId="179" formatCode="0.00_ "/>
    <numFmt numFmtId="180" formatCode="0.0_ "/>
    <numFmt numFmtId="181" formatCode="_ * #,##0_ ;_ * \-#,##0_ ;_ * &quot;-&quot;??_ ;_ @_ "/>
    <numFmt numFmtId="182" formatCode="_-* #,##0.00\ [$€]_-;\-* #,##0.00\ [$€]_-;_-* &quot;-&quot;??\ [$€]_-;_-@_-"/>
    <numFmt numFmtId="183" formatCode="0.0"/>
    <numFmt numFmtId="184" formatCode="#,##0.000"/>
    <numFmt numFmtId="185" formatCode="0.00_);[Red]\(0.00\)"/>
    <numFmt numFmtId="186" formatCode="0.0000_ "/>
    <numFmt numFmtId="187" formatCode="#,##0.0"/>
    <numFmt numFmtId="188" formatCode="0.000_);[Red]\(0.000\)"/>
    <numFmt numFmtId="189" formatCode="0.00000_);[Red]\(0.00000\)"/>
    <numFmt numFmtId="190" formatCode="0_);[Red]\(0\)"/>
    <numFmt numFmtId="191" formatCode="0.0000"/>
    <numFmt numFmtId="192" formatCode="0.00000"/>
    <numFmt numFmtId="193" formatCode="0.000%"/>
    <numFmt numFmtId="194" formatCode="#,##0.00_ "/>
    <numFmt numFmtId="195" formatCode="#,##0_ "/>
    <numFmt numFmtId="196" formatCode="#,##0_);[Red]\(#,##0\)"/>
    <numFmt numFmtId="197" formatCode="0.00000_ "/>
    <numFmt numFmtId="198" formatCode="_ &quot;¥&quot;* #,##0_ ;_ &quot;¥&quot;* \-#,##0_ ;_ &quot;¥&quot;* &quot;-&quot;??_ ;_ @_ "/>
  </numFmts>
  <fonts count="91" x14ac:knownFonts="1">
    <font>
      <sz val="10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Calibri"/>
      <family val="2"/>
    </font>
    <font>
      <sz val="11"/>
      <color theme="1"/>
      <name val="宋体"/>
      <family val="3"/>
      <charset val="134"/>
      <scheme val="minor"/>
    </font>
    <font>
      <sz val="10"/>
      <color rgb="FF4D4D4C"/>
      <name val="Verdana"/>
      <family val="2"/>
    </font>
    <font>
      <sz val="10"/>
      <name val="Verdana"/>
      <family val="2"/>
    </font>
    <font>
      <sz val="9"/>
      <name val="宋体"/>
      <family val="3"/>
      <charset val="134"/>
    </font>
    <font>
      <sz val="11"/>
      <name val="Verdana"/>
      <family val="2"/>
    </font>
    <font>
      <b/>
      <sz val="11"/>
      <name val="Verdana"/>
      <family val="2"/>
    </font>
    <font>
      <b/>
      <vertAlign val="subscript"/>
      <sz val="11"/>
      <name val="Verdana"/>
      <family val="2"/>
    </font>
    <font>
      <vertAlign val="subscript"/>
      <sz val="10"/>
      <name val="Verdana"/>
      <family val="2"/>
    </font>
    <font>
      <vertAlign val="superscript"/>
      <sz val="10"/>
      <name val="Verdana"/>
      <family val="2"/>
    </font>
    <font>
      <sz val="11"/>
      <color rgb="FF4D4D4C"/>
      <name val="Verdana"/>
      <family val="2"/>
    </font>
    <font>
      <vertAlign val="subscript"/>
      <sz val="11"/>
      <color indexed="63"/>
      <name val="Verdana"/>
      <family val="2"/>
    </font>
    <font>
      <sz val="11"/>
      <color indexed="63"/>
      <name val="Verdana"/>
      <family val="2"/>
    </font>
    <font>
      <vertAlign val="subscript"/>
      <sz val="10"/>
      <color indexed="63"/>
      <name val="Verdana"/>
      <family val="2"/>
    </font>
    <font>
      <sz val="10"/>
      <color indexed="63"/>
      <name val="Verdana"/>
      <family val="2"/>
    </font>
    <font>
      <vertAlign val="superscript"/>
      <sz val="11"/>
      <color indexed="63"/>
      <name val="Verdana"/>
      <family val="2"/>
    </font>
    <font>
      <sz val="10"/>
      <color theme="1"/>
      <name val="Verdana"/>
      <family val="2"/>
    </font>
    <font>
      <sz val="10"/>
      <color rgb="FF22222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color indexed="46"/>
      <name val="Verdan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sz val="10"/>
      <color indexed="8"/>
      <name val="Verdana"/>
      <family val="2"/>
    </font>
    <font>
      <i/>
      <vertAlign val="subscript"/>
      <sz val="10"/>
      <color indexed="8"/>
      <name val="Verdana"/>
      <family val="2"/>
    </font>
    <font>
      <vertAlign val="subscript"/>
      <sz val="10"/>
      <color indexed="8"/>
      <name val="Verdana"/>
      <family val="2"/>
    </font>
    <font>
      <u/>
      <sz val="10"/>
      <color indexed="10"/>
      <name val="Verdana"/>
      <family val="2"/>
    </font>
    <font>
      <i/>
      <vertAlign val="subscript"/>
      <sz val="8"/>
      <color indexed="8"/>
      <name val="Verdana"/>
      <family val="2"/>
    </font>
    <font>
      <vertAlign val="superscript"/>
      <sz val="10"/>
      <color indexed="8"/>
      <name val="Verdana"/>
      <family val="2"/>
    </font>
    <font>
      <vertAlign val="subscript"/>
      <sz val="8"/>
      <color indexed="8"/>
      <name val="Verdana"/>
      <family val="2"/>
    </font>
    <font>
      <i/>
      <sz val="10"/>
      <name val="Verdana"/>
      <family val="2"/>
    </font>
    <font>
      <i/>
      <vertAlign val="subscript"/>
      <sz val="8"/>
      <name val="Verdana"/>
      <family val="2"/>
    </font>
    <font>
      <sz val="8"/>
      <color indexed="8"/>
      <name val="Verdana"/>
      <family val="2"/>
    </font>
    <font>
      <vertAlign val="subscript"/>
      <sz val="10"/>
      <color rgb="FF000000"/>
      <name val="Verdana"/>
      <family val="2"/>
    </font>
    <font>
      <b/>
      <sz val="8"/>
      <color indexed="8"/>
      <name val="Verdana"/>
      <family val="2"/>
    </font>
    <font>
      <b/>
      <sz val="10"/>
      <color indexed="12"/>
      <name val="Verdana"/>
      <family val="2"/>
    </font>
    <font>
      <b/>
      <i/>
      <sz val="10"/>
      <name val="Verdana"/>
      <family val="2"/>
    </font>
    <font>
      <i/>
      <vertAlign val="subscript"/>
      <sz val="10"/>
      <name val="Verdana"/>
      <family val="2"/>
    </font>
    <font>
      <b/>
      <sz val="10"/>
      <color indexed="10"/>
      <name val="Verdana"/>
      <family val="2"/>
    </font>
    <font>
      <b/>
      <vertAlign val="subscript"/>
      <sz val="10"/>
      <name val="Verdana"/>
      <family val="2"/>
    </font>
    <font>
      <vertAlign val="subscript"/>
      <sz val="8"/>
      <name val="Verdana"/>
      <family val="2"/>
    </font>
    <font>
      <i/>
      <sz val="8"/>
      <name val="Verdana"/>
      <family val="2"/>
    </font>
    <font>
      <b/>
      <vertAlign val="subscript"/>
      <sz val="8"/>
      <name val="Verdana"/>
      <family val="2"/>
    </font>
    <font>
      <b/>
      <sz val="10"/>
      <color theme="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9"/>
      <name val="Verdana"/>
      <family val="2"/>
    </font>
    <font>
      <sz val="12"/>
      <name val="Verdana"/>
      <family val="2"/>
    </font>
    <font>
      <b/>
      <vertAlign val="subscript"/>
      <sz val="10"/>
      <color indexed="9"/>
      <name val="Verdana"/>
      <family val="2"/>
    </font>
    <font>
      <sz val="10"/>
      <color indexed="9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i/>
      <sz val="8"/>
      <color indexed="9"/>
      <name val="Verdana"/>
      <family val="2"/>
    </font>
    <font>
      <b/>
      <vertAlign val="subscript"/>
      <sz val="7"/>
      <name val="Verdana"/>
      <family val="2"/>
    </font>
    <font>
      <b/>
      <vertAlign val="subscript"/>
      <sz val="12"/>
      <name val="Verdana"/>
      <family val="2"/>
    </font>
    <font>
      <i/>
      <vertAlign val="subscript"/>
      <sz val="10"/>
      <color indexed="9"/>
      <name val="Verdana"/>
      <family val="2"/>
    </font>
    <font>
      <b/>
      <sz val="10"/>
      <name val="Calibri"/>
      <family val="2"/>
    </font>
    <font>
      <b/>
      <sz val="10"/>
      <name val="宋体"/>
      <family val="2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Calibri"/>
      <family val="2"/>
    </font>
    <font>
      <b/>
      <sz val="14"/>
      <color rgb="FFFF0000"/>
      <name val="Verdana"/>
      <family val="2"/>
    </font>
    <font>
      <b/>
      <sz val="12"/>
      <color indexed="8"/>
      <name val="Verdana"/>
      <family val="2"/>
    </font>
    <font>
      <b/>
      <vertAlign val="subscript"/>
      <sz val="12"/>
      <color indexed="8"/>
      <name val="Verdana"/>
      <family val="2"/>
    </font>
    <font>
      <vertAlign val="subscript"/>
      <sz val="11"/>
      <name val="Verdana"/>
      <family val="2"/>
    </font>
    <font>
      <sz val="10.5"/>
      <color indexed="8"/>
      <name val="Verdana"/>
      <family val="2"/>
    </font>
    <font>
      <vertAlign val="subscript"/>
      <sz val="10.5"/>
      <color indexed="8"/>
      <name val="Verdana"/>
      <family val="2"/>
    </font>
    <font>
      <vertAlign val="superscript"/>
      <sz val="11"/>
      <name val="Verdana"/>
      <family val="2"/>
    </font>
    <font>
      <b/>
      <vertAlign val="superscript"/>
      <sz val="11"/>
      <name val="Verdana"/>
      <family val="2"/>
    </font>
    <font>
      <sz val="9"/>
      <name val="宋体"/>
      <family val="2"/>
      <charset val="134"/>
      <scheme val="minor"/>
    </font>
    <font>
      <sz val="9"/>
      <name val="微软雅黑"/>
      <family val="2"/>
      <charset val="134"/>
    </font>
    <font>
      <sz val="10"/>
      <color theme="1"/>
      <name val="Calibri"/>
      <family val="2"/>
    </font>
    <font>
      <sz val="10"/>
      <color theme="2" tint="-0.89999084444715716"/>
      <name val="Calibri"/>
      <family val="2"/>
    </font>
    <font>
      <sz val="9"/>
      <name val="Verdana"/>
      <family val="2"/>
    </font>
    <font>
      <sz val="9"/>
      <color rgb="FF171717"/>
      <name val="Verdana"/>
      <family val="2"/>
    </font>
    <font>
      <vertAlign val="subscript"/>
      <sz val="9"/>
      <color rgb="FF171717"/>
      <name val="Verdana"/>
      <family val="2"/>
    </font>
    <font>
      <sz val="11"/>
      <color indexed="8"/>
      <name val="Verdana"/>
      <family val="2"/>
    </font>
    <font>
      <sz val="10"/>
      <name val="宋体"/>
      <family val="2"/>
      <charset val="134"/>
    </font>
    <font>
      <vertAlign val="superscript"/>
      <sz val="10"/>
      <color rgb="FF000000"/>
      <name val="Verdana"/>
      <family val="2"/>
    </font>
    <font>
      <sz val="10"/>
      <color rgb="FFFF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2" fontId="10" fillId="0" borderId="0" applyFont="0" applyFill="0" applyBorder="0" applyAlignment="0" applyProtection="0"/>
    <xf numFmtId="0" fontId="13" fillId="0" borderId="0"/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176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619">
    <xf numFmtId="0" fontId="0" fillId="0" borderId="0" xfId="0"/>
    <xf numFmtId="0" fontId="15" fillId="5" borderId="0" xfId="0" applyFont="1" applyFill="1" applyBorder="1" applyAlignment="1">
      <alignment horizontal="right" vertical="center"/>
    </xf>
    <xf numFmtId="0" fontId="15" fillId="0" borderId="0" xfId="0" applyFont="1" applyBorder="1"/>
    <xf numFmtId="0" fontId="15" fillId="10" borderId="4" xfId="0" applyFont="1" applyFill="1" applyBorder="1" applyAlignment="1">
      <alignment horizontal="justify" vertical="center" wrapText="1"/>
    </xf>
    <xf numFmtId="0" fontId="15" fillId="10" borderId="3" xfId="0" applyFont="1" applyFill="1" applyBorder="1" applyAlignment="1">
      <alignment horizontal="justify" vertical="center" wrapText="1"/>
    </xf>
    <xf numFmtId="0" fontId="15" fillId="0" borderId="0" xfId="0" applyFont="1" applyBorder="1" applyAlignment="1">
      <alignment vertical="center"/>
    </xf>
    <xf numFmtId="0" fontId="15" fillId="10" borderId="12" xfId="0" applyFont="1" applyFill="1" applyBorder="1" applyAlignment="1">
      <alignment horizontal="justify" vertical="center" wrapText="1"/>
    </xf>
    <xf numFmtId="3" fontId="15" fillId="0" borderId="0" xfId="0" applyNumberFormat="1" applyFont="1" applyBorder="1" applyAlignment="1">
      <alignment horizontal="left"/>
    </xf>
    <xf numFmtId="1" fontId="15" fillId="0" borderId="0" xfId="0" applyNumberFormat="1" applyFont="1" applyBorder="1"/>
    <xf numFmtId="3" fontId="15" fillId="0" borderId="0" xfId="0" applyNumberFormat="1" applyFont="1" applyBorder="1"/>
    <xf numFmtId="10" fontId="14" fillId="0" borderId="0" xfId="7" applyNumberFormat="1" applyFont="1" applyBorder="1"/>
    <xf numFmtId="10" fontId="15" fillId="0" borderId="0" xfId="7" applyNumberFormat="1" applyFont="1" applyBorder="1"/>
    <xf numFmtId="0" fontId="17" fillId="0" borderId="0" xfId="0" applyFont="1"/>
    <xf numFmtId="0" fontId="18" fillId="9" borderId="2" xfId="0" applyFont="1" applyFill="1" applyBorder="1" applyAlignment="1">
      <alignment horizontal="center" vertical="center" wrapText="1"/>
    </xf>
    <xf numFmtId="19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95" fontId="17" fillId="4" borderId="2" xfId="0" applyNumberFormat="1" applyFont="1" applyFill="1" applyBorder="1" applyAlignment="1">
      <alignment horizontal="center" vertical="center"/>
    </xf>
    <xf numFmtId="195" fontId="17" fillId="0" borderId="0" xfId="0" applyNumberFormat="1" applyFont="1"/>
    <xf numFmtId="3" fontId="17" fillId="0" borderId="0" xfId="0" applyNumberFormat="1" applyFont="1"/>
    <xf numFmtId="2" fontId="17" fillId="0" borderId="0" xfId="0" applyNumberFormat="1" applyFont="1"/>
    <xf numFmtId="10" fontId="17" fillId="0" borderId="0" xfId="7" applyNumberFormat="1" applyFont="1"/>
    <xf numFmtId="196" fontId="18" fillId="9" borderId="2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/>
    <xf numFmtId="2" fontId="15" fillId="0" borderId="2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0" fontId="15" fillId="0" borderId="12" xfId="0" applyFont="1" applyFill="1" applyBorder="1"/>
    <xf numFmtId="0" fontId="15" fillId="0" borderId="11" xfId="0" applyFont="1" applyBorder="1" applyAlignment="1">
      <alignment horizontal="center"/>
    </xf>
    <xf numFmtId="0" fontId="15" fillId="0" borderId="0" xfId="0" applyFont="1" applyFill="1" applyBorder="1"/>
    <xf numFmtId="0" fontId="15" fillId="0" borderId="2" xfId="0" applyFont="1" applyBorder="1"/>
    <xf numFmtId="0" fontId="15" fillId="0" borderId="12" xfId="0" applyFont="1" applyBorder="1"/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22" fillId="0" borderId="5" xfId="0" applyFont="1" applyBorder="1"/>
    <xf numFmtId="0" fontId="14" fillId="0" borderId="5" xfId="0" applyFont="1" applyBorder="1"/>
    <xf numFmtId="1" fontId="15" fillId="0" borderId="2" xfId="0" applyNumberFormat="1" applyFont="1" applyBorder="1" applyAlignment="1">
      <alignment horizontal="center"/>
    </xf>
    <xf numFmtId="192" fontId="15" fillId="0" borderId="2" xfId="0" applyNumberFormat="1" applyFont="1" applyBorder="1" applyAlignment="1">
      <alignment horizontal="center"/>
    </xf>
    <xf numFmtId="2" fontId="28" fillId="0" borderId="2" xfId="0" applyNumberFormat="1" applyFont="1" applyBorder="1" applyAlignment="1">
      <alignment horizontal="center"/>
    </xf>
    <xf numFmtId="176" fontId="15" fillId="0" borderId="11" xfId="11" applyFont="1" applyBorder="1"/>
    <xf numFmtId="0" fontId="15" fillId="0" borderId="11" xfId="0" applyFont="1" applyBorder="1"/>
    <xf numFmtId="2" fontId="15" fillId="0" borderId="0" xfId="0" applyNumberFormat="1" applyFont="1" applyBorder="1"/>
    <xf numFmtId="0" fontId="15" fillId="0" borderId="0" xfId="0" applyFont="1" applyFill="1"/>
    <xf numFmtId="181" fontId="15" fillId="0" borderId="0" xfId="0" applyNumberFormat="1" applyFont="1" applyFill="1"/>
    <xf numFmtId="181" fontId="15" fillId="0" borderId="0" xfId="0" applyNumberFormat="1" applyFont="1" applyFill="1" applyBorder="1"/>
    <xf numFmtId="43" fontId="15" fillId="0" borderId="0" xfId="0" applyNumberFormat="1" applyFont="1" applyFill="1" applyBorder="1"/>
    <xf numFmtId="44" fontId="15" fillId="0" borderId="0" xfId="0" applyNumberFormat="1" applyFont="1"/>
    <xf numFmtId="185" fontId="15" fillId="0" borderId="0" xfId="0" applyNumberFormat="1" applyFont="1"/>
    <xf numFmtId="3" fontId="15" fillId="0" borderId="0" xfId="0" applyNumberFormat="1" applyFont="1" applyFill="1"/>
    <xf numFmtId="177" fontId="15" fillId="0" borderId="0" xfId="11" applyNumberFormat="1" applyFont="1" applyFill="1"/>
    <xf numFmtId="43" fontId="15" fillId="0" borderId="0" xfId="0" applyNumberFormat="1" applyFont="1" applyFill="1"/>
    <xf numFmtId="177" fontId="15" fillId="0" borderId="0" xfId="0" applyNumberFormat="1" applyFont="1" applyFill="1"/>
    <xf numFmtId="44" fontId="29" fillId="0" borderId="0" xfId="0" applyNumberFormat="1" applyFont="1"/>
    <xf numFmtId="181" fontId="15" fillId="0" borderId="0" xfId="0" applyNumberFormat="1" applyFont="1"/>
    <xf numFmtId="193" fontId="15" fillId="0" borderId="0" xfId="7" applyNumberFormat="1" applyFont="1"/>
    <xf numFmtId="179" fontId="15" fillId="0" borderId="0" xfId="0" applyNumberFormat="1" applyFont="1"/>
    <xf numFmtId="183" fontId="15" fillId="0" borderId="2" xfId="0" applyNumberFormat="1" applyFont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1" fillId="2" borderId="0" xfId="0" applyFont="1" applyFill="1"/>
    <xf numFmtId="0" fontId="32" fillId="0" borderId="0" xfId="0" applyFont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4" fillId="0" borderId="0" xfId="0" applyFont="1"/>
    <xf numFmtId="0" fontId="33" fillId="0" borderId="3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 wrapText="1"/>
    </xf>
    <xf numFmtId="0" fontId="35" fillId="0" borderId="3" xfId="0" applyFont="1" applyBorder="1"/>
    <xf numFmtId="0" fontId="35" fillId="0" borderId="2" xfId="0" applyFont="1" applyBorder="1"/>
    <xf numFmtId="0" fontId="3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right"/>
    </xf>
    <xf numFmtId="0" fontId="35" fillId="0" borderId="2" xfId="0" applyFont="1" applyBorder="1" applyAlignment="1">
      <alignment horizontal="center"/>
    </xf>
    <xf numFmtId="9" fontId="15" fillId="0" borderId="2" xfId="0" applyNumberFormat="1" applyFont="1" applyBorder="1" applyAlignment="1">
      <alignment horizontal="right"/>
    </xf>
    <xf numFmtId="0" fontId="38" fillId="0" borderId="0" xfId="10" applyFont="1" applyAlignment="1" applyProtection="1"/>
    <xf numFmtId="3" fontId="15" fillId="0" borderId="2" xfId="11" applyNumberFormat="1" applyFont="1" applyFill="1" applyBorder="1" applyAlignment="1">
      <alignment horizontal="right" vertical="center"/>
    </xf>
    <xf numFmtId="17" fontId="35" fillId="0" borderId="3" xfId="0" applyNumberFormat="1" applyFont="1" applyBorder="1"/>
    <xf numFmtId="3" fontId="15" fillId="0" borderId="0" xfId="0" applyNumberFormat="1" applyFont="1"/>
    <xf numFmtId="0" fontId="35" fillId="0" borderId="2" xfId="0" applyFont="1" applyFill="1" applyBorder="1" applyAlignment="1">
      <alignment horizontal="center" vertical="center" wrapText="1"/>
    </xf>
    <xf numFmtId="0" fontId="42" fillId="0" borderId="3" xfId="0" applyFont="1" applyBorder="1"/>
    <xf numFmtId="187" fontId="15" fillId="0" borderId="2" xfId="11" applyNumberFormat="1" applyFont="1" applyFill="1" applyBorder="1" applyAlignment="1">
      <alignment horizontal="right" vertical="center"/>
    </xf>
    <xf numFmtId="0" fontId="35" fillId="0" borderId="3" xfId="0" applyFont="1" applyBorder="1" applyAlignment="1">
      <alignment horizontal="left"/>
    </xf>
    <xf numFmtId="4" fontId="15" fillId="0" borderId="2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right"/>
    </xf>
    <xf numFmtId="17" fontId="33" fillId="0" borderId="3" xfId="0" applyNumberFormat="1" applyFont="1" applyBorder="1"/>
    <xf numFmtId="0" fontId="33" fillId="0" borderId="12" xfId="0" applyFont="1" applyBorder="1"/>
    <xf numFmtId="3" fontId="47" fillId="3" borderId="11" xfId="0" applyNumberFormat="1" applyFont="1" applyFill="1" applyBorder="1"/>
    <xf numFmtId="0" fontId="35" fillId="0" borderId="11" xfId="0" applyFont="1" applyBorder="1" applyAlignment="1">
      <alignment horizontal="center"/>
    </xf>
    <xf numFmtId="180" fontId="15" fillId="0" borderId="0" xfId="0" applyNumberFormat="1" applyFont="1"/>
    <xf numFmtId="0" fontId="32" fillId="0" borderId="0" xfId="0" applyFont="1" applyAlignment="1">
      <alignment horizontal="left"/>
    </xf>
    <xf numFmtId="0" fontId="31" fillId="0" borderId="0" xfId="0" applyFont="1" applyAlignment="1">
      <alignment wrapText="1"/>
    </xf>
    <xf numFmtId="0" fontId="48" fillId="0" borderId="0" xfId="0" applyFont="1"/>
    <xf numFmtId="0" fontId="15" fillId="0" borderId="0" xfId="0" applyFont="1" applyAlignment="1">
      <alignment horizontal="right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1" fontId="15" fillId="0" borderId="2" xfId="0" applyNumberFormat="1" applyFont="1" applyBorder="1" applyAlignment="1">
      <alignment horizontal="right"/>
    </xf>
    <xf numFmtId="0" fontId="15" fillId="5" borderId="2" xfId="0" applyFont="1" applyFill="1" applyBorder="1" applyAlignment="1">
      <alignment horizontal="right"/>
    </xf>
    <xf numFmtId="2" fontId="15" fillId="5" borderId="2" xfId="0" applyNumberFormat="1" applyFont="1" applyFill="1" applyBorder="1" applyAlignment="1">
      <alignment horizontal="right"/>
    </xf>
    <xf numFmtId="4" fontId="15" fillId="5" borderId="2" xfId="11" applyNumberFormat="1" applyFont="1" applyFill="1" applyBorder="1" applyAlignment="1">
      <alignment horizontal="right" vertical="center"/>
    </xf>
    <xf numFmtId="187" fontId="15" fillId="5" borderId="2" xfId="11" applyNumberFormat="1" applyFont="1" applyFill="1" applyBorder="1" applyAlignment="1">
      <alignment horizontal="right" vertical="center"/>
    </xf>
    <xf numFmtId="1" fontId="15" fillId="5" borderId="2" xfId="0" applyNumberFormat="1" applyFont="1" applyFill="1" applyBorder="1" applyAlignment="1">
      <alignment horizontal="right"/>
    </xf>
    <xf numFmtId="0" fontId="31" fillId="0" borderId="3" xfId="0" applyFont="1" applyBorder="1"/>
    <xf numFmtId="0" fontId="50" fillId="0" borderId="2" xfId="0" applyFont="1" applyBorder="1"/>
    <xf numFmtId="0" fontId="31" fillId="0" borderId="12" xfId="0" applyFont="1" applyBorder="1"/>
    <xf numFmtId="0" fontId="3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0" fillId="0" borderId="0" xfId="0" applyFont="1"/>
    <xf numFmtId="2" fontId="15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 vertical="center"/>
    </xf>
    <xf numFmtId="2" fontId="15" fillId="0" borderId="2" xfId="11" applyNumberFormat="1" applyFont="1" applyBorder="1" applyAlignment="1">
      <alignment horizontal="right"/>
    </xf>
    <xf numFmtId="4" fontId="15" fillId="0" borderId="2" xfId="11" applyNumberFormat="1" applyFont="1" applyFill="1" applyBorder="1" applyAlignment="1">
      <alignment horizontal="right" vertical="center"/>
    </xf>
    <xf numFmtId="2" fontId="15" fillId="0" borderId="2" xfId="11" applyNumberFormat="1" applyFont="1" applyFill="1" applyBorder="1" applyAlignment="1">
      <alignment horizontal="right"/>
    </xf>
    <xf numFmtId="3" fontId="15" fillId="0" borderId="2" xfId="11" applyNumberFormat="1" applyFont="1" applyBorder="1" applyAlignment="1">
      <alignment horizontal="right"/>
    </xf>
    <xf numFmtId="177" fontId="31" fillId="0" borderId="0" xfId="0" applyNumberFormat="1" applyFont="1"/>
    <xf numFmtId="17" fontId="33" fillId="0" borderId="4" xfId="0" applyNumberFormat="1" applyFont="1" applyBorder="1"/>
    <xf numFmtId="0" fontId="15" fillId="0" borderId="0" xfId="9" applyFont="1">
      <alignment vertical="center"/>
    </xf>
    <xf numFmtId="177" fontId="15" fillId="0" borderId="0" xfId="9" applyNumberFormat="1" applyFont="1">
      <alignment vertical="center"/>
    </xf>
    <xf numFmtId="178" fontId="15" fillId="0" borderId="0" xfId="9" applyNumberFormat="1" applyFont="1" applyAlignment="1">
      <alignment horizontal="center" vertical="center"/>
    </xf>
    <xf numFmtId="0" fontId="31" fillId="3" borderId="0" xfId="0" applyFont="1" applyFill="1"/>
    <xf numFmtId="0" fontId="15" fillId="3" borderId="0" xfId="0" applyFont="1" applyFill="1"/>
    <xf numFmtId="0" fontId="31" fillId="3" borderId="0" xfId="11" applyNumberFormat="1" applyFont="1" applyFill="1" applyBorder="1"/>
    <xf numFmtId="0" fontId="15" fillId="3" borderId="0" xfId="11" applyNumberFormat="1" applyFont="1" applyFill="1" applyBorder="1"/>
    <xf numFmtId="176" fontId="15" fillId="0" borderId="0" xfId="0" applyNumberFormat="1" applyFont="1"/>
    <xf numFmtId="177" fontId="15" fillId="0" borderId="0" xfId="0" applyNumberFormat="1" applyFont="1" applyAlignment="1">
      <alignment horizontal="center"/>
    </xf>
    <xf numFmtId="177" fontId="15" fillId="0" borderId="0" xfId="0" applyNumberFormat="1" applyFont="1"/>
    <xf numFmtId="0" fontId="15" fillId="0" borderId="16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17" fontId="31" fillId="0" borderId="3" xfId="0" applyNumberFormat="1" applyFont="1" applyBorder="1"/>
    <xf numFmtId="0" fontId="57" fillId="0" borderId="3" xfId="0" applyFont="1" applyBorder="1" applyAlignment="1">
      <alignment vertical="center"/>
    </xf>
    <xf numFmtId="0" fontId="58" fillId="0" borderId="0" xfId="0" applyFont="1"/>
    <xf numFmtId="0" fontId="15" fillId="2" borderId="0" xfId="0" applyFont="1" applyFill="1"/>
    <xf numFmtId="0" fontId="31" fillId="0" borderId="0" xfId="4" applyFont="1" applyAlignment="1"/>
    <xf numFmtId="0" fontId="59" fillId="0" borderId="0" xfId="4" applyFont="1">
      <alignment vertical="center"/>
    </xf>
    <xf numFmtId="0" fontId="32" fillId="0" borderId="0" xfId="9" applyFont="1" applyAlignment="1">
      <alignment horizontal="left" vertical="center"/>
    </xf>
    <xf numFmtId="0" fontId="59" fillId="0" borderId="0" xfId="9" applyFont="1">
      <alignment vertical="center"/>
    </xf>
    <xf numFmtId="0" fontId="31" fillId="0" borderId="4" xfId="4" applyFont="1" applyBorder="1" applyAlignment="1"/>
    <xf numFmtId="0" fontId="15" fillId="0" borderId="3" xfId="4" applyFont="1" applyBorder="1" applyAlignment="1"/>
    <xf numFmtId="0" fontId="15" fillId="0" borderId="2" xfId="4" applyFont="1" applyBorder="1">
      <alignment vertical="center"/>
    </xf>
    <xf numFmtId="0" fontId="15" fillId="0" borderId="2" xfId="9" applyFont="1" applyBorder="1" applyAlignment="1">
      <alignment horizontal="center" vertical="center"/>
    </xf>
    <xf numFmtId="9" fontId="15" fillId="0" borderId="2" xfId="4" applyNumberFormat="1" applyFont="1" applyBorder="1">
      <alignment vertical="center"/>
    </xf>
    <xf numFmtId="0" fontId="31" fillId="0" borderId="3" xfId="4" applyFont="1" applyBorder="1" applyAlignment="1"/>
    <xf numFmtId="1" fontId="31" fillId="0" borderId="2" xfId="4" applyNumberFormat="1" applyFont="1" applyBorder="1">
      <alignment vertical="center"/>
    </xf>
    <xf numFmtId="17" fontId="31" fillId="0" borderId="3" xfId="4" applyNumberFormat="1" applyFont="1" applyBorder="1" applyAlignment="1"/>
    <xf numFmtId="0" fontId="31" fillId="0" borderId="12" xfId="4" applyFont="1" applyBorder="1" applyAlignment="1"/>
    <xf numFmtId="0" fontId="30" fillId="0" borderId="11" xfId="4" applyFont="1" applyBorder="1">
      <alignment vertical="center"/>
    </xf>
    <xf numFmtId="0" fontId="15" fillId="0" borderId="11" xfId="9" applyFont="1" applyBorder="1" applyAlignment="1">
      <alignment horizontal="center" vertical="center"/>
    </xf>
    <xf numFmtId="0" fontId="30" fillId="0" borderId="0" xfId="4" applyFont="1">
      <alignment vertical="center"/>
    </xf>
    <xf numFmtId="0" fontId="15" fillId="0" borderId="0" xfId="9" applyFont="1" applyAlignment="1">
      <alignment horizontal="center" vertical="center"/>
    </xf>
    <xf numFmtId="0" fontId="15" fillId="0" borderId="0" xfId="9" applyFont="1" applyAlignment="1">
      <alignment horizontal="center" vertical="center" wrapText="1"/>
    </xf>
    <xf numFmtId="0" fontId="15" fillId="0" borderId="2" xfId="0" applyFont="1" applyFill="1" applyBorder="1" applyAlignment="1">
      <alignment horizontal="right"/>
    </xf>
    <xf numFmtId="0" fontId="15" fillId="0" borderId="3" xfId="4" applyFont="1" applyBorder="1">
      <alignment vertical="center"/>
    </xf>
    <xf numFmtId="185" fontId="15" fillId="0" borderId="2" xfId="4" applyNumberFormat="1" applyFont="1" applyBorder="1" applyAlignment="1">
      <alignment horizontal="right" vertical="center"/>
    </xf>
    <xf numFmtId="0" fontId="31" fillId="0" borderId="3" xfId="4" applyFont="1" applyBorder="1">
      <alignment vertical="center"/>
    </xf>
    <xf numFmtId="3" fontId="31" fillId="0" borderId="2" xfId="4" applyNumberFormat="1" applyFont="1" applyBorder="1" applyAlignment="1">
      <alignment horizontal="right" vertical="center"/>
    </xf>
    <xf numFmtId="3" fontId="15" fillId="0" borderId="2" xfId="4" applyNumberFormat="1" applyFont="1" applyBorder="1" applyAlignment="1">
      <alignment horizontal="center" vertical="center"/>
    </xf>
    <xf numFmtId="3" fontId="15" fillId="0" borderId="11" xfId="4" applyNumberFormat="1" applyFont="1" applyBorder="1" applyAlignment="1">
      <alignment horizontal="center" vertical="center"/>
    </xf>
    <xf numFmtId="17" fontId="35" fillId="0" borderId="1" xfId="0" applyNumberFormat="1" applyFont="1" applyBorder="1"/>
    <xf numFmtId="0" fontId="31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5" fillId="0" borderId="22" xfId="0" applyFont="1" applyBorder="1" applyAlignment="1">
      <alignment horizontal="center" wrapText="1"/>
    </xf>
    <xf numFmtId="0" fontId="35" fillId="0" borderId="23" xfId="0" applyFont="1" applyBorder="1" applyAlignment="1">
      <alignment horizontal="center" wrapText="1"/>
    </xf>
    <xf numFmtId="4" fontId="15" fillId="0" borderId="2" xfId="4" applyNumberFormat="1" applyFont="1" applyFill="1" applyBorder="1" applyAlignment="1">
      <alignment horizontal="right" vertical="center"/>
    </xf>
    <xf numFmtId="3" fontId="31" fillId="0" borderId="2" xfId="4" applyNumberFormat="1" applyFont="1" applyFill="1" applyBorder="1" applyAlignment="1">
      <alignment horizontal="right" vertical="center"/>
    </xf>
    <xf numFmtId="3" fontId="15" fillId="0" borderId="2" xfId="4" applyNumberFormat="1" applyFont="1" applyFill="1" applyBorder="1" applyAlignment="1">
      <alignment horizontal="center" vertical="center"/>
    </xf>
    <xf numFmtId="0" fontId="31" fillId="0" borderId="3" xfId="4" applyFont="1" applyFill="1" applyBorder="1">
      <alignment vertical="center"/>
    </xf>
    <xf numFmtId="0" fontId="31" fillId="0" borderId="2" xfId="0" applyFont="1" applyBorder="1"/>
    <xf numFmtId="0" fontId="31" fillId="0" borderId="11" xfId="0" applyFont="1" applyBorder="1"/>
    <xf numFmtId="0" fontId="31" fillId="0" borderId="13" xfId="0" applyFont="1" applyBorder="1"/>
    <xf numFmtId="0" fontId="31" fillId="0" borderId="1" xfId="0" applyFont="1" applyBorder="1"/>
    <xf numFmtId="0" fontId="15" fillId="2" borderId="1" xfId="4" applyFont="1" applyFill="1" applyBorder="1">
      <alignment vertical="center"/>
    </xf>
    <xf numFmtId="0" fontId="15" fillId="0" borderId="0" xfId="4" applyFont="1">
      <alignment vertical="center"/>
    </xf>
    <xf numFmtId="0" fontId="31" fillId="0" borderId="0" xfId="4" applyFont="1">
      <alignment vertical="center"/>
    </xf>
    <xf numFmtId="3" fontId="31" fillId="0" borderId="0" xfId="9" applyNumberFormat="1" applyFont="1" applyAlignment="1">
      <alignment horizontal="right" vertical="center"/>
    </xf>
    <xf numFmtId="0" fontId="31" fillId="0" borderId="4" xfId="4" applyFont="1" applyBorder="1">
      <alignment vertical="center"/>
    </xf>
    <xf numFmtId="3" fontId="31" fillId="0" borderId="5" xfId="9" applyNumberFormat="1" applyFont="1" applyBorder="1" applyAlignment="1">
      <alignment horizontal="right" vertical="center"/>
    </xf>
    <xf numFmtId="3" fontId="31" fillId="0" borderId="2" xfId="9" applyNumberFormat="1" applyFont="1" applyBorder="1" applyAlignment="1">
      <alignment horizontal="right" vertical="center"/>
    </xf>
    <xf numFmtId="0" fontId="15" fillId="0" borderId="7" xfId="0" applyFont="1" applyBorder="1"/>
    <xf numFmtId="185" fontId="15" fillId="0" borderId="2" xfId="9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 wrapText="1"/>
    </xf>
    <xf numFmtId="189" fontId="15" fillId="0" borderId="2" xfId="9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188" fontId="15" fillId="0" borderId="2" xfId="9" applyNumberFormat="1" applyFont="1" applyBorder="1" applyAlignment="1">
      <alignment horizontal="right" vertical="center"/>
    </xf>
    <xf numFmtId="9" fontId="15" fillId="0" borderId="2" xfId="7" applyFont="1" applyFill="1" applyBorder="1" applyAlignment="1">
      <alignment horizontal="right" vertical="center"/>
    </xf>
    <xf numFmtId="190" fontId="15" fillId="0" borderId="2" xfId="9" applyNumberFormat="1" applyFont="1" applyBorder="1" applyAlignment="1">
      <alignment horizontal="right" vertical="center"/>
    </xf>
    <xf numFmtId="0" fontId="31" fillId="0" borderId="12" xfId="4" applyFont="1" applyBorder="1">
      <alignment vertical="center"/>
    </xf>
    <xf numFmtId="0" fontId="15" fillId="0" borderId="13" xfId="0" applyFont="1" applyBorder="1" applyAlignment="1">
      <alignment horizontal="center"/>
    </xf>
    <xf numFmtId="0" fontId="15" fillId="2" borderId="0" xfId="4" applyFont="1" applyFill="1">
      <alignment vertical="center"/>
    </xf>
    <xf numFmtId="0" fontId="58" fillId="0" borderId="0" xfId="4" applyFont="1" applyAlignment="1"/>
    <xf numFmtId="0" fontId="61" fillId="0" borderId="0" xfId="0" applyFont="1"/>
    <xf numFmtId="0" fontId="15" fillId="5" borderId="2" xfId="4" applyFont="1" applyFill="1" applyBorder="1" applyAlignment="1">
      <alignment horizontal="right"/>
    </xf>
    <xf numFmtId="2" fontId="15" fillId="5" borderId="2" xfId="4" applyNumberFormat="1" applyFont="1" applyFill="1" applyBorder="1" applyAlignment="1">
      <alignment horizontal="right"/>
    </xf>
    <xf numFmtId="9" fontId="15" fillId="5" borderId="2" xfId="0" applyNumberFormat="1" applyFont="1" applyFill="1" applyBorder="1"/>
    <xf numFmtId="185" fontId="15" fillId="5" borderId="2" xfId="0" applyNumberFormat="1" applyFont="1" applyFill="1" applyBorder="1"/>
    <xf numFmtId="184" fontId="15" fillId="0" borderId="2" xfId="9" applyNumberFormat="1" applyFont="1" applyBorder="1" applyAlignment="1">
      <alignment horizontal="right" vertical="center"/>
    </xf>
    <xf numFmtId="4" fontId="15" fillId="0" borderId="2" xfId="9" applyNumberFormat="1" applyFont="1" applyBorder="1" applyAlignment="1">
      <alignment horizontal="right" vertical="center"/>
    </xf>
    <xf numFmtId="3" fontId="15" fillId="0" borderId="2" xfId="9" applyNumberFormat="1" applyFont="1" applyBorder="1" applyAlignment="1">
      <alignment horizontal="right" vertical="center"/>
    </xf>
    <xf numFmtId="0" fontId="31" fillId="5" borderId="4" xfId="0" applyFont="1" applyFill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15" fillId="0" borderId="2" xfId="4" applyFont="1" applyBorder="1" applyAlignment="1">
      <alignment horizontal="right"/>
    </xf>
    <xf numFmtId="0" fontId="15" fillId="0" borderId="2" xfId="4" applyFont="1" applyBorder="1" applyAlignment="1">
      <alignment horizontal="right" vertical="center"/>
    </xf>
    <xf numFmtId="0" fontId="15" fillId="0" borderId="7" xfId="0" applyFont="1" applyBorder="1" applyAlignment="1">
      <alignment horizontal="center" wrapText="1"/>
    </xf>
    <xf numFmtId="9" fontId="15" fillId="5" borderId="2" xfId="0" applyNumberFormat="1" applyFont="1" applyFill="1" applyBorder="1" applyAlignment="1">
      <alignment horizontal="right"/>
    </xf>
    <xf numFmtId="0" fontId="35" fillId="0" borderId="7" xfId="0" applyFont="1" applyBorder="1" applyAlignment="1">
      <alignment horizontal="center" wrapText="1"/>
    </xf>
    <xf numFmtId="0" fontId="31" fillId="0" borderId="12" xfId="4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3" fontId="31" fillId="0" borderId="0" xfId="0" applyNumberFormat="1" applyFont="1" applyAlignment="1">
      <alignment horizontal="right"/>
    </xf>
    <xf numFmtId="0" fontId="58" fillId="0" borderId="0" xfId="0" applyFont="1" applyAlignment="1">
      <alignment horizontal="center"/>
    </xf>
    <xf numFmtId="17" fontId="35" fillId="0" borderId="4" xfId="0" applyNumberFormat="1" applyFont="1" applyBorder="1"/>
    <xf numFmtId="177" fontId="15" fillId="0" borderId="0" xfId="0" applyNumberFormat="1" applyFont="1" applyAlignment="1">
      <alignment horizontal="left"/>
    </xf>
    <xf numFmtId="185" fontId="15" fillId="0" borderId="2" xfId="11" applyNumberFormat="1" applyFont="1" applyBorder="1" applyAlignment="1">
      <alignment horizontal="center"/>
    </xf>
    <xf numFmtId="179" fontId="15" fillId="0" borderId="2" xfId="0" applyNumberFormat="1" applyFont="1" applyBorder="1"/>
    <xf numFmtId="17" fontId="31" fillId="0" borderId="3" xfId="4" applyNumberFormat="1" applyFont="1" applyFill="1" applyBorder="1">
      <alignment vertical="center"/>
    </xf>
    <xf numFmtId="3" fontId="31" fillId="0" borderId="0" xfId="0" applyNumberFormat="1" applyFont="1"/>
    <xf numFmtId="44" fontId="15" fillId="0" borderId="0" xfId="0" applyNumberFormat="1" applyFont="1" applyFill="1"/>
    <xf numFmtId="0" fontId="15" fillId="0" borderId="28" xfId="0" applyFont="1" applyBorder="1" applyAlignment="1">
      <alignment horizontal="center" vertical="center"/>
    </xf>
    <xf numFmtId="3" fontId="15" fillId="0" borderId="2" xfId="0" applyNumberFormat="1" applyFont="1" applyBorder="1"/>
    <xf numFmtId="0" fontId="15" fillId="0" borderId="3" xfId="5" applyFont="1" applyBorder="1">
      <alignment vertical="center"/>
    </xf>
    <xf numFmtId="3" fontId="15" fillId="0" borderId="2" xfId="11" applyNumberFormat="1" applyFont="1" applyFill="1" applyBorder="1" applyAlignment="1">
      <alignment horizontal="center" vertical="center"/>
    </xf>
    <xf numFmtId="4" fontId="15" fillId="0" borderId="2" xfId="5" applyNumberFormat="1" applyFont="1" applyBorder="1" applyAlignment="1">
      <alignment horizontal="center" vertical="center"/>
    </xf>
    <xf numFmtId="9" fontId="15" fillId="0" borderId="2" xfId="9" applyNumberFormat="1" applyFont="1" applyBorder="1" applyAlignment="1">
      <alignment horizontal="center" vertical="center"/>
    </xf>
    <xf numFmtId="0" fontId="15" fillId="0" borderId="2" xfId="5" applyFont="1" applyBorder="1" applyAlignment="1">
      <alignment horizontal="center" vertical="center"/>
    </xf>
    <xf numFmtId="0" fontId="31" fillId="0" borderId="3" xfId="5" applyFont="1" applyBorder="1">
      <alignment vertical="center"/>
    </xf>
    <xf numFmtId="176" fontId="15" fillId="0" borderId="2" xfId="5" applyNumberFormat="1" applyFont="1" applyBorder="1" applyAlignment="1">
      <alignment horizontal="center" vertical="center"/>
    </xf>
    <xf numFmtId="2" fontId="15" fillId="0" borderId="2" xfId="5" applyNumberFormat="1" applyFont="1" applyBorder="1" applyAlignment="1">
      <alignment horizontal="center" vertical="center"/>
    </xf>
    <xf numFmtId="0" fontId="31" fillId="0" borderId="12" xfId="5" applyFont="1" applyBorder="1">
      <alignment vertical="center"/>
    </xf>
    <xf numFmtId="0" fontId="15" fillId="0" borderId="0" xfId="5" applyFont="1">
      <alignment vertical="center"/>
    </xf>
    <xf numFmtId="177" fontId="47" fillId="0" borderId="0" xfId="5" applyNumberFormat="1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1" fillId="0" borderId="3" xfId="5" applyFont="1" applyBorder="1" applyAlignment="1"/>
    <xf numFmtId="1" fontId="31" fillId="0" borderId="9" xfId="5" applyNumberFormat="1" applyFont="1" applyBorder="1" applyAlignment="1">
      <alignment horizontal="center" vertical="center"/>
    </xf>
    <xf numFmtId="1" fontId="31" fillId="0" borderId="27" xfId="5" applyNumberFormat="1" applyFont="1" applyBorder="1" applyAlignment="1">
      <alignment horizontal="center" vertical="center"/>
    </xf>
    <xf numFmtId="1" fontId="15" fillId="0" borderId="9" xfId="5" applyNumberFormat="1" applyFont="1" applyBorder="1" applyAlignment="1">
      <alignment horizontal="center" vertical="center"/>
    </xf>
    <xf numFmtId="1" fontId="15" fillId="0" borderId="27" xfId="5" applyNumberFormat="1" applyFont="1" applyBorder="1" applyAlignment="1">
      <alignment horizontal="center" vertical="center"/>
    </xf>
    <xf numFmtId="17" fontId="31" fillId="0" borderId="3" xfId="5" applyNumberFormat="1" applyFont="1" applyBorder="1">
      <alignment vertical="center"/>
    </xf>
    <xf numFmtId="0" fontId="15" fillId="0" borderId="3" xfId="0" applyFont="1" applyBorder="1" applyAlignment="1">
      <alignment horizontal="left"/>
    </xf>
    <xf numFmtId="0" fontId="15" fillId="0" borderId="3" xfId="9" applyFont="1" applyBorder="1">
      <alignment vertical="center"/>
    </xf>
    <xf numFmtId="4" fontId="15" fillId="0" borderId="2" xfId="8" applyNumberFormat="1" applyFont="1" applyBorder="1" applyAlignment="1">
      <alignment horizontal="center"/>
    </xf>
    <xf numFmtId="0" fontId="28" fillId="0" borderId="2" xfId="5" applyFont="1" applyBorder="1" applyAlignment="1">
      <alignment horizontal="center" vertical="center"/>
    </xf>
    <xf numFmtId="9" fontId="15" fillId="0" borderId="2" xfId="5" applyNumberFormat="1" applyFont="1" applyBorder="1" applyAlignment="1">
      <alignment horizontal="center" vertical="center"/>
    </xf>
    <xf numFmtId="0" fontId="31" fillId="0" borderId="4" xfId="0" applyFont="1" applyBorder="1"/>
    <xf numFmtId="178" fontId="15" fillId="0" borderId="0" xfId="0" applyNumberFormat="1" applyFont="1"/>
    <xf numFmtId="17" fontId="35" fillId="0" borderId="0" xfId="0" applyNumberFormat="1" applyFont="1" applyBorder="1"/>
    <xf numFmtId="3" fontId="31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77" fontId="31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61" fillId="0" borderId="0" xfId="4" applyFont="1">
      <alignment vertical="center"/>
    </xf>
    <xf numFmtId="0" fontId="61" fillId="0" borderId="0" xfId="8" applyFont="1" applyAlignment="1">
      <alignment horizontal="center"/>
    </xf>
    <xf numFmtId="0" fontId="61" fillId="0" borderId="0" xfId="4" applyFont="1" applyAlignment="1">
      <alignment horizontal="center" vertical="center"/>
    </xf>
    <xf numFmtId="0" fontId="61" fillId="0" borderId="0" xfId="0" applyFont="1" applyAlignment="1">
      <alignment horizontal="left"/>
    </xf>
    <xf numFmtId="177" fontId="61" fillId="0" borderId="0" xfId="11" applyNumberFormat="1" applyFont="1" applyFill="1" applyBorder="1" applyAlignment="1">
      <alignment horizontal="center" vertical="center"/>
    </xf>
    <xf numFmtId="0" fontId="61" fillId="0" borderId="0" xfId="9" applyFont="1">
      <alignment vertical="center"/>
    </xf>
    <xf numFmtId="0" fontId="61" fillId="0" borderId="0" xfId="9" applyFont="1" applyAlignment="1">
      <alignment horizontal="center" vertical="center"/>
    </xf>
    <xf numFmtId="9" fontId="61" fillId="0" borderId="0" xfId="9" applyNumberFormat="1" applyFont="1" applyAlignment="1">
      <alignment horizontal="center" vertical="center"/>
    </xf>
    <xf numFmtId="0" fontId="58" fillId="0" borderId="0" xfId="4" applyFont="1">
      <alignment vertical="center"/>
    </xf>
    <xf numFmtId="176" fontId="58" fillId="0" borderId="0" xfId="4" applyNumberFormat="1" applyFont="1" applyAlignment="1">
      <alignment horizontal="center" vertical="center"/>
    </xf>
    <xf numFmtId="177" fontId="58" fillId="0" borderId="0" xfId="0" applyNumberFormat="1" applyFont="1" applyAlignment="1">
      <alignment horizontal="center"/>
    </xf>
    <xf numFmtId="194" fontId="15" fillId="0" borderId="0" xfId="0" applyNumberFormat="1" applyFont="1"/>
    <xf numFmtId="183" fontId="15" fillId="0" borderId="11" xfId="0" applyNumberFormat="1" applyFont="1" applyBorder="1" applyAlignment="1">
      <alignment horizontal="center"/>
    </xf>
    <xf numFmtId="1" fontId="15" fillId="0" borderId="11" xfId="0" applyNumberFormat="1" applyFont="1" applyBorder="1" applyAlignment="1">
      <alignment horizontal="center"/>
    </xf>
    <xf numFmtId="176" fontId="15" fillId="0" borderId="2" xfId="1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2" fillId="0" borderId="8" xfId="0" applyFont="1" applyBorder="1" applyAlignment="1">
      <alignment vertical="center"/>
    </xf>
    <xf numFmtId="0" fontId="7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30" fillId="0" borderId="9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 wrapText="1"/>
    </xf>
    <xf numFmtId="17" fontId="17" fillId="4" borderId="8" xfId="0" applyNumberFormat="1" applyFont="1" applyFill="1" applyBorder="1" applyAlignment="1">
      <alignment horizontal="right" vertical="center"/>
    </xf>
    <xf numFmtId="1" fontId="59" fillId="0" borderId="2" xfId="0" applyNumberFormat="1" applyFont="1" applyBorder="1" applyAlignment="1">
      <alignment horizontal="center" vertical="center"/>
    </xf>
    <xf numFmtId="179" fontId="17" fillId="6" borderId="2" xfId="0" applyNumberFormat="1" applyFont="1" applyFill="1" applyBorder="1" applyAlignment="1">
      <alignment horizontal="center" vertical="center"/>
    </xf>
    <xf numFmtId="191" fontId="17" fillId="6" borderId="2" xfId="0" applyNumberFormat="1" applyFont="1" applyFill="1" applyBorder="1" applyAlignment="1">
      <alignment horizontal="center" vertical="center" wrapText="1"/>
    </xf>
    <xf numFmtId="191" fontId="15" fillId="6" borderId="2" xfId="0" applyNumberFormat="1" applyFont="1" applyFill="1" applyBorder="1" applyAlignment="1">
      <alignment horizontal="center" vertical="center"/>
    </xf>
    <xf numFmtId="179" fontId="17" fillId="7" borderId="2" xfId="0" applyNumberFormat="1" applyFont="1" applyFill="1" applyBorder="1" applyAlignment="1">
      <alignment horizontal="center" vertical="center"/>
    </xf>
    <xf numFmtId="1" fontId="17" fillId="7" borderId="2" xfId="0" applyNumberFormat="1" applyFont="1" applyFill="1" applyBorder="1" applyAlignment="1">
      <alignment horizontal="center" vertical="center" wrapText="1"/>
    </xf>
    <xf numFmtId="2" fontId="17" fillId="7" borderId="2" xfId="0" applyNumberFormat="1" applyFont="1" applyFill="1" applyBorder="1" applyAlignment="1">
      <alignment horizontal="center" vertical="center" wrapText="1"/>
    </xf>
    <xf numFmtId="191" fontId="17" fillId="7" borderId="2" xfId="0" applyNumberFormat="1" applyFont="1" applyFill="1" applyBorder="1" applyAlignment="1">
      <alignment horizontal="center" vertical="center" wrapText="1"/>
    </xf>
    <xf numFmtId="2" fontId="17" fillId="6" borderId="2" xfId="0" applyNumberFormat="1" applyFont="1" applyFill="1" applyBorder="1" applyAlignment="1">
      <alignment horizontal="center" vertical="center"/>
    </xf>
    <xf numFmtId="191" fontId="17" fillId="7" borderId="2" xfId="0" applyNumberFormat="1" applyFont="1" applyFill="1" applyBorder="1" applyAlignment="1">
      <alignment horizontal="center" vertical="center"/>
    </xf>
    <xf numFmtId="191" fontId="15" fillId="7" borderId="2" xfId="0" applyNumberFormat="1" applyFont="1" applyFill="1" applyBorder="1" applyAlignment="1">
      <alignment horizontal="center" vertical="center"/>
    </xf>
    <xf numFmtId="192" fontId="17" fillId="6" borderId="2" xfId="0" applyNumberFormat="1" applyFont="1" applyFill="1" applyBorder="1" applyAlignment="1">
      <alignment horizontal="center" vertical="center"/>
    </xf>
    <xf numFmtId="192" fontId="17" fillId="6" borderId="2" xfId="0" applyNumberFormat="1" applyFont="1" applyFill="1" applyBorder="1" applyAlignment="1">
      <alignment horizontal="center" vertical="center" wrapText="1"/>
    </xf>
    <xf numFmtId="179" fontId="17" fillId="8" borderId="27" xfId="0" applyNumberFormat="1" applyFont="1" applyFill="1" applyBorder="1" applyAlignment="1">
      <alignment vertical="center"/>
    </xf>
    <xf numFmtId="186" fontId="17" fillId="8" borderId="2" xfId="0" applyNumberFormat="1" applyFont="1" applyFill="1" applyBorder="1" applyAlignment="1">
      <alignment horizontal="center" vertical="center"/>
    </xf>
    <xf numFmtId="1" fontId="17" fillId="7" borderId="2" xfId="0" applyNumberFormat="1" applyFont="1" applyFill="1" applyBorder="1" applyAlignment="1">
      <alignment horizontal="center" vertical="center"/>
    </xf>
    <xf numFmtId="178" fontId="17" fillId="7" borderId="2" xfId="0" applyNumberFormat="1" applyFont="1" applyFill="1" applyBorder="1" applyAlignment="1">
      <alignment horizontal="center" vertical="center"/>
    </xf>
    <xf numFmtId="186" fontId="17" fillId="6" borderId="2" xfId="0" applyNumberFormat="1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178" fontId="72" fillId="0" borderId="0" xfId="0" applyNumberFormat="1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5" borderId="2" xfId="0" applyFont="1" applyFill="1" applyBorder="1" applyAlignment="1">
      <alignment horizontal="center" vertical="center"/>
    </xf>
    <xf numFmtId="179" fontId="17" fillId="0" borderId="10" xfId="0" applyNumberFormat="1" applyFont="1" applyBorder="1" applyAlignment="1">
      <alignment vertical="center"/>
    </xf>
    <xf numFmtId="179" fontId="17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179" fontId="17" fillId="0" borderId="0" xfId="0" applyNumberFormat="1" applyFont="1" applyAlignment="1">
      <alignment horizontal="left" vertical="center"/>
    </xf>
    <xf numFmtId="179" fontId="17" fillId="0" borderId="10" xfId="0" applyNumberFormat="1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86" fontId="30" fillId="0" borderId="2" xfId="0" applyNumberFormat="1" applyFont="1" applyBorder="1" applyAlignment="1">
      <alignment horizontal="center" vertical="center"/>
    </xf>
    <xf numFmtId="179" fontId="17" fillId="0" borderId="0" xfId="0" applyNumberFormat="1" applyFont="1" applyAlignment="1">
      <alignment vertical="center" wrapText="1"/>
    </xf>
    <xf numFmtId="179" fontId="17" fillId="0" borderId="0" xfId="0" applyNumberFormat="1" applyFont="1" applyAlignment="1">
      <alignment horizontal="left" vertical="center" wrapText="1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horizontal="left" vertical="center" wrapText="1"/>
    </xf>
    <xf numFmtId="0" fontId="59" fillId="0" borderId="2" xfId="0" applyFont="1" applyBorder="1" applyAlignment="1">
      <alignment vertical="center"/>
    </xf>
    <xf numFmtId="0" fontId="30" fillId="5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59" fillId="0" borderId="2" xfId="0" applyFont="1" applyBorder="1" applyAlignment="1">
      <alignment horizontal="right" vertical="center"/>
    </xf>
    <xf numFmtId="186" fontId="59" fillId="5" borderId="2" xfId="0" applyNumberFormat="1" applyFont="1" applyFill="1" applyBorder="1" applyAlignment="1">
      <alignment horizontal="center" vertical="center"/>
    </xf>
    <xf numFmtId="179" fontId="59" fillId="5" borderId="2" xfId="0" applyNumberFormat="1" applyFont="1" applyFill="1" applyBorder="1" applyAlignment="1">
      <alignment horizontal="center" vertical="center"/>
    </xf>
    <xf numFmtId="186" fontId="59" fillId="0" borderId="2" xfId="0" applyNumberFormat="1" applyFont="1" applyBorder="1" applyAlignment="1">
      <alignment horizontal="center" vertical="center"/>
    </xf>
    <xf numFmtId="10" fontId="59" fillId="0" borderId="2" xfId="0" applyNumberFormat="1" applyFont="1" applyBorder="1" applyAlignment="1">
      <alignment horizontal="center" vertical="center"/>
    </xf>
    <xf numFmtId="1" fontId="59" fillId="0" borderId="0" xfId="0" applyNumberFormat="1" applyFont="1" applyAlignment="1">
      <alignment vertical="center"/>
    </xf>
    <xf numFmtId="179" fontId="15" fillId="0" borderId="11" xfId="0" applyNumberFormat="1" applyFont="1" applyBorder="1"/>
    <xf numFmtId="44" fontId="15" fillId="0" borderId="0" xfId="0" applyNumberFormat="1" applyFont="1" applyBorder="1"/>
    <xf numFmtId="197" fontId="15" fillId="0" borderId="11" xfId="0" applyNumberFormat="1" applyFont="1" applyBorder="1"/>
    <xf numFmtId="2" fontId="15" fillId="0" borderId="11" xfId="11" applyNumberFormat="1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/>
    <xf numFmtId="183" fontId="15" fillId="0" borderId="7" xfId="0" applyNumberFormat="1" applyFont="1" applyBorder="1" applyAlignment="1">
      <alignment horizontal="center"/>
    </xf>
    <xf numFmtId="183" fontId="15" fillId="0" borderId="13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94" fontId="31" fillId="0" borderId="0" xfId="0" applyNumberFormat="1" applyFont="1"/>
    <xf numFmtId="14" fontId="0" fillId="0" borderId="0" xfId="0" applyNumberFormat="1"/>
    <xf numFmtId="0" fontId="1" fillId="0" borderId="0" xfId="14"/>
    <xf numFmtId="0" fontId="12" fillId="11" borderId="2" xfId="14" applyFont="1" applyFill="1" applyBorder="1"/>
    <xf numFmtId="0" fontId="12" fillId="11" borderId="2" xfId="14" applyFont="1" applyFill="1" applyBorder="1" applyAlignment="1">
      <alignment horizontal="center" vertical="center"/>
    </xf>
    <xf numFmtId="0" fontId="12" fillId="11" borderId="2" xfId="14" applyFont="1" applyFill="1" applyBorder="1" applyAlignment="1">
      <alignment vertical="center"/>
    </xf>
    <xf numFmtId="183" fontId="12" fillId="11" borderId="14" xfId="14" applyNumberFormat="1" applyFont="1" applyFill="1" applyBorder="1" applyAlignment="1">
      <alignment vertical="center"/>
    </xf>
    <xf numFmtId="183" fontId="12" fillId="11" borderId="2" xfId="14" applyNumberFormat="1" applyFont="1" applyFill="1" applyBorder="1" applyAlignment="1">
      <alignment vertical="center"/>
    </xf>
    <xf numFmtId="0" fontId="12" fillId="12" borderId="2" xfId="14" applyFont="1" applyFill="1" applyBorder="1"/>
    <xf numFmtId="0" fontId="12" fillId="12" borderId="2" xfId="14" applyFont="1" applyFill="1" applyBorder="1" applyAlignment="1">
      <alignment horizontal="center" vertical="center"/>
    </xf>
    <xf numFmtId="0" fontId="12" fillId="12" borderId="2" xfId="14" applyFont="1" applyFill="1" applyBorder="1" applyAlignment="1">
      <alignment vertical="center"/>
    </xf>
    <xf numFmtId="183" fontId="12" fillId="12" borderId="2" xfId="14" applyNumberFormat="1" applyFont="1" applyFill="1" applyBorder="1" applyAlignment="1">
      <alignment vertical="center"/>
    </xf>
    <xf numFmtId="0" fontId="12" fillId="13" borderId="2" xfId="14" applyFont="1" applyFill="1" applyBorder="1"/>
    <xf numFmtId="0" fontId="12" fillId="13" borderId="2" xfId="14" applyFont="1" applyFill="1" applyBorder="1" applyAlignment="1">
      <alignment horizontal="center" vertical="center"/>
    </xf>
    <xf numFmtId="0" fontId="12" fillId="13" borderId="2" xfId="14" applyFont="1" applyFill="1" applyBorder="1" applyAlignment="1">
      <alignment vertical="center"/>
    </xf>
    <xf numFmtId="183" fontId="12" fillId="13" borderId="2" xfId="14" applyNumberFormat="1" applyFont="1" applyFill="1" applyBorder="1" applyAlignment="1">
      <alignment vertical="center"/>
    </xf>
    <xf numFmtId="0" fontId="12" fillId="14" borderId="2" xfId="14" applyFont="1" applyFill="1" applyBorder="1"/>
    <xf numFmtId="0" fontId="12" fillId="14" borderId="2" xfId="14" applyFont="1" applyFill="1" applyBorder="1" applyAlignment="1">
      <alignment horizontal="center" vertical="center"/>
    </xf>
    <xf numFmtId="0" fontId="12" fillId="14" borderId="2" xfId="14" applyFont="1" applyFill="1" applyBorder="1" applyAlignment="1">
      <alignment vertical="center"/>
    </xf>
    <xf numFmtId="183" fontId="12" fillId="14" borderId="2" xfId="14" applyNumberFormat="1" applyFont="1" applyFill="1" applyBorder="1" applyAlignment="1">
      <alignment vertical="center"/>
    </xf>
    <xf numFmtId="0" fontId="12" fillId="15" borderId="2" xfId="14" applyFont="1" applyFill="1" applyBorder="1"/>
    <xf numFmtId="0" fontId="12" fillId="15" borderId="2" xfId="14" applyFont="1" applyFill="1" applyBorder="1" applyAlignment="1">
      <alignment horizontal="center" vertical="center"/>
    </xf>
    <xf numFmtId="0" fontId="12" fillId="15" borderId="2" xfId="14" applyFont="1" applyFill="1" applyBorder="1" applyAlignment="1">
      <alignment vertical="center"/>
    </xf>
    <xf numFmtId="0" fontId="82" fillId="15" borderId="2" xfId="14" applyFont="1" applyFill="1" applyBorder="1"/>
    <xf numFmtId="183" fontId="12" fillId="15" borderId="2" xfId="14" applyNumberFormat="1" applyFont="1" applyFill="1" applyBorder="1" applyAlignment="1">
      <alignment vertical="center"/>
    </xf>
    <xf numFmtId="0" fontId="1" fillId="15" borderId="2" xfId="14" applyFill="1" applyBorder="1"/>
    <xf numFmtId="0" fontId="12" fillId="16" borderId="2" xfId="14" applyFont="1" applyFill="1" applyBorder="1"/>
    <xf numFmtId="0" fontId="12" fillId="16" borderId="2" xfId="14" applyFont="1" applyFill="1" applyBorder="1" applyAlignment="1">
      <alignment horizontal="center" vertical="center"/>
    </xf>
    <xf numFmtId="0" fontId="12" fillId="16" borderId="2" xfId="14" applyFont="1" applyFill="1" applyBorder="1" applyAlignment="1">
      <alignment vertical="center"/>
    </xf>
    <xf numFmtId="0" fontId="82" fillId="16" borderId="2" xfId="14" applyFont="1" applyFill="1" applyBorder="1"/>
    <xf numFmtId="183" fontId="12" fillId="16" borderId="2" xfId="14" applyNumberFormat="1" applyFont="1" applyFill="1" applyBorder="1" applyAlignment="1">
      <alignment vertical="center"/>
    </xf>
    <xf numFmtId="0" fontId="12" fillId="6" borderId="2" xfId="14" applyFont="1" applyFill="1" applyBorder="1"/>
    <xf numFmtId="0" fontId="12" fillId="6" borderId="2" xfId="14" applyFont="1" applyFill="1" applyBorder="1" applyAlignment="1">
      <alignment horizontal="center" vertical="center"/>
    </xf>
    <xf numFmtId="0" fontId="12" fillId="6" borderId="2" xfId="14" applyFont="1" applyFill="1" applyBorder="1" applyAlignment="1">
      <alignment vertical="center"/>
    </xf>
    <xf numFmtId="0" fontId="82" fillId="6" borderId="2" xfId="14" applyFont="1" applyFill="1" applyBorder="1"/>
    <xf numFmtId="183" fontId="83" fillId="6" borderId="2" xfId="14" applyNumberFormat="1" applyFont="1" applyFill="1" applyBorder="1" applyAlignment="1">
      <alignment vertical="center"/>
    </xf>
    <xf numFmtId="0" fontId="1" fillId="6" borderId="2" xfId="14" applyFill="1" applyBorder="1"/>
    <xf numFmtId="0" fontId="1" fillId="6" borderId="14" xfId="14" applyFill="1" applyBorder="1"/>
    <xf numFmtId="0" fontId="12" fillId="16" borderId="14" xfId="14" applyFont="1" applyFill="1" applyBorder="1" applyAlignment="1">
      <alignment vertical="center"/>
    </xf>
    <xf numFmtId="0" fontId="12" fillId="0" borderId="2" xfId="14" applyFont="1" applyBorder="1" applyAlignment="1">
      <alignment horizontal="center" vertical="center"/>
    </xf>
    <xf numFmtId="0" fontId="12" fillId="0" borderId="2" xfId="14" applyFont="1" applyBorder="1" applyAlignment="1">
      <alignment vertical="center"/>
    </xf>
    <xf numFmtId="183" fontId="12" fillId="0" borderId="2" xfId="14" applyNumberFormat="1" applyFont="1" applyBorder="1" applyAlignment="1">
      <alignment horizontal="center" vertical="center"/>
    </xf>
    <xf numFmtId="0" fontId="71" fillId="0" borderId="2" xfId="14" applyFont="1" applyBorder="1" applyAlignment="1">
      <alignment horizontal="center" vertical="center"/>
    </xf>
    <xf numFmtId="186" fontId="17" fillId="7" borderId="2" xfId="0" applyNumberFormat="1" applyFont="1" applyFill="1" applyBorder="1" applyAlignment="1">
      <alignment horizontal="center" vertical="center"/>
    </xf>
    <xf numFmtId="179" fontId="15" fillId="0" borderId="0" xfId="0" applyNumberFormat="1" applyFont="1" applyBorder="1"/>
    <xf numFmtId="0" fontId="0" fillId="0" borderId="0" xfId="0" applyAlignment="1">
      <alignment wrapText="1"/>
    </xf>
    <xf numFmtId="0" fontId="17" fillId="0" borderId="0" xfId="0" applyFont="1" applyAlignment="1">
      <alignment horizontal="center"/>
    </xf>
    <xf numFmtId="10" fontId="17" fillId="0" borderId="0" xfId="7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0" fontId="15" fillId="0" borderId="0" xfId="0" applyFont="1"/>
    <xf numFmtId="0" fontId="31" fillId="0" borderId="5" xfId="0" applyFont="1" applyBorder="1" applyAlignment="1">
      <alignment horizontal="center"/>
    </xf>
    <xf numFmtId="0" fontId="84" fillId="0" borderId="2" xfId="0" applyFont="1" applyBorder="1" applyAlignment="1">
      <alignment horizontal="left" vertical="center" wrapText="1"/>
    </xf>
    <xf numFmtId="0" fontId="84" fillId="0" borderId="2" xfId="0" applyFont="1" applyBorder="1" applyAlignment="1">
      <alignment horizontal="left" vertical="center"/>
    </xf>
    <xf numFmtId="192" fontId="15" fillId="0" borderId="2" xfId="0" applyNumberFormat="1" applyFont="1" applyFill="1" applyBorder="1" applyAlignment="1">
      <alignment horizontal="center"/>
    </xf>
    <xf numFmtId="2" fontId="15" fillId="0" borderId="0" xfId="0" applyNumberFormat="1" applyFont="1"/>
    <xf numFmtId="198" fontId="15" fillId="0" borderId="0" xfId="0" applyNumberFormat="1" applyFont="1"/>
    <xf numFmtId="0" fontId="18" fillId="0" borderId="4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7" fontId="87" fillId="0" borderId="3" xfId="0" applyNumberFormat="1" applyFont="1" applyBorder="1" applyAlignment="1">
      <alignment horizontal="center" vertical="center"/>
    </xf>
    <xf numFmtId="196" fontId="17" fillId="0" borderId="2" xfId="0" applyNumberFormat="1" applyFont="1" applyBorder="1" applyAlignment="1">
      <alignment horizontal="center" vertical="center"/>
    </xf>
    <xf numFmtId="196" fontId="17" fillId="5" borderId="2" xfId="0" applyNumberFormat="1" applyFont="1" applyFill="1" applyBorder="1" applyAlignment="1">
      <alignment horizontal="center" vertical="center"/>
    </xf>
    <xf numFmtId="196" fontId="17" fillId="0" borderId="2" xfId="0" applyNumberFormat="1" applyFont="1" applyBorder="1" applyAlignment="1">
      <alignment horizontal="center" vertical="center" wrapText="1"/>
    </xf>
    <xf numFmtId="196" fontId="17" fillId="0" borderId="7" xfId="0" applyNumberFormat="1" applyFont="1" applyBorder="1" applyAlignment="1">
      <alignment horizontal="center" vertical="center"/>
    </xf>
    <xf numFmtId="196" fontId="17" fillId="0" borderId="3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96" fontId="17" fillId="0" borderId="11" xfId="0" applyNumberFormat="1" applyFont="1" applyBorder="1" applyAlignment="1">
      <alignment horizontal="center" vertical="center"/>
    </xf>
    <xf numFmtId="196" fontId="17" fillId="0" borderId="13" xfId="0" applyNumberFormat="1" applyFont="1" applyBorder="1" applyAlignment="1">
      <alignment horizontal="center" vertical="center"/>
    </xf>
    <xf numFmtId="0" fontId="15" fillId="0" borderId="7" xfId="4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5" fillId="0" borderId="14" xfId="0" applyFont="1" applyBorder="1"/>
    <xf numFmtId="3" fontId="31" fillId="0" borderId="11" xfId="4" applyNumberFormat="1" applyFont="1" applyBorder="1" applyAlignment="1">
      <alignment horizontal="right" vertical="center"/>
    </xf>
    <xf numFmtId="0" fontId="15" fillId="0" borderId="0" xfId="0" applyFont="1"/>
    <xf numFmtId="3" fontId="31" fillId="0" borderId="2" xfId="0" applyNumberFormat="1" applyFont="1" applyBorder="1" applyAlignment="1">
      <alignment horizontal="center"/>
    </xf>
    <xf numFmtId="177" fontId="31" fillId="0" borderId="11" xfId="11" applyNumberFormat="1" applyFont="1" applyBorder="1"/>
    <xf numFmtId="0" fontId="90" fillId="0" borderId="0" xfId="0" applyFont="1"/>
    <xf numFmtId="0" fontId="15" fillId="0" borderId="2" xfId="0" applyFont="1" applyFill="1" applyBorder="1" applyAlignment="1">
      <alignment horizontal="center"/>
    </xf>
    <xf numFmtId="3" fontId="15" fillId="0" borderId="2" xfId="11" applyNumberFormat="1" applyFont="1" applyFill="1" applyBorder="1" applyAlignment="1">
      <alignment horizontal="right"/>
    </xf>
    <xf numFmtId="3" fontId="30" fillId="3" borderId="0" xfId="0" applyNumberFormat="1" applyFont="1" applyFill="1" applyAlignment="1">
      <alignment horizontal="left"/>
    </xf>
    <xf numFmtId="177" fontId="15" fillId="0" borderId="5" xfId="0" applyNumberFormat="1" applyFont="1" applyBorder="1" applyAlignment="1">
      <alignment horizontal="center"/>
    </xf>
    <xf numFmtId="3" fontId="15" fillId="0" borderId="6" xfId="0" applyNumberFormat="1" applyFont="1" applyFill="1" applyBorder="1" applyAlignment="1">
      <alignment horizontal="left"/>
    </xf>
    <xf numFmtId="177" fontId="15" fillId="0" borderId="2" xfId="0" applyNumberFormat="1" applyFont="1" applyBorder="1" applyAlignment="1">
      <alignment horizontal="center"/>
    </xf>
    <xf numFmtId="3" fontId="15" fillId="0" borderId="7" xfId="0" applyNumberFormat="1" applyFont="1" applyFill="1" applyBorder="1" applyAlignment="1">
      <alignment horizontal="left"/>
    </xf>
    <xf numFmtId="177" fontId="15" fillId="0" borderId="11" xfId="0" applyNumberFormat="1" applyFont="1" applyBorder="1"/>
    <xf numFmtId="3" fontId="15" fillId="0" borderId="13" xfId="0" applyNumberFormat="1" applyFont="1" applyFill="1" applyBorder="1" applyAlignment="1">
      <alignment horizontal="left"/>
    </xf>
    <xf numFmtId="17" fontId="33" fillId="0" borderId="12" xfId="0" applyNumberFormat="1" applyFont="1" applyBorder="1"/>
    <xf numFmtId="177" fontId="15" fillId="0" borderId="11" xfId="0" applyNumberFormat="1" applyFont="1" applyBorder="1" applyAlignment="1">
      <alignment horizontal="center"/>
    </xf>
    <xf numFmtId="185" fontId="15" fillId="0" borderId="2" xfId="9" applyNumberFormat="1" applyFont="1" applyFill="1" applyBorder="1" applyAlignment="1">
      <alignment horizontal="right" vertical="center"/>
    </xf>
    <xf numFmtId="4" fontId="15" fillId="0" borderId="2" xfId="9" applyNumberFormat="1" applyFont="1" applyFill="1" applyBorder="1" applyAlignment="1">
      <alignment horizontal="right" vertical="center"/>
    </xf>
    <xf numFmtId="3" fontId="31" fillId="3" borderId="0" xfId="0" applyNumberFormat="1" applyFont="1" applyFill="1" applyAlignment="1">
      <alignment horizontal="left" wrapText="1"/>
    </xf>
    <xf numFmtId="17" fontId="35" fillId="0" borderId="12" xfId="0" applyNumberFormat="1" applyFont="1" applyBorder="1"/>
    <xf numFmtId="0" fontId="30" fillId="0" borderId="4" xfId="0" applyFont="1" applyBorder="1"/>
    <xf numFmtId="3" fontId="55" fillId="3" borderId="5" xfId="0" applyNumberFormat="1" applyFont="1" applyFill="1" applyBorder="1" applyAlignment="1">
      <alignment horizontal="center" wrapText="1"/>
    </xf>
    <xf numFmtId="3" fontId="15" fillId="0" borderId="11" xfId="0" applyNumberFormat="1" applyFont="1" applyBorder="1"/>
    <xf numFmtId="17" fontId="31" fillId="0" borderId="12" xfId="0" applyNumberFormat="1" applyFont="1" applyBorder="1"/>
    <xf numFmtId="3" fontId="31" fillId="0" borderId="5" xfId="0" applyNumberFormat="1" applyFont="1" applyBorder="1" applyAlignment="1">
      <alignment horizontal="center"/>
    </xf>
    <xf numFmtId="3" fontId="31" fillId="0" borderId="11" xfId="0" applyNumberFormat="1" applyFont="1" applyBorder="1" applyAlignment="1">
      <alignment horizontal="center"/>
    </xf>
    <xf numFmtId="177" fontId="31" fillId="0" borderId="5" xfId="0" applyNumberFormat="1" applyFont="1" applyBorder="1" applyAlignment="1">
      <alignment horizontal="center"/>
    </xf>
    <xf numFmtId="177" fontId="31" fillId="0" borderId="2" xfId="0" applyNumberFormat="1" applyFont="1" applyBorder="1" applyAlignment="1">
      <alignment horizontal="center"/>
    </xf>
    <xf numFmtId="177" fontId="31" fillId="0" borderId="11" xfId="0" applyNumberFormat="1" applyFont="1" applyBorder="1" applyAlignment="1">
      <alignment horizontal="center"/>
    </xf>
    <xf numFmtId="3" fontId="55" fillId="3" borderId="6" xfId="0" applyNumberFormat="1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vertical="center"/>
    </xf>
    <xf numFmtId="0" fontId="18" fillId="9" borderId="16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15" fillId="0" borderId="0" xfId="0" applyFont="1"/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3" fontId="31" fillId="0" borderId="2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177" fontId="31" fillId="0" borderId="11" xfId="11" applyNumberFormat="1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5" fillId="0" borderId="16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3" fontId="31" fillId="0" borderId="9" xfId="0" applyNumberFormat="1" applyFont="1" applyBorder="1" applyAlignment="1">
      <alignment horizontal="center"/>
    </xf>
    <xf numFmtId="3" fontId="31" fillId="0" borderId="27" xfId="0" applyNumberFormat="1" applyFont="1" applyBorder="1" applyAlignment="1">
      <alignment horizontal="center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/>
    </xf>
    <xf numFmtId="3" fontId="31" fillId="0" borderId="11" xfId="9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center"/>
    </xf>
    <xf numFmtId="3" fontId="31" fillId="0" borderId="27" xfId="0" applyNumberFormat="1" applyFont="1" applyFill="1" applyBorder="1" applyAlignment="1">
      <alignment horizontal="center"/>
    </xf>
    <xf numFmtId="3" fontId="31" fillId="0" borderId="11" xfId="0" applyNumberFormat="1" applyFont="1" applyFill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5" fillId="0" borderId="2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3" fontId="15" fillId="0" borderId="2" xfId="4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3" fontId="31" fillId="0" borderId="2" xfId="9" applyNumberFormat="1" applyFont="1" applyFill="1" applyBorder="1" applyAlignment="1">
      <alignment horizontal="center" vertical="center"/>
    </xf>
    <xf numFmtId="3" fontId="31" fillId="0" borderId="11" xfId="9" applyNumberFormat="1" applyFont="1" applyFill="1" applyBorder="1" applyAlignment="1">
      <alignment horizontal="center" vertical="center"/>
    </xf>
    <xf numFmtId="3" fontId="31" fillId="0" borderId="9" xfId="9" applyNumberFormat="1" applyFont="1" applyFill="1" applyBorder="1" applyAlignment="1">
      <alignment horizontal="center" vertical="center"/>
    </xf>
    <xf numFmtId="3" fontId="31" fillId="0" borderId="27" xfId="9" applyNumberFormat="1" applyFont="1" applyFill="1" applyBorder="1" applyAlignment="1">
      <alignment horizontal="center" vertical="center"/>
    </xf>
    <xf numFmtId="185" fontId="15" fillId="0" borderId="2" xfId="0" applyNumberFormat="1" applyFont="1" applyFill="1" applyBorder="1" applyAlignment="1">
      <alignment horizontal="center"/>
    </xf>
    <xf numFmtId="4" fontId="31" fillId="0" borderId="9" xfId="9" applyNumberFormat="1" applyFont="1" applyFill="1" applyBorder="1" applyAlignment="1">
      <alignment horizontal="center" vertical="center"/>
    </xf>
    <xf numFmtId="4" fontId="31" fillId="0" borderId="27" xfId="9" applyNumberFormat="1" applyFont="1" applyFill="1" applyBorder="1" applyAlignment="1">
      <alignment horizontal="center" vertical="center"/>
    </xf>
    <xf numFmtId="0" fontId="15" fillId="0" borderId="2" xfId="9" applyFont="1" applyBorder="1" applyAlignment="1">
      <alignment horizontal="center" vertical="center" wrapText="1"/>
    </xf>
    <xf numFmtId="0" fontId="15" fillId="0" borderId="7" xfId="9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5" borderId="28" xfId="4" applyFont="1" applyFill="1" applyBorder="1" applyAlignment="1">
      <alignment horizontal="center" vertical="center" wrapText="1"/>
    </xf>
    <xf numFmtId="0" fontId="15" fillId="5" borderId="29" xfId="4" applyFont="1" applyFill="1" applyBorder="1" applyAlignment="1">
      <alignment horizontal="center" vertical="center"/>
    </xf>
    <xf numFmtId="0" fontId="15" fillId="5" borderId="30" xfId="4" applyFont="1" applyFill="1" applyBorder="1" applyAlignment="1">
      <alignment horizontal="center" vertical="center"/>
    </xf>
    <xf numFmtId="0" fontId="15" fillId="0" borderId="22" xfId="9" applyFont="1" applyBorder="1" applyAlignment="1">
      <alignment horizontal="center" vertical="center"/>
    </xf>
    <xf numFmtId="0" fontId="15" fillId="0" borderId="23" xfId="9" applyFont="1" applyBorder="1" applyAlignment="1">
      <alignment horizontal="center" vertical="center"/>
    </xf>
    <xf numFmtId="0" fontId="15" fillId="0" borderId="10" xfId="9" applyFont="1" applyBorder="1" applyAlignment="1">
      <alignment horizontal="center" vertical="center"/>
    </xf>
    <xf numFmtId="0" fontId="15" fillId="0" borderId="24" xfId="9" applyFont="1" applyBorder="1" applyAlignment="1">
      <alignment horizontal="center" vertical="center"/>
    </xf>
    <xf numFmtId="0" fontId="15" fillId="0" borderId="25" xfId="9" applyFont="1" applyBorder="1" applyAlignment="1">
      <alignment horizontal="center" vertical="center"/>
    </xf>
    <xf numFmtId="0" fontId="15" fillId="0" borderId="26" xfId="9" applyFont="1" applyBorder="1" applyAlignment="1">
      <alignment horizontal="center" vertical="center"/>
    </xf>
    <xf numFmtId="0" fontId="15" fillId="0" borderId="16" xfId="9" applyFont="1" applyBorder="1" applyAlignment="1">
      <alignment horizontal="center" vertical="center"/>
    </xf>
    <xf numFmtId="0" fontId="15" fillId="0" borderId="17" xfId="9" applyFont="1" applyBorder="1" applyAlignment="1">
      <alignment horizontal="center" vertical="center"/>
    </xf>
    <xf numFmtId="0" fontId="15" fillId="0" borderId="14" xfId="9" applyFont="1" applyBorder="1" applyAlignment="1">
      <alignment horizontal="center" vertical="center"/>
    </xf>
    <xf numFmtId="0" fontId="15" fillId="0" borderId="11" xfId="9" applyFont="1" applyBorder="1" applyAlignment="1">
      <alignment horizontal="center" vertical="center" wrapText="1"/>
    </xf>
    <xf numFmtId="0" fontId="15" fillId="0" borderId="13" xfId="9" applyFont="1" applyBorder="1" applyAlignment="1">
      <alignment horizontal="center" vertical="center" wrapText="1"/>
    </xf>
    <xf numFmtId="3" fontId="31" fillId="0" borderId="5" xfId="0" applyNumberFormat="1" applyFont="1" applyBorder="1" applyAlignment="1">
      <alignment horizontal="center"/>
    </xf>
    <xf numFmtId="9" fontId="15" fillId="0" borderId="16" xfId="4" applyNumberFormat="1" applyFont="1" applyBorder="1" applyAlignment="1">
      <alignment horizontal="center" vertical="center"/>
    </xf>
    <xf numFmtId="9" fontId="15" fillId="0" borderId="17" xfId="4" applyNumberFormat="1" applyFont="1" applyBorder="1" applyAlignment="1">
      <alignment horizontal="center" vertical="center"/>
    </xf>
    <xf numFmtId="9" fontId="15" fillId="0" borderId="14" xfId="4" applyNumberFormat="1" applyFont="1" applyBorder="1" applyAlignment="1">
      <alignment horizontal="center" vertical="center"/>
    </xf>
    <xf numFmtId="3" fontId="15" fillId="0" borderId="17" xfId="4" applyNumberFormat="1" applyFont="1" applyFill="1" applyBorder="1" applyAlignment="1">
      <alignment horizontal="center" vertical="center"/>
    </xf>
    <xf numFmtId="3" fontId="15" fillId="0" borderId="14" xfId="4" applyNumberFormat="1" applyFont="1" applyFill="1" applyBorder="1" applyAlignment="1">
      <alignment horizontal="center" vertical="center"/>
    </xf>
    <xf numFmtId="190" fontId="31" fillId="0" borderId="2" xfId="9" applyNumberFormat="1" applyFont="1" applyBorder="1" applyAlignment="1">
      <alignment horizontal="center" vertical="center"/>
    </xf>
    <xf numFmtId="190" fontId="31" fillId="0" borderId="11" xfId="9" applyNumberFormat="1" applyFont="1" applyBorder="1" applyAlignment="1">
      <alignment horizontal="center" vertical="center"/>
    </xf>
    <xf numFmtId="190" fontId="31" fillId="0" borderId="9" xfId="9" applyNumberFormat="1" applyFont="1" applyBorder="1" applyAlignment="1">
      <alignment horizontal="center" vertical="center"/>
    </xf>
    <xf numFmtId="190" fontId="31" fillId="0" borderId="27" xfId="9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7" xfId="5" applyFont="1" applyBorder="1" applyAlignment="1">
      <alignment horizontal="center" vertical="center"/>
    </xf>
    <xf numFmtId="0" fontId="15" fillId="0" borderId="13" xfId="5" applyFont="1" applyBorder="1" applyAlignment="1">
      <alignment horizontal="center" vertical="center"/>
    </xf>
    <xf numFmtId="3" fontId="15" fillId="0" borderId="2" xfId="11" applyNumberFormat="1" applyFont="1" applyFill="1" applyBorder="1" applyAlignment="1">
      <alignment horizontal="center" vertical="center"/>
    </xf>
    <xf numFmtId="3" fontId="31" fillId="0" borderId="11" xfId="5" applyNumberFormat="1" applyFont="1" applyBorder="1" applyAlignment="1">
      <alignment horizontal="center" vertical="center"/>
    </xf>
    <xf numFmtId="0" fontId="15" fillId="0" borderId="7" xfId="5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" xfId="5" applyFont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/>
    </xf>
    <xf numFmtId="0" fontId="15" fillId="0" borderId="11" xfId="5" applyFont="1" applyBorder="1" applyAlignment="1">
      <alignment horizontal="center" vertical="center"/>
    </xf>
    <xf numFmtId="1" fontId="31" fillId="0" borderId="2" xfId="5" applyNumberFormat="1" applyFont="1" applyBorder="1" applyAlignment="1">
      <alignment horizontal="center" vertical="center"/>
    </xf>
    <xf numFmtId="1" fontId="31" fillId="0" borderId="9" xfId="5" applyNumberFormat="1" applyFont="1" applyBorder="1" applyAlignment="1">
      <alignment horizontal="center" vertical="center"/>
    </xf>
    <xf numFmtId="1" fontId="31" fillId="0" borderId="27" xfId="5" applyNumberFormat="1" applyFont="1" applyBorder="1" applyAlignment="1">
      <alignment horizontal="center" vertical="center"/>
    </xf>
    <xf numFmtId="3" fontId="31" fillId="0" borderId="2" xfId="5" applyNumberFormat="1" applyFont="1" applyBorder="1" applyAlignment="1">
      <alignment horizontal="center" vertical="center"/>
    </xf>
    <xf numFmtId="3" fontId="31" fillId="0" borderId="9" xfId="5" applyNumberFormat="1" applyFont="1" applyBorder="1" applyAlignment="1">
      <alignment horizontal="center" vertical="center"/>
    </xf>
    <xf numFmtId="3" fontId="31" fillId="0" borderId="27" xfId="5" applyNumberFormat="1" applyFont="1" applyBorder="1" applyAlignment="1">
      <alignment horizontal="center" vertical="center"/>
    </xf>
    <xf numFmtId="3" fontId="31" fillId="0" borderId="21" xfId="5" applyNumberFormat="1" applyFont="1" applyBorder="1" applyAlignment="1">
      <alignment horizontal="center" vertical="center"/>
    </xf>
    <xf numFmtId="3" fontId="31" fillId="0" borderId="35" xfId="5" applyNumberFormat="1" applyFont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3" fontId="15" fillId="0" borderId="9" xfId="5" applyNumberFormat="1" applyFont="1" applyBorder="1" applyAlignment="1">
      <alignment horizontal="center" vertical="center"/>
    </xf>
    <xf numFmtId="3" fontId="15" fillId="0" borderId="27" xfId="5" applyNumberFormat="1" applyFont="1" applyBorder="1" applyAlignment="1">
      <alignment horizontal="center" vertical="center"/>
    </xf>
    <xf numFmtId="179" fontId="17" fillId="5" borderId="2" xfId="0" applyNumberFormat="1" applyFont="1" applyFill="1" applyBorder="1" applyAlignment="1">
      <alignment horizontal="left" vertical="center"/>
    </xf>
    <xf numFmtId="0" fontId="72" fillId="0" borderId="8" xfId="0" applyFont="1" applyBorder="1" applyAlignment="1">
      <alignment horizontal="left" vertical="center"/>
    </xf>
    <xf numFmtId="0" fontId="18" fillId="9" borderId="2" xfId="0" applyFont="1" applyFill="1" applyBorder="1" applyAlignment="1">
      <alignment horizontal="center" vertical="center"/>
    </xf>
    <xf numFmtId="186" fontId="59" fillId="0" borderId="2" xfId="0" applyNumberFormat="1" applyFont="1" applyBorder="1" applyAlignment="1">
      <alignment horizontal="left" vertical="center" wrapText="1"/>
    </xf>
    <xf numFmtId="0" fontId="59" fillId="0" borderId="2" xfId="0" applyFont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/>
    </xf>
    <xf numFmtId="0" fontId="30" fillId="8" borderId="16" xfId="0" applyFont="1" applyFill="1" applyBorder="1" applyAlignment="1">
      <alignment horizontal="center" vertical="center" wrapText="1"/>
    </xf>
    <xf numFmtId="0" fontId="30" fillId="8" borderId="14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32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30" fillId="8" borderId="16" xfId="0" applyFont="1" applyFill="1" applyBorder="1" applyAlignment="1">
      <alignment horizontal="center" vertical="center"/>
    </xf>
    <xf numFmtId="0" fontId="30" fillId="8" borderId="14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wrapText="1"/>
    </xf>
    <xf numFmtId="0" fontId="15" fillId="0" borderId="37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3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0" xfId="0" applyFont="1" applyBorder="1" applyAlignment="1">
      <alignment horizontal="center" wrapText="1"/>
    </xf>
    <xf numFmtId="0" fontId="15" fillId="0" borderId="41" xfId="0" applyFont="1" applyBorder="1" applyAlignment="1">
      <alignment horizontal="center" wrapText="1"/>
    </xf>
    <xf numFmtId="0" fontId="15" fillId="0" borderId="42" xfId="0" applyFont="1" applyBorder="1" applyAlignment="1">
      <alignment horizontal="center" wrapText="1"/>
    </xf>
    <xf numFmtId="0" fontId="12" fillId="12" borderId="2" xfId="14" applyFont="1" applyFill="1" applyBorder="1" applyAlignment="1">
      <alignment horizontal="center" vertical="center"/>
    </xf>
    <xf numFmtId="0" fontId="68" fillId="0" borderId="9" xfId="14" applyFont="1" applyBorder="1" applyAlignment="1">
      <alignment horizontal="center"/>
    </xf>
    <xf numFmtId="0" fontId="68" fillId="0" borderId="32" xfId="14" applyFont="1" applyBorder="1" applyAlignment="1">
      <alignment horizontal="center"/>
    </xf>
    <xf numFmtId="0" fontId="68" fillId="0" borderId="27" xfId="14" applyFont="1" applyBorder="1" applyAlignment="1">
      <alignment horizontal="center"/>
    </xf>
    <xf numFmtId="0" fontId="69" fillId="11" borderId="2" xfId="14" applyFont="1" applyFill="1" applyBorder="1" applyAlignment="1">
      <alignment horizontal="left"/>
    </xf>
    <xf numFmtId="0" fontId="12" fillId="11" borderId="2" xfId="14" applyFont="1" applyFill="1" applyBorder="1" applyAlignment="1">
      <alignment horizontal="center" vertical="center"/>
    </xf>
    <xf numFmtId="0" fontId="69" fillId="12" borderId="14" xfId="14" applyFont="1" applyFill="1" applyBorder="1" applyAlignment="1">
      <alignment horizontal="left"/>
    </xf>
    <xf numFmtId="0" fontId="69" fillId="13" borderId="14" xfId="14" applyFont="1" applyFill="1" applyBorder="1" applyAlignment="1">
      <alignment horizontal="left"/>
    </xf>
    <xf numFmtId="0" fontId="12" fillId="13" borderId="2" xfId="14" applyFont="1" applyFill="1" applyBorder="1" applyAlignment="1">
      <alignment horizontal="center" vertical="center"/>
    </xf>
    <xf numFmtId="0" fontId="69" fillId="14" borderId="14" xfId="14" applyFont="1" applyFill="1" applyBorder="1" applyAlignment="1">
      <alignment horizontal="left"/>
    </xf>
    <xf numFmtId="0" fontId="12" fillId="14" borderId="2" xfId="14" applyFont="1" applyFill="1" applyBorder="1" applyAlignment="1">
      <alignment horizontal="center" vertical="center"/>
    </xf>
    <xf numFmtId="0" fontId="69" fillId="15" borderId="25" xfId="14" applyFont="1" applyFill="1" applyBorder="1" applyAlignment="1">
      <alignment horizontal="left"/>
    </xf>
    <xf numFmtId="0" fontId="69" fillId="15" borderId="8" xfId="14" applyFont="1" applyFill="1" applyBorder="1" applyAlignment="1">
      <alignment horizontal="left"/>
    </xf>
    <xf numFmtId="0" fontId="69" fillId="15" borderId="39" xfId="14" applyFont="1" applyFill="1" applyBorder="1" applyAlignment="1">
      <alignment horizontal="left"/>
    </xf>
    <xf numFmtId="0" fontId="12" fillId="15" borderId="2" xfId="14" applyFont="1" applyFill="1" applyBorder="1" applyAlignment="1">
      <alignment horizontal="center" vertical="center"/>
    </xf>
    <xf numFmtId="0" fontId="69" fillId="16" borderId="14" xfId="14" applyFont="1" applyFill="1" applyBorder="1" applyAlignment="1">
      <alignment horizontal="left"/>
    </xf>
    <xf numFmtId="0" fontId="12" fillId="16" borderId="2" xfId="14" applyFont="1" applyFill="1" applyBorder="1" applyAlignment="1">
      <alignment horizontal="center" vertical="center"/>
    </xf>
    <xf numFmtId="0" fontId="69" fillId="6" borderId="14" xfId="14" applyFont="1" applyFill="1" applyBorder="1" applyAlignment="1">
      <alignment horizontal="left"/>
    </xf>
    <xf numFmtId="0" fontId="12" fillId="6" borderId="2" xfId="14" applyFont="1" applyFill="1" applyBorder="1" applyAlignment="1">
      <alignment horizontal="center" vertical="center"/>
    </xf>
    <xf numFmtId="0" fontId="12" fillId="0" borderId="9" xfId="14" applyFont="1" applyBorder="1" applyAlignment="1">
      <alignment horizontal="center" vertical="center"/>
    </xf>
    <xf numFmtId="0" fontId="12" fillId="0" borderId="32" xfId="14" applyFont="1" applyBorder="1" applyAlignment="1">
      <alignment horizontal="center" vertical="center"/>
    </xf>
    <xf numFmtId="0" fontId="12" fillId="0" borderId="27" xfId="14" applyFont="1" applyBorder="1" applyAlignment="1">
      <alignment horizontal="center" vertical="center"/>
    </xf>
    <xf numFmtId="0" fontId="12" fillId="0" borderId="16" xfId="14" applyFont="1" applyBorder="1" applyAlignment="1">
      <alignment horizontal="center" vertical="center"/>
    </xf>
    <xf numFmtId="0" fontId="12" fillId="0" borderId="14" xfId="14" applyFont="1" applyBorder="1" applyAlignment="1">
      <alignment horizontal="center" vertical="center"/>
    </xf>
  </cellXfs>
  <cellStyles count="15">
    <cellStyle name="Euro" xfId="1" xr:uid="{00000000-0005-0000-0000-000000000000}"/>
    <cellStyle name="Normal 2" xfId="2" xr:uid="{00000000-0005-0000-0000-000001000000}"/>
    <cellStyle name="Normal_AMIGO AGRO (HOGS INVTY 06)" xfId="3" xr:uid="{00000000-0005-0000-0000-000002000000}"/>
    <cellStyle name="Normal_Sheet2" xfId="4" xr:uid="{00000000-0005-0000-0000-000003000000}"/>
    <cellStyle name="Normal_Sheet3" xfId="5" xr:uid="{00000000-0005-0000-0000-000004000000}"/>
    <cellStyle name="Percent 2" xfId="6" xr:uid="{00000000-0005-0000-0000-000005000000}"/>
    <cellStyle name="百分比" xfId="7" builtinId="5"/>
    <cellStyle name="常规" xfId="0" builtinId="0"/>
    <cellStyle name="常规 2" xfId="12" xr:uid="{82907693-CA91-411D-82CC-49956B83C243}"/>
    <cellStyle name="常规 3" xfId="13" xr:uid="{000EBB91-4013-47F7-BDB1-E3F7897C5274}"/>
    <cellStyle name="常规 4" xfId="14" xr:uid="{514DC1D9-2E7A-428C-A10F-7D8B694F69AB}"/>
    <cellStyle name="常规_Sheet2" xfId="8" xr:uid="{00000000-0005-0000-0000-000008000000}"/>
    <cellStyle name="常规_范霍夫数－计算结果" xfId="9" xr:uid="{00000000-0005-0000-0000-000009000000}"/>
    <cellStyle name="超链接" xfId="10" builtinId="8"/>
    <cellStyle name="千位分隔" xfId="1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625929</xdr:colOff>
      <xdr:row>3</xdr:row>
      <xdr:rowOff>37193</xdr:rowOff>
    </xdr:to>
    <xdr:pic>
      <xdr:nvPicPr>
        <xdr:cNvPr id="77382" name="Picture 3">
          <a:extLst>
            <a:ext uri="{FF2B5EF4-FFF2-40B4-BE49-F238E27FC236}">
              <a16:creationId xmlns:a16="http://schemas.microsoft.com/office/drawing/2014/main" id="{AA46EAA2-61F1-457D-ACAB-D3BF5E10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"/>
          <a:ext cx="288925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3371850</xdr:colOff>
      <xdr:row>4</xdr:row>
      <xdr:rowOff>76200</xdr:rowOff>
    </xdr:from>
    <xdr:to>
      <xdr:col>3</xdr:col>
      <xdr:colOff>1815</xdr:colOff>
      <xdr:row>7</xdr:row>
      <xdr:rowOff>141060</xdr:rowOff>
    </xdr:to>
    <xdr:pic>
      <xdr:nvPicPr>
        <xdr:cNvPr id="77383" name="图片 1">
          <a:extLst>
            <a:ext uri="{FF2B5EF4-FFF2-40B4-BE49-F238E27FC236}">
              <a16:creationId xmlns:a16="http://schemas.microsoft.com/office/drawing/2014/main" id="{A9CC20F7-B996-4F07-A0E4-4F2B95F2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831850"/>
          <a:ext cx="21209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1143000</xdr:colOff>
      <xdr:row>2</xdr:row>
      <xdr:rowOff>400050</xdr:rowOff>
    </xdr:from>
    <xdr:to>
      <xdr:col>4</xdr:col>
      <xdr:colOff>3609975</xdr:colOff>
      <xdr:row>7</xdr:row>
      <xdr:rowOff>26760</xdr:rowOff>
    </xdr:to>
    <xdr:pic>
      <xdr:nvPicPr>
        <xdr:cNvPr id="77384" name="Picture 4">
          <a:extLst>
            <a:ext uri="{FF2B5EF4-FFF2-40B4-BE49-F238E27FC236}">
              <a16:creationId xmlns:a16="http://schemas.microsoft.com/office/drawing/2014/main" id="{B52CA2E7-8777-478E-A9B9-D10E1038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590550"/>
          <a:ext cx="46609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3</xdr:col>
      <xdr:colOff>421822</xdr:colOff>
      <xdr:row>108</xdr:row>
      <xdr:rowOff>29480</xdr:rowOff>
    </xdr:to>
    <xdr:pic>
      <xdr:nvPicPr>
        <xdr:cNvPr id="77385" name="图片 3">
          <a:extLst>
            <a:ext uri="{FF2B5EF4-FFF2-40B4-BE49-F238E27FC236}">
              <a16:creationId xmlns:a16="http://schemas.microsoft.com/office/drawing/2014/main" id="{5E34BCAC-0B7A-4940-B9B2-66658E34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5650"/>
          <a:ext cx="4806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3505200</xdr:colOff>
      <xdr:row>109</xdr:row>
      <xdr:rowOff>88900</xdr:rowOff>
    </xdr:from>
    <xdr:to>
      <xdr:col>4</xdr:col>
      <xdr:colOff>7711</xdr:colOff>
      <xdr:row>111</xdr:row>
      <xdr:rowOff>165651</xdr:rowOff>
    </xdr:to>
    <xdr:pic>
      <xdr:nvPicPr>
        <xdr:cNvPr id="77386" name="图片 4">
          <a:extLst>
            <a:ext uri="{FF2B5EF4-FFF2-40B4-BE49-F238E27FC236}">
              <a16:creationId xmlns:a16="http://schemas.microsoft.com/office/drawing/2014/main" id="{1326E91D-B73D-41FB-9B0B-5459D8BA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5309850"/>
          <a:ext cx="43180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3575050</xdr:colOff>
      <xdr:row>111</xdr:row>
      <xdr:rowOff>285750</xdr:rowOff>
    </xdr:from>
    <xdr:to>
      <xdr:col>3</xdr:col>
      <xdr:colOff>726622</xdr:colOff>
      <xdr:row>114</xdr:row>
      <xdr:rowOff>163515</xdr:rowOff>
    </xdr:to>
    <xdr:pic>
      <xdr:nvPicPr>
        <xdr:cNvPr id="77387" name="Picture 5">
          <a:extLst>
            <a:ext uri="{FF2B5EF4-FFF2-40B4-BE49-F238E27FC236}">
              <a16:creationId xmlns:a16="http://schemas.microsoft.com/office/drawing/2014/main" id="{5438E3D8-D74D-4D87-9452-FF9EDBC2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5697200"/>
          <a:ext cx="28448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6803</xdr:colOff>
      <xdr:row>114</xdr:row>
      <xdr:rowOff>163514</xdr:rowOff>
    </xdr:to>
    <xdr:pic>
      <xdr:nvPicPr>
        <xdr:cNvPr id="77388" name="Picture 6">
          <a:extLst>
            <a:ext uri="{FF2B5EF4-FFF2-40B4-BE49-F238E27FC236}">
              <a16:creationId xmlns:a16="http://schemas.microsoft.com/office/drawing/2014/main" id="{3D63557B-D2CF-4503-AA6C-1BF4F295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5697200"/>
          <a:ext cx="4267200" cy="482600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4</xdr:col>
      <xdr:colOff>1814</xdr:colOff>
      <xdr:row>210</xdr:row>
      <xdr:rowOff>10431</xdr:rowOff>
    </xdr:to>
    <xdr:pic>
      <xdr:nvPicPr>
        <xdr:cNvPr id="77389" name="图片 5">
          <a:extLst>
            <a:ext uri="{FF2B5EF4-FFF2-40B4-BE49-F238E27FC236}">
              <a16:creationId xmlns:a16="http://schemas.microsoft.com/office/drawing/2014/main" id="{CDF402F3-EBDB-4FD7-928C-515499A3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362150"/>
          <a:ext cx="4318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768350</xdr:colOff>
      <xdr:row>1</xdr:row>
      <xdr:rowOff>120650</xdr:rowOff>
    </xdr:from>
    <xdr:to>
      <xdr:col>2</xdr:col>
      <xdr:colOff>115006</xdr:colOff>
      <xdr:row>4</xdr:row>
      <xdr:rowOff>136350</xdr:rowOff>
    </xdr:to>
    <xdr:pic>
      <xdr:nvPicPr>
        <xdr:cNvPr id="76693" name="图片 3">
          <a:extLst>
            <a:ext uri="{FF2B5EF4-FFF2-40B4-BE49-F238E27FC236}">
              <a16:creationId xmlns:a16="http://schemas.microsoft.com/office/drawing/2014/main" id="{E225E8B4-60FB-4BB7-8798-140683B7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317500"/>
          <a:ext cx="38862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1060450</xdr:colOff>
      <xdr:row>6</xdr:row>
      <xdr:rowOff>222250</xdr:rowOff>
    </xdr:from>
    <xdr:to>
      <xdr:col>2</xdr:col>
      <xdr:colOff>1082676</xdr:colOff>
      <xdr:row>10</xdr:row>
      <xdr:rowOff>1590</xdr:rowOff>
    </xdr:to>
    <xdr:pic>
      <xdr:nvPicPr>
        <xdr:cNvPr id="76694" name="图片 4">
          <a:extLst>
            <a:ext uri="{FF2B5EF4-FFF2-40B4-BE49-F238E27FC236}">
              <a16:creationId xmlns:a16="http://schemas.microsoft.com/office/drawing/2014/main" id="{ED8BC111-E295-4639-A868-52C2282E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450" y="1168400"/>
          <a:ext cx="45593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1289050</xdr:colOff>
      <xdr:row>8</xdr:row>
      <xdr:rowOff>171450</xdr:rowOff>
    </xdr:from>
    <xdr:to>
      <xdr:col>2</xdr:col>
      <xdr:colOff>1082676</xdr:colOff>
      <xdr:row>12</xdr:row>
      <xdr:rowOff>1589</xdr:rowOff>
    </xdr:to>
    <xdr:pic>
      <xdr:nvPicPr>
        <xdr:cNvPr id="76695" name="图片 8">
          <a:extLst>
            <a:ext uri="{FF2B5EF4-FFF2-40B4-BE49-F238E27FC236}">
              <a16:creationId xmlns:a16="http://schemas.microsoft.com/office/drawing/2014/main" id="{E4B7E634-A1D3-4222-819C-4C88F066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050" y="1536700"/>
          <a:ext cx="43307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539750</xdr:colOff>
      <xdr:row>35</xdr:row>
      <xdr:rowOff>476250</xdr:rowOff>
    </xdr:from>
    <xdr:to>
      <xdr:col>2</xdr:col>
      <xdr:colOff>1082676</xdr:colOff>
      <xdr:row>38</xdr:row>
      <xdr:rowOff>0</xdr:rowOff>
    </xdr:to>
    <xdr:pic>
      <xdr:nvPicPr>
        <xdr:cNvPr id="76696" name="图片 5">
          <a:extLst>
            <a:ext uri="{FF2B5EF4-FFF2-40B4-BE49-F238E27FC236}">
              <a16:creationId xmlns:a16="http://schemas.microsoft.com/office/drawing/2014/main" id="{D721C603-905B-45D1-AD28-060A47E4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6280150"/>
          <a:ext cx="50800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292100</xdr:colOff>
      <xdr:row>63</xdr:row>
      <xdr:rowOff>57150</xdr:rowOff>
    </xdr:from>
    <xdr:to>
      <xdr:col>2</xdr:col>
      <xdr:colOff>1082676</xdr:colOff>
      <xdr:row>67</xdr:row>
      <xdr:rowOff>134055</xdr:rowOff>
    </xdr:to>
    <xdr:pic>
      <xdr:nvPicPr>
        <xdr:cNvPr id="76697" name="图片 1">
          <a:extLst>
            <a:ext uri="{FF2B5EF4-FFF2-40B4-BE49-F238E27FC236}">
              <a16:creationId xmlns:a16="http://schemas.microsoft.com/office/drawing/2014/main" id="{832DC113-CBCF-4200-8909-ADF7D218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0452100"/>
          <a:ext cx="53276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99</xdr:row>
      <xdr:rowOff>82550</xdr:rowOff>
    </xdr:from>
    <xdr:to>
      <xdr:col>3</xdr:col>
      <xdr:colOff>1331208</xdr:colOff>
      <xdr:row>102</xdr:row>
      <xdr:rowOff>131233</xdr:rowOff>
    </xdr:to>
    <xdr:pic>
      <xdr:nvPicPr>
        <xdr:cNvPr id="76698" name="Picture 4">
          <a:extLst>
            <a:ext uri="{FF2B5EF4-FFF2-40B4-BE49-F238E27FC236}">
              <a16:creationId xmlns:a16="http://schemas.microsoft.com/office/drawing/2014/main" id="{288DC32C-21E6-455A-9C63-70043F36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690850"/>
          <a:ext cx="71945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1073150</xdr:colOff>
      <xdr:row>167</xdr:row>
      <xdr:rowOff>285750</xdr:rowOff>
    </xdr:from>
    <xdr:to>
      <xdr:col>2</xdr:col>
      <xdr:colOff>1082676</xdr:colOff>
      <xdr:row>170</xdr:row>
      <xdr:rowOff>153811</xdr:rowOff>
    </xdr:to>
    <xdr:pic>
      <xdr:nvPicPr>
        <xdr:cNvPr id="76699" name="Picture 5">
          <a:extLst>
            <a:ext uri="{FF2B5EF4-FFF2-40B4-BE49-F238E27FC236}">
              <a16:creationId xmlns:a16="http://schemas.microsoft.com/office/drawing/2014/main" id="{7D4484A0-EF09-4ADC-9BD7-C9552A9C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" y="24676100"/>
          <a:ext cx="45466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2571750</xdr:colOff>
      <xdr:row>171</xdr:row>
      <xdr:rowOff>171450</xdr:rowOff>
    </xdr:from>
    <xdr:to>
      <xdr:col>2</xdr:col>
      <xdr:colOff>1082676</xdr:colOff>
      <xdr:row>173</xdr:row>
      <xdr:rowOff>187503</xdr:rowOff>
    </xdr:to>
    <xdr:pic>
      <xdr:nvPicPr>
        <xdr:cNvPr id="76700" name="Picture 6">
          <a:extLst>
            <a:ext uri="{FF2B5EF4-FFF2-40B4-BE49-F238E27FC236}">
              <a16:creationId xmlns:a16="http://schemas.microsoft.com/office/drawing/2014/main" id="{CC36CEEB-C7E6-40FE-8533-F9E87F5B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330150"/>
          <a:ext cx="31623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2260600</xdr:colOff>
      <xdr:row>235</xdr:row>
      <xdr:rowOff>50800</xdr:rowOff>
    </xdr:from>
    <xdr:to>
      <xdr:col>2</xdr:col>
      <xdr:colOff>878595</xdr:colOff>
      <xdr:row>238</xdr:row>
      <xdr:rowOff>40747</xdr:rowOff>
    </xdr:to>
    <xdr:pic>
      <xdr:nvPicPr>
        <xdr:cNvPr id="76701" name="Picture 7">
          <a:extLst>
            <a:ext uri="{FF2B5EF4-FFF2-40B4-BE49-F238E27FC236}">
              <a16:creationId xmlns:a16="http://schemas.microsoft.com/office/drawing/2014/main" id="{BD0418A2-8703-4E45-B2A0-C7044B94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37439600"/>
          <a:ext cx="31623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1308100</xdr:colOff>
      <xdr:row>0</xdr:row>
      <xdr:rowOff>342900</xdr:rowOff>
    </xdr:from>
    <xdr:to>
      <xdr:col>2</xdr:col>
      <xdr:colOff>563739</xdr:colOff>
      <xdr:row>3</xdr:row>
      <xdr:rowOff>1034</xdr:rowOff>
    </xdr:to>
    <xdr:pic>
      <xdr:nvPicPr>
        <xdr:cNvPr id="78095" name="Picture 1">
          <a:extLst>
            <a:ext uri="{FF2B5EF4-FFF2-40B4-BE49-F238E27FC236}">
              <a16:creationId xmlns:a16="http://schemas.microsoft.com/office/drawing/2014/main" id="{B8B36D09-1CAF-45FE-BDD2-AE016003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196850"/>
          <a:ext cx="30162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144235</xdr:rowOff>
    </xdr:from>
    <xdr:to>
      <xdr:col>3</xdr:col>
      <xdr:colOff>468841</xdr:colOff>
      <xdr:row>18</xdr:row>
      <xdr:rowOff>39460</xdr:rowOff>
    </xdr:to>
    <xdr:pic>
      <xdr:nvPicPr>
        <xdr:cNvPr id="78096" name="Picture 2">
          <a:extLst>
            <a:ext uri="{FF2B5EF4-FFF2-40B4-BE49-F238E27FC236}">
              <a16:creationId xmlns:a16="http://schemas.microsoft.com/office/drawing/2014/main" id="{399A622F-05E3-425A-9A24-5C2B6E70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65414"/>
          <a:ext cx="5176912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913694</xdr:colOff>
      <xdr:row>121</xdr:row>
      <xdr:rowOff>60678</xdr:rowOff>
    </xdr:from>
    <xdr:to>
      <xdr:col>3</xdr:col>
      <xdr:colOff>1287638</xdr:colOff>
      <xdr:row>135</xdr:row>
      <xdr:rowOff>86078</xdr:rowOff>
    </xdr:to>
    <xdr:pic>
      <xdr:nvPicPr>
        <xdr:cNvPr id="78097" name="Picture 4">
          <a:extLst>
            <a:ext uri="{FF2B5EF4-FFF2-40B4-BE49-F238E27FC236}">
              <a16:creationId xmlns:a16="http://schemas.microsoft.com/office/drawing/2014/main" id="{ADA8F9CB-92EC-4105-9843-03F9DDEB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94" y="21784734"/>
          <a:ext cx="5362222" cy="2389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678039</xdr:colOff>
      <xdr:row>209</xdr:row>
      <xdr:rowOff>144402</xdr:rowOff>
    </xdr:from>
    <xdr:to>
      <xdr:col>4</xdr:col>
      <xdr:colOff>507294</xdr:colOff>
      <xdr:row>216</xdr:row>
      <xdr:rowOff>136173</xdr:rowOff>
    </xdr:to>
    <xdr:pic>
      <xdr:nvPicPr>
        <xdr:cNvPr id="78098" name="Picture 3">
          <a:extLst>
            <a:ext uri="{FF2B5EF4-FFF2-40B4-BE49-F238E27FC236}">
              <a16:creationId xmlns:a16="http://schemas.microsoft.com/office/drawing/2014/main" id="{DC9FDB8E-F5F4-4024-B4FC-35624A29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039" y="38060958"/>
          <a:ext cx="6243461" cy="1177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226783</xdr:colOff>
      <xdr:row>2</xdr:row>
      <xdr:rowOff>18142</xdr:rowOff>
    </xdr:from>
    <xdr:to>
      <xdr:col>10</xdr:col>
      <xdr:colOff>1064983</xdr:colOff>
      <xdr:row>2</xdr:row>
      <xdr:rowOff>361042</xdr:rowOff>
    </xdr:to>
    <xdr:pic>
      <xdr:nvPicPr>
        <xdr:cNvPr id="10" name="图片 6">
          <a:extLst>
            <a:ext uri="{FF2B5EF4-FFF2-40B4-BE49-F238E27FC236}">
              <a16:creationId xmlns:a16="http://schemas.microsoft.com/office/drawing/2014/main" id="{7B4EB813-6B8D-434B-8B35-E5519942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854" y="662213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36286</xdr:colOff>
      <xdr:row>2</xdr:row>
      <xdr:rowOff>63501</xdr:rowOff>
    </xdr:from>
    <xdr:to>
      <xdr:col>19</xdr:col>
      <xdr:colOff>874486</xdr:colOff>
      <xdr:row>3</xdr:row>
      <xdr:rowOff>16330</xdr:rowOff>
    </xdr:to>
    <xdr:pic>
      <xdr:nvPicPr>
        <xdr:cNvPr id="11" name="图片 6">
          <a:extLst>
            <a:ext uri="{FF2B5EF4-FFF2-40B4-BE49-F238E27FC236}">
              <a16:creationId xmlns:a16="http://schemas.microsoft.com/office/drawing/2014/main" id="{27B77113-7B47-419B-BBD3-3A910D2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0" y="707572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838200</xdr:colOff>
      <xdr:row>2</xdr:row>
      <xdr:rowOff>342900</xdr:rowOff>
    </xdr:to>
    <xdr:pic>
      <xdr:nvPicPr>
        <xdr:cNvPr id="12" name="图片 6">
          <a:extLst>
            <a:ext uri="{FF2B5EF4-FFF2-40B4-BE49-F238E27FC236}">
              <a16:creationId xmlns:a16="http://schemas.microsoft.com/office/drawing/2014/main" id="{9DB26BF9-1609-48EA-A584-0B8104E2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0143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97971</xdr:colOff>
      <xdr:row>2</xdr:row>
      <xdr:rowOff>25400</xdr:rowOff>
    </xdr:from>
    <xdr:to>
      <xdr:col>37</xdr:col>
      <xdr:colOff>936171</xdr:colOff>
      <xdr:row>2</xdr:row>
      <xdr:rowOff>368300</xdr:rowOff>
    </xdr:to>
    <xdr:pic>
      <xdr:nvPicPr>
        <xdr:cNvPr id="13" name="图片 6">
          <a:extLst>
            <a:ext uri="{FF2B5EF4-FFF2-40B4-BE49-F238E27FC236}">
              <a16:creationId xmlns:a16="http://schemas.microsoft.com/office/drawing/2014/main" id="{F054F885-A914-4151-B84C-23607AB5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69971" y="6694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54429</xdr:colOff>
      <xdr:row>2</xdr:row>
      <xdr:rowOff>0</xdr:rowOff>
    </xdr:from>
    <xdr:to>
      <xdr:col>46</xdr:col>
      <xdr:colOff>892629</xdr:colOff>
      <xdr:row>2</xdr:row>
      <xdr:rowOff>342900</xdr:rowOff>
    </xdr:to>
    <xdr:pic>
      <xdr:nvPicPr>
        <xdr:cNvPr id="14" name="图片 6">
          <a:extLst>
            <a:ext uri="{FF2B5EF4-FFF2-40B4-BE49-F238E27FC236}">
              <a16:creationId xmlns:a16="http://schemas.microsoft.com/office/drawing/2014/main" id="{9B3FDCAB-C345-4D89-ABF4-B77E35D8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15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55</xdr:col>
      <xdr:colOff>199571</xdr:colOff>
      <xdr:row>2</xdr:row>
      <xdr:rowOff>27214</xdr:rowOff>
    </xdr:from>
    <xdr:to>
      <xdr:col>55</xdr:col>
      <xdr:colOff>1037771</xdr:colOff>
      <xdr:row>2</xdr:row>
      <xdr:rowOff>370114</xdr:rowOff>
    </xdr:to>
    <xdr:pic>
      <xdr:nvPicPr>
        <xdr:cNvPr id="15" name="图片 6">
          <a:extLst>
            <a:ext uri="{FF2B5EF4-FFF2-40B4-BE49-F238E27FC236}">
              <a16:creationId xmlns:a16="http://schemas.microsoft.com/office/drawing/2014/main" id="{20319B2F-624E-496E-AE4E-AF35E63E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1714" y="67128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64</xdr:col>
      <xdr:colOff>208643</xdr:colOff>
      <xdr:row>2</xdr:row>
      <xdr:rowOff>18142</xdr:rowOff>
    </xdr:from>
    <xdr:to>
      <xdr:col>64</xdr:col>
      <xdr:colOff>1046843</xdr:colOff>
      <xdr:row>2</xdr:row>
      <xdr:rowOff>361042</xdr:rowOff>
    </xdr:to>
    <xdr:pic>
      <xdr:nvPicPr>
        <xdr:cNvPr id="16" name="图片 6">
          <a:extLst>
            <a:ext uri="{FF2B5EF4-FFF2-40B4-BE49-F238E27FC236}">
              <a16:creationId xmlns:a16="http://schemas.microsoft.com/office/drawing/2014/main" id="{73D2A8B0-C630-47A5-A638-FDF60ADB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5786" y="662213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73</xdr:col>
      <xdr:colOff>208643</xdr:colOff>
      <xdr:row>2</xdr:row>
      <xdr:rowOff>18142</xdr:rowOff>
    </xdr:from>
    <xdr:ext cx="838200" cy="342900"/>
    <xdr:pic>
      <xdr:nvPicPr>
        <xdr:cNvPr id="17" name="图片 6">
          <a:extLst>
            <a:ext uri="{FF2B5EF4-FFF2-40B4-BE49-F238E27FC236}">
              <a16:creationId xmlns:a16="http://schemas.microsoft.com/office/drawing/2014/main" id="{E0E226E7-EEA4-4A33-BE0D-E9625BC8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3714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82</xdr:col>
      <xdr:colOff>208643</xdr:colOff>
      <xdr:row>2</xdr:row>
      <xdr:rowOff>18142</xdr:rowOff>
    </xdr:from>
    <xdr:ext cx="838200" cy="342900"/>
    <xdr:pic>
      <xdr:nvPicPr>
        <xdr:cNvPr id="19" name="图片 6">
          <a:extLst>
            <a:ext uri="{FF2B5EF4-FFF2-40B4-BE49-F238E27FC236}">
              <a16:creationId xmlns:a16="http://schemas.microsoft.com/office/drawing/2014/main" id="{80BB7AD6-8715-4E82-9FA7-86FC209F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4429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34;&#28113;&#20848;/&#21442;&#32771;&#39033;&#30446;/&#20859;&#27542;&#22330;&#39033;&#30446;/3716/ER%20Calculation_Deqingyuan_37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034;&#28113;&#20848;\&#21442;&#32771;&#39033;&#30446;\&#20859;&#27542;&#22330;&#39033;&#30446;\3716\ER%20Calculation_Deqingyuan_37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034;&#28113;&#20848;\&#20859;&#27542;&#22330;\&#27491;&#37030;\02%20ji'an-GS11238\3.%20Validation\MR\2nd\1st%20ER%20-%20Zhengbang%20Ji'an%20AMMS%20Project-V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asic data"/>
      <sheetName val="ER"/>
      <sheetName val="Sheet1"/>
      <sheetName val="Sheet2"/>
      <sheetName val="Sheet3"/>
      <sheetName val="Sheet4"/>
      <sheetName val="Sheet5"/>
      <sheetName val="Sheet6"/>
      <sheetName val="Sheet7"/>
      <sheetName val="Wsite"/>
      <sheetName val="Electricity"/>
      <sheetName val="Biogas"/>
      <sheetName val="Temperature"/>
    </sheetNames>
    <sheetDataSet>
      <sheetData sheetId="0"/>
      <sheetData sheetId="1"/>
      <sheetData sheetId="2">
        <row r="1">
          <cell r="B1">
            <v>32861</v>
          </cell>
        </row>
        <row r="2">
          <cell r="B2">
            <v>54261</v>
          </cell>
        </row>
        <row r="8">
          <cell r="B8">
            <v>12282.917114928456</v>
          </cell>
        </row>
        <row r="17">
          <cell r="B17">
            <v>9116.4939179598041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asic data"/>
      <sheetName val="ER"/>
      <sheetName val="Sheet1"/>
      <sheetName val="Sheet2"/>
      <sheetName val="Sheet3"/>
      <sheetName val="Sheet4"/>
      <sheetName val="Sheet5"/>
      <sheetName val="Sheet6"/>
      <sheetName val="Sheet7"/>
      <sheetName val="Wsite"/>
      <sheetName val="Electricity"/>
      <sheetName val="Biogas"/>
      <sheetName val="Temperature"/>
    </sheetNames>
    <sheetDataSet>
      <sheetData sheetId="0"/>
      <sheetData sheetId="1"/>
      <sheetData sheetId="2">
        <row r="1">
          <cell r="B1">
            <v>32861</v>
          </cell>
        </row>
        <row r="2">
          <cell r="B2">
            <v>54261</v>
          </cell>
        </row>
        <row r="8">
          <cell r="B8">
            <v>12282.917114928456</v>
          </cell>
        </row>
        <row r="17">
          <cell r="B17">
            <v>9116.4939179598041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SDG Outcomes"/>
      <sheetName val="Baseline Emission"/>
      <sheetName val="Project Emission"/>
      <sheetName val="Leakage"/>
      <sheetName val="monitoring results"/>
      <sheetName val="Reliability Check"/>
      <sheetName val="2020-10"/>
      <sheetName val="2020-11"/>
      <sheetName val="2020-12"/>
      <sheetName val="2021-1"/>
      <sheetName val="2021-2"/>
      <sheetName val="2021-3"/>
      <sheetName val="2021-4"/>
      <sheetName val="2021-5"/>
      <sheetName val="2021-6"/>
      <sheetName val="2021-7"/>
    </sheetNames>
    <sheetDataSet>
      <sheetData sheetId="0" refreshError="1"/>
      <sheetData sheetId="1" refreshError="1"/>
      <sheetData sheetId="2" refreshError="1">
        <row r="10">
          <cell r="B10" t="str">
            <v>Market Swine</v>
          </cell>
          <cell r="C10" t="str">
            <v>Breeding Swine</v>
          </cell>
        </row>
        <row r="13">
          <cell r="B13">
            <v>6.7000000000000002E-4</v>
          </cell>
          <cell r="C13">
            <v>6.7000000000000002E-4</v>
          </cell>
        </row>
        <row r="17">
          <cell r="B17">
            <v>0.28999999999999998</v>
          </cell>
          <cell r="C17">
            <v>0.28999999999999998</v>
          </cell>
        </row>
        <row r="18">
          <cell r="D18" t="str">
            <v>No of heads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zoomScaleNormal="100" workbookViewId="0">
      <selection activeCell="C22" sqref="C22"/>
    </sheetView>
  </sheetViews>
  <sheetFormatPr defaultColWidth="8.7265625" defaultRowHeight="13.5" x14ac:dyDescent="0.3"/>
  <cols>
    <col min="1" max="1" width="9.26953125" style="2" customWidth="1"/>
    <col min="2" max="2" width="52.08984375" style="2" customWidth="1"/>
    <col min="3" max="3" width="48" style="2" customWidth="1"/>
    <col min="4" max="4" width="8.7265625" style="2"/>
    <col min="5" max="5" width="9.90625" style="2" customWidth="1"/>
    <col min="6" max="6" width="9.81640625" style="2" bestFit="1" customWidth="1"/>
    <col min="7" max="7" width="8.7265625" style="2"/>
    <col min="8" max="8" width="12.36328125" style="2" bestFit="1" customWidth="1"/>
    <col min="9" max="16384" width="8.7265625" style="2"/>
  </cols>
  <sheetData>
    <row r="1" spans="1:8" x14ac:dyDescent="0.3">
      <c r="A1" s="1"/>
    </row>
    <row r="2" spans="1:8" x14ac:dyDescent="0.3">
      <c r="A2" s="1"/>
    </row>
    <row r="3" spans="1:8" x14ac:dyDescent="0.3">
      <c r="A3" s="1"/>
    </row>
    <row r="4" spans="1:8" ht="14" thickBot="1" x14ac:dyDescent="0.35">
      <c r="A4" s="1"/>
    </row>
    <row r="5" spans="1:8" ht="23" x14ac:dyDescent="0.3">
      <c r="A5" s="1"/>
      <c r="B5" s="3" t="s">
        <v>70</v>
      </c>
      <c r="C5" s="390" t="s">
        <v>337</v>
      </c>
    </row>
    <row r="6" spans="1:8" x14ac:dyDescent="0.3">
      <c r="A6" s="1"/>
      <c r="B6" s="4" t="s">
        <v>71</v>
      </c>
      <c r="C6" s="391" t="s">
        <v>338</v>
      </c>
    </row>
    <row r="7" spans="1:8" ht="23.5" customHeight="1" x14ac:dyDescent="0.3">
      <c r="A7" s="1"/>
      <c r="B7" s="4" t="s">
        <v>72</v>
      </c>
      <c r="C7" s="441">
        <v>2</v>
      </c>
    </row>
    <row r="8" spans="1:8" x14ac:dyDescent="0.3">
      <c r="A8" s="5"/>
      <c r="B8" s="4" t="s">
        <v>73</v>
      </c>
      <c r="C8" s="441" t="s">
        <v>367</v>
      </c>
    </row>
    <row r="9" spans="1:8" ht="14" thickBot="1" x14ac:dyDescent="0.35">
      <c r="A9" s="5"/>
      <c r="B9" s="6" t="s">
        <v>74</v>
      </c>
      <c r="C9" s="390" t="s">
        <v>339</v>
      </c>
    </row>
    <row r="10" spans="1:8" x14ac:dyDescent="0.3">
      <c r="C10" s="7"/>
    </row>
    <row r="12" spans="1:8" x14ac:dyDescent="0.3">
      <c r="F12" s="8"/>
      <c r="G12" s="9"/>
      <c r="H12" s="10"/>
    </row>
    <row r="13" spans="1:8" x14ac:dyDescent="0.3">
      <c r="D13" s="9"/>
      <c r="F13" s="8"/>
      <c r="G13" s="9"/>
    </row>
    <row r="15" spans="1:8" x14ac:dyDescent="0.3">
      <c r="F15" s="11"/>
    </row>
    <row r="23" spans="6:6" x14ac:dyDescent="0.3">
      <c r="F23" s="8"/>
    </row>
  </sheetData>
  <phoneticPr fontId="1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4D16-2B94-47D6-85A8-3ECBAA1AB74A}">
  <dimension ref="A1:G140"/>
  <sheetViews>
    <sheetView topLeftCell="A124" workbookViewId="0">
      <selection activeCell="E39" sqref="E39: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28.3</v>
      </c>
      <c r="C5" s="345">
        <v>56.6</v>
      </c>
      <c r="D5" s="345">
        <v>106</v>
      </c>
      <c r="E5" s="346">
        <v>42.8</v>
      </c>
      <c r="F5" s="346">
        <v>65</v>
      </c>
      <c r="G5" s="346">
        <v>101.6</v>
      </c>
    </row>
    <row r="6" spans="1:7" x14ac:dyDescent="0.25">
      <c r="A6" s="343">
        <v>2</v>
      </c>
      <c r="B6" s="345">
        <v>26.4</v>
      </c>
      <c r="C6" s="345">
        <v>66.2</v>
      </c>
      <c r="D6" s="345">
        <v>72</v>
      </c>
      <c r="E6" s="346">
        <v>50.1</v>
      </c>
      <c r="F6" s="346">
        <v>77.599999999999994</v>
      </c>
      <c r="G6" s="346">
        <v>95.5</v>
      </c>
    </row>
    <row r="7" spans="1:7" x14ac:dyDescent="0.25">
      <c r="A7" s="343">
        <v>3</v>
      </c>
      <c r="B7" s="345">
        <v>41.3</v>
      </c>
      <c r="C7" s="345">
        <v>52.9</v>
      </c>
      <c r="D7" s="345">
        <v>84.8</v>
      </c>
      <c r="E7" s="346">
        <v>45.6</v>
      </c>
      <c r="F7" s="346">
        <v>75.2</v>
      </c>
      <c r="G7" s="346">
        <v>101.7</v>
      </c>
    </row>
    <row r="8" spans="1:7" x14ac:dyDescent="0.25">
      <c r="A8" s="343">
        <v>4</v>
      </c>
      <c r="B8" s="345">
        <v>27.2</v>
      </c>
      <c r="C8" s="345">
        <v>52.4</v>
      </c>
      <c r="D8" s="345">
        <v>75.599999999999994</v>
      </c>
      <c r="E8" s="346">
        <v>52.5</v>
      </c>
      <c r="F8" s="346">
        <v>77.900000000000006</v>
      </c>
      <c r="G8" s="346">
        <v>96.7</v>
      </c>
    </row>
    <row r="9" spans="1:7" x14ac:dyDescent="0.25">
      <c r="A9" s="343">
        <v>5</v>
      </c>
      <c r="B9" s="345">
        <v>49.1</v>
      </c>
      <c r="C9" s="345">
        <v>52.6</v>
      </c>
      <c r="D9" s="345">
        <v>73.400000000000006</v>
      </c>
      <c r="E9" s="346">
        <v>56.2</v>
      </c>
      <c r="F9" s="346">
        <v>94.8</v>
      </c>
      <c r="G9" s="346">
        <v>118</v>
      </c>
    </row>
    <row r="10" spans="1:7" x14ac:dyDescent="0.25">
      <c r="A10" s="343">
        <v>6</v>
      </c>
      <c r="B10" s="345">
        <v>26.9</v>
      </c>
      <c r="C10" s="345">
        <v>57.7</v>
      </c>
      <c r="D10" s="345">
        <v>72.8</v>
      </c>
      <c r="E10" s="346">
        <v>39.4</v>
      </c>
      <c r="F10" s="346">
        <v>74.099999999999994</v>
      </c>
      <c r="G10" s="346">
        <v>109.8</v>
      </c>
    </row>
    <row r="11" spans="1:7" x14ac:dyDescent="0.25">
      <c r="A11" s="343">
        <v>7</v>
      </c>
      <c r="B11" s="345">
        <v>48.8</v>
      </c>
      <c r="C11" s="345">
        <v>66.5</v>
      </c>
      <c r="D11" s="345">
        <v>108.9</v>
      </c>
      <c r="E11" s="346">
        <v>38</v>
      </c>
      <c r="F11" s="346">
        <v>90.8</v>
      </c>
      <c r="G11" s="346">
        <v>106.6</v>
      </c>
    </row>
    <row r="12" spans="1:7" x14ac:dyDescent="0.25">
      <c r="A12" s="343">
        <v>8</v>
      </c>
      <c r="B12" s="345">
        <v>35.799999999999997</v>
      </c>
      <c r="C12" s="345">
        <v>69.400000000000006</v>
      </c>
      <c r="D12" s="345">
        <v>85.4</v>
      </c>
      <c r="E12" s="346">
        <v>61.9</v>
      </c>
      <c r="F12" s="346">
        <v>84.8</v>
      </c>
      <c r="G12" s="346">
        <v>101.8</v>
      </c>
    </row>
    <row r="13" spans="1:7" x14ac:dyDescent="0.25">
      <c r="A13" s="343">
        <v>9</v>
      </c>
      <c r="B13" s="345">
        <v>34.6</v>
      </c>
      <c r="C13" s="345">
        <v>58.7</v>
      </c>
      <c r="D13" s="345">
        <v>100.1</v>
      </c>
      <c r="E13" s="345"/>
      <c r="F13" s="345"/>
      <c r="G13" s="345"/>
    </row>
    <row r="14" spans="1:7" x14ac:dyDescent="0.25">
      <c r="A14" s="343">
        <v>10</v>
      </c>
      <c r="B14" s="345">
        <v>49</v>
      </c>
      <c r="C14" s="345">
        <v>57.3</v>
      </c>
      <c r="D14" s="345">
        <v>98.5</v>
      </c>
      <c r="E14" s="345"/>
      <c r="F14" s="345"/>
      <c r="G14" s="345"/>
    </row>
    <row r="15" spans="1:7" x14ac:dyDescent="0.25">
      <c r="A15" s="343">
        <v>11</v>
      </c>
      <c r="B15" s="345">
        <v>18.899999999999999</v>
      </c>
      <c r="C15" s="345">
        <v>65.5</v>
      </c>
      <c r="D15" s="345">
        <v>97.3</v>
      </c>
      <c r="E15" s="345"/>
      <c r="F15" s="345"/>
      <c r="G15" s="345"/>
    </row>
    <row r="16" spans="1:7" x14ac:dyDescent="0.25">
      <c r="A16" s="343">
        <v>12</v>
      </c>
      <c r="B16" s="345">
        <v>43</v>
      </c>
      <c r="C16" s="345">
        <v>52.4</v>
      </c>
      <c r="D16" s="345">
        <v>97.2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18</v>
      </c>
      <c r="C20" s="350">
        <v>63.5</v>
      </c>
      <c r="D20" s="350">
        <v>107.1</v>
      </c>
      <c r="E20" s="350">
        <v>44.3</v>
      </c>
      <c r="F20" s="350">
        <v>79.3</v>
      </c>
      <c r="G20" s="350">
        <v>113.1</v>
      </c>
    </row>
    <row r="21" spans="1:7" x14ac:dyDescent="0.25">
      <c r="A21" s="348">
        <v>2</v>
      </c>
      <c r="B21" s="350">
        <v>36</v>
      </c>
      <c r="C21" s="350">
        <v>53.4</v>
      </c>
      <c r="D21" s="350">
        <v>76.400000000000006</v>
      </c>
      <c r="E21" s="350">
        <v>40</v>
      </c>
      <c r="F21" s="350">
        <v>65.400000000000006</v>
      </c>
      <c r="G21" s="350">
        <v>98.8</v>
      </c>
    </row>
    <row r="22" spans="1:7" x14ac:dyDescent="0.25">
      <c r="A22" s="348">
        <v>3</v>
      </c>
      <c r="B22" s="350">
        <v>32.799999999999997</v>
      </c>
      <c r="C22" s="350">
        <v>68.8</v>
      </c>
      <c r="D22" s="350">
        <v>105.8</v>
      </c>
      <c r="E22" s="350">
        <v>37.1</v>
      </c>
      <c r="F22" s="350">
        <v>74.400000000000006</v>
      </c>
      <c r="G22" s="350">
        <v>117.4</v>
      </c>
    </row>
    <row r="23" spans="1:7" x14ac:dyDescent="0.25">
      <c r="A23" s="348">
        <v>4</v>
      </c>
      <c r="B23" s="350">
        <v>28.4</v>
      </c>
      <c r="C23" s="350">
        <v>68.8</v>
      </c>
      <c r="D23" s="350">
        <v>89.5</v>
      </c>
      <c r="E23" s="350">
        <v>51.3</v>
      </c>
      <c r="F23" s="350">
        <v>94.1</v>
      </c>
      <c r="G23" s="350">
        <v>104.1</v>
      </c>
    </row>
    <row r="24" spans="1:7" x14ac:dyDescent="0.25">
      <c r="A24" s="348">
        <v>5</v>
      </c>
      <c r="B24" s="350">
        <v>39.9</v>
      </c>
      <c r="C24" s="350">
        <v>65.400000000000006</v>
      </c>
      <c r="D24" s="350">
        <v>73.099999999999994</v>
      </c>
      <c r="E24" s="350"/>
      <c r="F24" s="350"/>
      <c r="G24" s="350"/>
    </row>
    <row r="25" spans="1:7" x14ac:dyDescent="0.25">
      <c r="A25" s="348">
        <v>6</v>
      </c>
      <c r="B25" s="350">
        <v>22.7</v>
      </c>
      <c r="C25" s="350">
        <v>68.099999999999994</v>
      </c>
      <c r="D25" s="350">
        <v>105.9</v>
      </c>
      <c r="E25" s="350"/>
      <c r="F25" s="350"/>
      <c r="G25" s="350"/>
    </row>
    <row r="26" spans="1:7" x14ac:dyDescent="0.25">
      <c r="A26" s="348">
        <v>7</v>
      </c>
      <c r="B26" s="350">
        <v>22.5</v>
      </c>
      <c r="C26" s="350">
        <v>68.3</v>
      </c>
      <c r="D26" s="350">
        <v>79.099999999999994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40</v>
      </c>
      <c r="C30" s="353">
        <v>58.6</v>
      </c>
      <c r="D30" s="353">
        <v>78.7</v>
      </c>
      <c r="E30" s="354">
        <v>35.5</v>
      </c>
      <c r="F30" s="354">
        <v>83.1</v>
      </c>
      <c r="G30" s="354">
        <v>99.7</v>
      </c>
    </row>
    <row r="31" spans="1:7" x14ac:dyDescent="0.25">
      <c r="A31" s="352">
        <v>2</v>
      </c>
      <c r="B31" s="353">
        <v>36.799999999999997</v>
      </c>
      <c r="C31" s="353">
        <v>58.2</v>
      </c>
      <c r="D31" s="353">
        <v>70.400000000000006</v>
      </c>
      <c r="E31" s="354">
        <v>59.4</v>
      </c>
      <c r="F31" s="354">
        <v>80.7</v>
      </c>
      <c r="G31" s="354">
        <v>112.4</v>
      </c>
    </row>
    <row r="32" spans="1:7" x14ac:dyDescent="0.25">
      <c r="A32" s="352">
        <v>3</v>
      </c>
      <c r="B32" s="353">
        <v>44</v>
      </c>
      <c r="C32" s="353">
        <v>52.1</v>
      </c>
      <c r="D32" s="353">
        <v>108.3</v>
      </c>
      <c r="E32" s="354">
        <v>61.8</v>
      </c>
      <c r="F32" s="354">
        <v>67</v>
      </c>
      <c r="G32" s="354">
        <v>115.2</v>
      </c>
    </row>
    <row r="33" spans="1:7" x14ac:dyDescent="0.25">
      <c r="A33" s="352">
        <v>4</v>
      </c>
      <c r="B33" s="353">
        <v>41</v>
      </c>
      <c r="C33" s="353">
        <v>60.3</v>
      </c>
      <c r="D33" s="353">
        <v>91.6</v>
      </c>
      <c r="E33" s="354">
        <v>47.1</v>
      </c>
      <c r="F33" s="354">
        <v>67.5</v>
      </c>
      <c r="G33" s="354">
        <v>116.1</v>
      </c>
    </row>
    <row r="34" spans="1:7" x14ac:dyDescent="0.25">
      <c r="A34" s="352">
        <v>5</v>
      </c>
      <c r="B34" s="353">
        <v>45.2</v>
      </c>
      <c r="C34" s="353">
        <v>69</v>
      </c>
      <c r="D34" s="353">
        <v>105.3</v>
      </c>
      <c r="E34" s="353"/>
      <c r="F34" s="353"/>
      <c r="G34" s="353"/>
    </row>
    <row r="35" spans="1:7" x14ac:dyDescent="0.25">
      <c r="A35" s="352">
        <v>6</v>
      </c>
      <c r="B35" s="353">
        <v>43.5</v>
      </c>
      <c r="C35" s="353">
        <v>67.3</v>
      </c>
      <c r="D35" s="353">
        <v>105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26.7</v>
      </c>
      <c r="C39" s="357">
        <v>57.5</v>
      </c>
      <c r="D39" s="357">
        <v>96.4</v>
      </c>
      <c r="E39" s="358">
        <v>51.4</v>
      </c>
      <c r="F39" s="358">
        <v>73.3</v>
      </c>
      <c r="G39" s="358">
        <v>115.4</v>
      </c>
    </row>
    <row r="40" spans="1:7" x14ac:dyDescent="0.25">
      <c r="A40" s="356">
        <v>2</v>
      </c>
      <c r="B40" s="357">
        <v>43.5</v>
      </c>
      <c r="C40" s="357">
        <v>63.4</v>
      </c>
      <c r="D40" s="357">
        <v>72.5</v>
      </c>
      <c r="E40" s="358">
        <v>62.5</v>
      </c>
      <c r="F40" s="358">
        <v>79.2</v>
      </c>
      <c r="G40" s="358">
        <v>100.2</v>
      </c>
    </row>
    <row r="41" spans="1:7" x14ac:dyDescent="0.25">
      <c r="A41" s="356">
        <v>3</v>
      </c>
      <c r="B41" s="357">
        <v>19.2</v>
      </c>
      <c r="C41" s="357">
        <v>53</v>
      </c>
      <c r="D41" s="357">
        <v>92.6</v>
      </c>
      <c r="E41" s="357"/>
      <c r="F41" s="358">
        <v>69.7</v>
      </c>
      <c r="G41" s="358">
        <v>113.6</v>
      </c>
    </row>
    <row r="42" spans="1:7" x14ac:dyDescent="0.25">
      <c r="A42" s="356">
        <v>4</v>
      </c>
      <c r="B42" s="357">
        <v>40.799999999999997</v>
      </c>
      <c r="C42" s="357">
        <v>50.7</v>
      </c>
      <c r="D42" s="357">
        <v>71.7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35</v>
      </c>
      <c r="C46" s="362">
        <v>51.4</v>
      </c>
      <c r="D46" s="362">
        <v>104.3</v>
      </c>
      <c r="E46" s="363">
        <v>32.5</v>
      </c>
      <c r="F46" s="363">
        <v>91.5</v>
      </c>
      <c r="G46" s="363">
        <v>108.5</v>
      </c>
    </row>
    <row r="47" spans="1:7" ht="14.5" x14ac:dyDescent="0.3">
      <c r="A47" s="360">
        <v>2</v>
      </c>
      <c r="B47" s="362">
        <v>27.1</v>
      </c>
      <c r="C47" s="362">
        <v>65.8</v>
      </c>
      <c r="D47" s="362">
        <v>77.599999999999994</v>
      </c>
      <c r="E47" s="363">
        <v>42</v>
      </c>
      <c r="F47" s="363">
        <v>81.5</v>
      </c>
      <c r="G47" s="363">
        <v>108.8</v>
      </c>
    </row>
    <row r="48" spans="1:7" ht="14.5" x14ac:dyDescent="0.3">
      <c r="A48" s="360">
        <v>3</v>
      </c>
      <c r="B48" s="362">
        <v>31.3</v>
      </c>
      <c r="C48" s="362">
        <v>67.8</v>
      </c>
      <c r="D48" s="362">
        <v>94.2</v>
      </c>
      <c r="E48" s="363">
        <v>55.3</v>
      </c>
      <c r="F48" s="363">
        <v>94.6</v>
      </c>
      <c r="G48" s="363">
        <v>107.9</v>
      </c>
    </row>
    <row r="49" spans="1:7" ht="14.5" x14ac:dyDescent="0.3">
      <c r="A49" s="360">
        <v>4</v>
      </c>
      <c r="B49" s="362">
        <v>44.7</v>
      </c>
      <c r="C49" s="362">
        <v>56.1</v>
      </c>
      <c r="D49" s="362">
        <v>76.2</v>
      </c>
      <c r="E49" s="363">
        <v>30.6</v>
      </c>
      <c r="F49" s="363">
        <v>65.900000000000006</v>
      </c>
      <c r="G49" s="363">
        <v>104.6</v>
      </c>
    </row>
    <row r="50" spans="1:7" ht="14.5" x14ac:dyDescent="0.3">
      <c r="A50" s="360">
        <v>5</v>
      </c>
      <c r="B50" s="362">
        <v>46</v>
      </c>
      <c r="C50" s="362">
        <v>58.9</v>
      </c>
      <c r="D50" s="362">
        <v>107.2</v>
      </c>
      <c r="E50" s="363">
        <v>53.9</v>
      </c>
      <c r="F50" s="363">
        <v>88.4</v>
      </c>
      <c r="G50" s="363">
        <v>118.4</v>
      </c>
    </row>
    <row r="51" spans="1:7" ht="14.5" x14ac:dyDescent="0.3">
      <c r="A51" s="360">
        <v>6</v>
      </c>
      <c r="B51" s="362">
        <v>38.4</v>
      </c>
      <c r="C51" s="362">
        <v>55.3</v>
      </c>
      <c r="D51" s="362">
        <v>105.1</v>
      </c>
      <c r="E51" s="363">
        <v>46.6</v>
      </c>
      <c r="F51" s="363">
        <v>76.5</v>
      </c>
      <c r="G51" s="363">
        <v>98</v>
      </c>
    </row>
    <row r="52" spans="1:7" ht="14.5" x14ac:dyDescent="0.3">
      <c r="A52" s="360">
        <v>7</v>
      </c>
      <c r="B52" s="362">
        <v>20</v>
      </c>
      <c r="C52" s="362">
        <v>56.2</v>
      </c>
      <c r="D52" s="362">
        <v>95.4</v>
      </c>
      <c r="E52" s="363">
        <v>40.1</v>
      </c>
      <c r="F52" s="363">
        <v>89.5</v>
      </c>
      <c r="G52" s="363">
        <v>116.2</v>
      </c>
    </row>
    <row r="53" spans="1:7" ht="14.5" x14ac:dyDescent="0.3">
      <c r="A53" s="360">
        <v>8</v>
      </c>
      <c r="B53" s="362">
        <v>22.1</v>
      </c>
      <c r="C53" s="362">
        <v>54.5</v>
      </c>
      <c r="D53" s="362">
        <v>85.6</v>
      </c>
      <c r="E53" s="363">
        <v>60.9</v>
      </c>
      <c r="F53" s="363">
        <v>77.3</v>
      </c>
      <c r="G53" s="363">
        <v>96.1</v>
      </c>
    </row>
    <row r="54" spans="1:7" ht="14.5" x14ac:dyDescent="0.3">
      <c r="A54" s="360">
        <v>9</v>
      </c>
      <c r="B54" s="362">
        <v>31.5</v>
      </c>
      <c r="C54" s="362">
        <v>55.2</v>
      </c>
      <c r="D54" s="362">
        <v>109.6</v>
      </c>
      <c r="E54" s="362"/>
      <c r="F54" s="362"/>
      <c r="G54" s="362"/>
    </row>
    <row r="55" spans="1:7" ht="14.5" x14ac:dyDescent="0.3">
      <c r="A55" s="360">
        <v>10</v>
      </c>
      <c r="B55" s="362">
        <v>48</v>
      </c>
      <c r="C55" s="362">
        <v>60.2</v>
      </c>
      <c r="D55" s="362">
        <v>83.5</v>
      </c>
      <c r="E55" s="364"/>
      <c r="F55" s="364"/>
      <c r="G55" s="364"/>
    </row>
    <row r="56" spans="1:7" ht="14.5" x14ac:dyDescent="0.3">
      <c r="A56" s="360">
        <v>11</v>
      </c>
      <c r="B56" s="362">
        <v>46.7</v>
      </c>
      <c r="C56" s="362">
        <v>69.900000000000006</v>
      </c>
      <c r="D56" s="362">
        <v>102.2</v>
      </c>
      <c r="E56" s="364"/>
      <c r="F56" s="364"/>
      <c r="G56" s="364"/>
    </row>
    <row r="57" spans="1:7" ht="14.5" x14ac:dyDescent="0.3">
      <c r="A57" s="360">
        <v>12</v>
      </c>
      <c r="B57" s="362">
        <v>28.4</v>
      </c>
      <c r="C57" s="362">
        <v>68.400000000000006</v>
      </c>
      <c r="D57" s="362">
        <v>72</v>
      </c>
      <c r="E57" s="364"/>
      <c r="F57" s="364"/>
      <c r="G57" s="364"/>
    </row>
    <row r="58" spans="1:7" ht="14.5" x14ac:dyDescent="0.3">
      <c r="A58" s="360">
        <v>13</v>
      </c>
      <c r="B58" s="362">
        <v>39.299999999999997</v>
      </c>
      <c r="C58" s="362">
        <v>60.4</v>
      </c>
      <c r="D58" s="362">
        <v>84.3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29</v>
      </c>
      <c r="C62" s="368">
        <v>59.2</v>
      </c>
      <c r="D62" s="368">
        <v>84.2</v>
      </c>
      <c r="E62" s="369">
        <v>59.4</v>
      </c>
      <c r="F62" s="369">
        <v>74.400000000000006</v>
      </c>
      <c r="G62" s="369">
        <v>117.7</v>
      </c>
    </row>
    <row r="63" spans="1:7" ht="14.5" x14ac:dyDescent="0.3">
      <c r="A63" s="366">
        <v>2</v>
      </c>
      <c r="B63" s="368">
        <v>44.8</v>
      </c>
      <c r="C63" s="368">
        <v>50.5</v>
      </c>
      <c r="D63" s="368">
        <v>103</v>
      </c>
      <c r="E63" s="369">
        <v>30.9</v>
      </c>
      <c r="F63" s="369">
        <v>81.7</v>
      </c>
      <c r="G63" s="369">
        <v>102.1</v>
      </c>
    </row>
    <row r="64" spans="1:7" ht="14.5" x14ac:dyDescent="0.3">
      <c r="A64" s="366">
        <v>3</v>
      </c>
      <c r="B64" s="368">
        <v>45.2</v>
      </c>
      <c r="C64" s="368">
        <v>67.7</v>
      </c>
      <c r="D64" s="368">
        <v>90.1</v>
      </c>
      <c r="E64" s="369">
        <v>59.8</v>
      </c>
      <c r="F64" s="369">
        <v>68.8</v>
      </c>
      <c r="G64" s="369">
        <v>109.3</v>
      </c>
    </row>
    <row r="65" spans="1:7" ht="14.5" x14ac:dyDescent="0.3">
      <c r="A65" s="366">
        <v>4</v>
      </c>
      <c r="B65" s="368">
        <v>34.1</v>
      </c>
      <c r="C65" s="368">
        <v>57.3</v>
      </c>
      <c r="D65" s="368">
        <v>73.900000000000006</v>
      </c>
      <c r="E65" s="369">
        <v>59.5</v>
      </c>
      <c r="F65" s="369">
        <v>85</v>
      </c>
      <c r="G65" s="369">
        <v>96.4</v>
      </c>
    </row>
    <row r="66" spans="1:7" ht="14.5" x14ac:dyDescent="0.3">
      <c r="A66" s="366">
        <v>5</v>
      </c>
      <c r="B66" s="368">
        <v>47</v>
      </c>
      <c r="C66" s="368">
        <v>54</v>
      </c>
      <c r="D66" s="368">
        <v>106.6</v>
      </c>
      <c r="E66" s="369">
        <v>39.299999999999997</v>
      </c>
      <c r="F66" s="369">
        <v>73.400000000000006</v>
      </c>
      <c r="G66" s="369">
        <v>102.9</v>
      </c>
    </row>
    <row r="67" spans="1:7" ht="14.5" x14ac:dyDescent="0.3">
      <c r="A67" s="366">
        <v>6</v>
      </c>
      <c r="B67" s="368">
        <v>30.8</v>
      </c>
      <c r="C67" s="368">
        <v>61.6</v>
      </c>
      <c r="D67" s="368">
        <v>109.3</v>
      </c>
      <c r="E67" s="369">
        <v>44.1</v>
      </c>
      <c r="F67" s="369">
        <v>78.5</v>
      </c>
      <c r="G67" s="369">
        <v>95.3</v>
      </c>
    </row>
    <row r="68" spans="1:7" ht="14.5" x14ac:dyDescent="0.3">
      <c r="A68" s="366">
        <v>7</v>
      </c>
      <c r="B68" s="368">
        <v>46.4</v>
      </c>
      <c r="C68" s="368">
        <v>50.4</v>
      </c>
      <c r="D68" s="368">
        <v>98.3</v>
      </c>
      <c r="E68" s="369">
        <v>50.2</v>
      </c>
      <c r="F68" s="369">
        <v>75.7</v>
      </c>
      <c r="G68" s="369">
        <v>99.8</v>
      </c>
    </row>
    <row r="69" spans="1:7" ht="14.5" x14ac:dyDescent="0.3">
      <c r="A69" s="366">
        <v>8</v>
      </c>
      <c r="B69" s="368">
        <v>35.799999999999997</v>
      </c>
      <c r="C69" s="368">
        <v>62.1</v>
      </c>
      <c r="D69" s="368">
        <v>107.9</v>
      </c>
      <c r="E69" s="369">
        <v>40.299999999999997</v>
      </c>
      <c r="F69" s="369">
        <v>74.3</v>
      </c>
      <c r="G69" s="369">
        <v>103.7</v>
      </c>
    </row>
    <row r="70" spans="1:7" ht="14.5" x14ac:dyDescent="0.3">
      <c r="A70" s="366">
        <v>9</v>
      </c>
      <c r="B70" s="368">
        <v>37.6</v>
      </c>
      <c r="C70" s="368">
        <v>65.3</v>
      </c>
      <c r="D70" s="368">
        <v>110</v>
      </c>
      <c r="E70" s="369">
        <v>48.6</v>
      </c>
      <c r="F70" s="369">
        <v>72.7</v>
      </c>
      <c r="G70" s="369">
        <v>97.4</v>
      </c>
    </row>
    <row r="71" spans="1:7" ht="14.5" x14ac:dyDescent="0.3">
      <c r="A71" s="366">
        <v>10</v>
      </c>
      <c r="B71" s="368">
        <v>43.5</v>
      </c>
      <c r="C71" s="368">
        <v>55</v>
      </c>
      <c r="D71" s="368">
        <v>82</v>
      </c>
      <c r="E71" s="369">
        <v>41</v>
      </c>
      <c r="F71" s="369">
        <v>89.3</v>
      </c>
      <c r="G71" s="369">
        <v>114.4</v>
      </c>
    </row>
    <row r="72" spans="1:7" ht="14.5" x14ac:dyDescent="0.3">
      <c r="A72" s="366">
        <v>11</v>
      </c>
      <c r="B72" s="368">
        <v>18.5</v>
      </c>
      <c r="C72" s="368">
        <v>65.8</v>
      </c>
      <c r="D72" s="368">
        <v>92.9</v>
      </c>
      <c r="E72" s="367"/>
      <c r="F72" s="367"/>
      <c r="G72" s="367"/>
    </row>
    <row r="73" spans="1:7" ht="14.5" x14ac:dyDescent="0.3">
      <c r="A73" s="366">
        <v>12</v>
      </c>
      <c r="B73" s="368">
        <v>28.7</v>
      </c>
      <c r="C73" s="368">
        <v>56.3</v>
      </c>
      <c r="D73" s="368">
        <v>71.400000000000006</v>
      </c>
      <c r="E73" s="367"/>
      <c r="F73" s="367"/>
      <c r="G73" s="367"/>
    </row>
    <row r="74" spans="1:7" ht="14.5" x14ac:dyDescent="0.3">
      <c r="A74" s="366">
        <v>13</v>
      </c>
      <c r="B74" s="368">
        <v>27.2</v>
      </c>
      <c r="C74" s="368">
        <v>51.6</v>
      </c>
      <c r="D74" s="368">
        <v>93.4</v>
      </c>
      <c r="E74" s="367"/>
      <c r="F74" s="367"/>
      <c r="G74" s="367"/>
    </row>
    <row r="75" spans="1:7" ht="14.5" x14ac:dyDescent="0.3">
      <c r="A75" s="366">
        <v>14</v>
      </c>
      <c r="B75" s="368">
        <v>47.1</v>
      </c>
      <c r="C75" s="368">
        <v>51.9</v>
      </c>
      <c r="D75" s="368">
        <v>73.900000000000006</v>
      </c>
      <c r="E75" s="367"/>
      <c r="F75" s="367"/>
      <c r="G75" s="367"/>
    </row>
    <row r="76" spans="1:7" ht="14.5" x14ac:dyDescent="0.3">
      <c r="A76" s="366">
        <v>15</v>
      </c>
      <c r="B76" s="368">
        <v>22.3</v>
      </c>
      <c r="C76" s="368">
        <v>66.7</v>
      </c>
      <c r="D76" s="368">
        <v>107.4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25.4</v>
      </c>
      <c r="C80" s="373">
        <v>55.6</v>
      </c>
      <c r="D80" s="373">
        <v>88.5</v>
      </c>
      <c r="E80" s="374">
        <v>49.8</v>
      </c>
      <c r="F80" s="374">
        <v>89.2</v>
      </c>
      <c r="G80" s="374">
        <v>99.6</v>
      </c>
    </row>
    <row r="81" spans="1:7" ht="14.5" x14ac:dyDescent="0.3">
      <c r="A81" s="371">
        <v>2</v>
      </c>
      <c r="B81" s="373">
        <v>22.7</v>
      </c>
      <c r="C81" s="373">
        <v>53.1</v>
      </c>
      <c r="D81" s="373">
        <v>79.2</v>
      </c>
      <c r="E81" s="374">
        <v>52.1</v>
      </c>
      <c r="F81" s="374">
        <v>90.3</v>
      </c>
      <c r="G81" s="374">
        <v>107.6</v>
      </c>
    </row>
    <row r="82" spans="1:7" ht="14.5" x14ac:dyDescent="0.3">
      <c r="A82" s="371">
        <v>3</v>
      </c>
      <c r="B82" s="373">
        <v>46.9</v>
      </c>
      <c r="C82" s="373">
        <v>60.5</v>
      </c>
      <c r="D82" s="373">
        <v>92.1</v>
      </c>
      <c r="E82" s="374">
        <v>42.6</v>
      </c>
      <c r="F82" s="374">
        <v>82.1</v>
      </c>
      <c r="G82" s="374">
        <v>101.8</v>
      </c>
    </row>
    <row r="83" spans="1:7" ht="14.5" x14ac:dyDescent="0.3">
      <c r="A83" s="371">
        <v>4</v>
      </c>
      <c r="B83" s="373">
        <v>39.700000000000003</v>
      </c>
      <c r="C83" s="373">
        <v>54.4</v>
      </c>
      <c r="D83" s="373">
        <v>76</v>
      </c>
      <c r="E83" s="374">
        <v>53.9</v>
      </c>
      <c r="F83" s="374">
        <v>79.2</v>
      </c>
      <c r="G83" s="374">
        <v>99.4</v>
      </c>
    </row>
    <row r="84" spans="1:7" ht="14.5" x14ac:dyDescent="0.3">
      <c r="A84" s="371">
        <v>5</v>
      </c>
      <c r="B84" s="373">
        <v>45.7</v>
      </c>
      <c r="C84" s="373">
        <v>68</v>
      </c>
      <c r="D84" s="373">
        <v>92.8</v>
      </c>
      <c r="E84" s="374">
        <v>53</v>
      </c>
      <c r="F84" s="374">
        <v>65.3</v>
      </c>
      <c r="G84" s="374">
        <v>96.5</v>
      </c>
    </row>
    <row r="85" spans="1:7" ht="14.5" x14ac:dyDescent="0.3">
      <c r="A85" s="371">
        <v>6</v>
      </c>
      <c r="B85" s="373">
        <v>23.5</v>
      </c>
      <c r="C85" s="373">
        <v>64.5</v>
      </c>
      <c r="D85" s="373">
        <v>77</v>
      </c>
      <c r="E85" s="374">
        <v>31</v>
      </c>
      <c r="F85" s="374">
        <v>86.6</v>
      </c>
      <c r="G85" s="374">
        <v>113.1</v>
      </c>
    </row>
    <row r="86" spans="1:7" ht="14.5" x14ac:dyDescent="0.3">
      <c r="A86" s="371">
        <v>7</v>
      </c>
      <c r="B86" s="373">
        <v>46.3</v>
      </c>
      <c r="C86" s="373">
        <v>54.5</v>
      </c>
      <c r="D86" s="373">
        <v>70.7</v>
      </c>
      <c r="E86" s="374">
        <v>61.8</v>
      </c>
      <c r="F86" s="374">
        <v>65.8</v>
      </c>
      <c r="G86" s="374">
        <v>104.7</v>
      </c>
    </row>
    <row r="87" spans="1:7" ht="14.5" x14ac:dyDescent="0.3">
      <c r="A87" s="371">
        <v>8</v>
      </c>
      <c r="B87" s="373">
        <v>30.3</v>
      </c>
      <c r="C87" s="373">
        <v>59.5</v>
      </c>
      <c r="D87" s="373">
        <v>107.8</v>
      </c>
      <c r="E87" s="374">
        <v>48.2</v>
      </c>
      <c r="F87" s="374">
        <v>92.9</v>
      </c>
      <c r="G87" s="374">
        <v>110.1</v>
      </c>
    </row>
    <row r="88" spans="1:7" ht="14.5" x14ac:dyDescent="0.3">
      <c r="A88" s="371">
        <v>9</v>
      </c>
      <c r="B88" s="373">
        <v>36.700000000000003</v>
      </c>
      <c r="C88" s="373">
        <v>65.5</v>
      </c>
      <c r="D88" s="373">
        <v>80.5</v>
      </c>
      <c r="E88" s="374">
        <v>48.3</v>
      </c>
      <c r="F88" s="374">
        <v>73.900000000000006</v>
      </c>
      <c r="G88" s="374">
        <v>104.8</v>
      </c>
    </row>
    <row r="89" spans="1:7" ht="14.5" x14ac:dyDescent="0.3">
      <c r="A89" s="371">
        <v>10</v>
      </c>
      <c r="B89" s="373">
        <v>18.5</v>
      </c>
      <c r="C89" s="373">
        <v>67.7</v>
      </c>
      <c r="D89" s="373">
        <v>79.3</v>
      </c>
      <c r="E89" s="374">
        <v>54.1</v>
      </c>
      <c r="F89" s="374">
        <v>71.599999999999994</v>
      </c>
      <c r="G89" s="374">
        <v>103</v>
      </c>
    </row>
    <row r="90" spans="1:7" ht="14.5" x14ac:dyDescent="0.3">
      <c r="A90" s="371">
        <v>11</v>
      </c>
      <c r="B90" s="373">
        <v>27.5</v>
      </c>
      <c r="C90" s="373">
        <v>59.2</v>
      </c>
      <c r="D90" s="373">
        <v>91.5</v>
      </c>
      <c r="E90" s="374">
        <v>45.1</v>
      </c>
      <c r="F90" s="374">
        <v>69.099999999999994</v>
      </c>
      <c r="G90" s="374">
        <v>107.5</v>
      </c>
    </row>
    <row r="91" spans="1:7" ht="14.5" x14ac:dyDescent="0.3">
      <c r="A91" s="371">
        <v>12</v>
      </c>
      <c r="B91" s="373">
        <v>38</v>
      </c>
      <c r="C91" s="373">
        <v>67.3</v>
      </c>
      <c r="D91" s="373">
        <v>87.7</v>
      </c>
      <c r="E91" s="374">
        <v>35.299999999999997</v>
      </c>
      <c r="F91" s="374">
        <v>67.7</v>
      </c>
      <c r="G91" s="374">
        <v>110.3</v>
      </c>
    </row>
    <row r="92" spans="1:7" ht="14.5" x14ac:dyDescent="0.3">
      <c r="A92" s="371">
        <v>13</v>
      </c>
      <c r="B92" s="373">
        <v>27.1</v>
      </c>
      <c r="C92" s="373">
        <v>53.7</v>
      </c>
      <c r="D92" s="373">
        <v>95.9</v>
      </c>
      <c r="E92" s="375"/>
      <c r="F92" s="375"/>
      <c r="G92" s="375"/>
    </row>
    <row r="93" spans="1:7" ht="14.5" x14ac:dyDescent="0.3">
      <c r="A93" s="371">
        <v>14</v>
      </c>
      <c r="B93" s="373">
        <v>27.7</v>
      </c>
      <c r="C93" s="373">
        <v>53</v>
      </c>
      <c r="D93" s="373">
        <v>76</v>
      </c>
      <c r="E93" s="375"/>
      <c r="F93" s="375"/>
      <c r="G93" s="375"/>
    </row>
    <row r="94" spans="1:7" ht="14.5" x14ac:dyDescent="0.3">
      <c r="A94" s="371">
        <v>15</v>
      </c>
      <c r="B94" s="373">
        <v>45.9</v>
      </c>
      <c r="C94" s="373">
        <v>68.3</v>
      </c>
      <c r="D94" s="373">
        <v>102.7</v>
      </c>
      <c r="E94" s="375"/>
      <c r="F94" s="375"/>
      <c r="G94" s="375"/>
    </row>
    <row r="95" spans="1:7" ht="14.5" x14ac:dyDescent="0.3">
      <c r="A95" s="371">
        <v>16</v>
      </c>
      <c r="B95" s="373">
        <v>22.4</v>
      </c>
      <c r="C95" s="373">
        <v>61</v>
      </c>
      <c r="D95" s="373">
        <v>92.5</v>
      </c>
      <c r="E95" s="375"/>
      <c r="F95" s="375"/>
      <c r="G95" s="375"/>
    </row>
    <row r="96" spans="1:7" ht="14.5" x14ac:dyDescent="0.3">
      <c r="A96" s="371">
        <v>17</v>
      </c>
      <c r="B96" s="373">
        <v>25.9</v>
      </c>
      <c r="C96" s="373">
        <v>62.6</v>
      </c>
      <c r="D96" s="373">
        <v>106.7</v>
      </c>
      <c r="E96" s="375"/>
      <c r="F96" s="375"/>
      <c r="G96" s="375"/>
    </row>
    <row r="97" spans="1:7" ht="14.5" x14ac:dyDescent="0.3">
      <c r="A97" s="371">
        <v>18</v>
      </c>
      <c r="B97" s="373">
        <v>32.700000000000003</v>
      </c>
      <c r="C97" s="373">
        <v>65.7</v>
      </c>
      <c r="D97" s="373">
        <v>81</v>
      </c>
      <c r="E97" s="376"/>
      <c r="F97" s="376"/>
      <c r="G97" s="376"/>
    </row>
    <row r="98" spans="1:7" ht="14.5" x14ac:dyDescent="0.3">
      <c r="A98" s="371">
        <v>19</v>
      </c>
      <c r="B98" s="373">
        <v>47.7</v>
      </c>
      <c r="C98" s="373">
        <v>59.8</v>
      </c>
      <c r="D98" s="373">
        <v>95.1</v>
      </c>
      <c r="E98" s="376"/>
      <c r="F98" s="376"/>
      <c r="G98" s="376"/>
    </row>
    <row r="99" spans="1:7" ht="14.5" x14ac:dyDescent="0.3">
      <c r="A99" s="371">
        <v>20</v>
      </c>
      <c r="B99" s="373">
        <v>18.899999999999999</v>
      </c>
      <c r="C99" s="373">
        <v>64.400000000000006</v>
      </c>
      <c r="D99" s="373">
        <v>99.1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32.9</v>
      </c>
      <c r="C103" s="367">
        <v>68.099999999999994</v>
      </c>
      <c r="D103" s="367">
        <v>70.3</v>
      </c>
      <c r="E103" s="369">
        <v>34.9</v>
      </c>
      <c r="F103" s="369">
        <v>81.599999999999994</v>
      </c>
      <c r="G103" s="369">
        <v>97.9</v>
      </c>
    </row>
    <row r="104" spans="1:7" x14ac:dyDescent="0.25">
      <c r="A104" s="366">
        <v>2</v>
      </c>
      <c r="B104" s="367">
        <v>21.5</v>
      </c>
      <c r="C104" s="367">
        <v>67</v>
      </c>
      <c r="D104" s="367">
        <v>90.1</v>
      </c>
      <c r="E104" s="369">
        <v>31.5</v>
      </c>
      <c r="F104" s="369">
        <v>75.599999999999994</v>
      </c>
      <c r="G104" s="369">
        <v>116</v>
      </c>
    </row>
    <row r="105" spans="1:7" x14ac:dyDescent="0.25">
      <c r="A105" s="366">
        <v>3</v>
      </c>
      <c r="B105" s="367">
        <v>19.5</v>
      </c>
      <c r="C105" s="367">
        <v>52.1</v>
      </c>
      <c r="D105" s="367">
        <v>90.4</v>
      </c>
      <c r="E105" s="369">
        <v>48.3</v>
      </c>
      <c r="F105" s="369">
        <v>66.900000000000006</v>
      </c>
      <c r="G105" s="369">
        <v>100.4</v>
      </c>
    </row>
    <row r="106" spans="1:7" x14ac:dyDescent="0.25">
      <c r="A106" s="366">
        <v>4</v>
      </c>
      <c r="B106" s="367">
        <v>30.7</v>
      </c>
      <c r="C106" s="367">
        <v>69.099999999999994</v>
      </c>
      <c r="D106" s="367">
        <v>87.9</v>
      </c>
      <c r="E106" s="369">
        <v>31.1</v>
      </c>
      <c r="F106" s="369">
        <v>74.7</v>
      </c>
      <c r="G106" s="369">
        <v>95.9</v>
      </c>
    </row>
    <row r="107" spans="1:7" x14ac:dyDescent="0.25">
      <c r="A107" s="366">
        <v>5</v>
      </c>
      <c r="B107" s="367">
        <v>28</v>
      </c>
      <c r="C107" s="367">
        <v>62.6</v>
      </c>
      <c r="D107" s="367">
        <v>70.2</v>
      </c>
      <c r="E107" s="369">
        <v>60.9</v>
      </c>
      <c r="F107" s="369">
        <v>90.2</v>
      </c>
      <c r="G107" s="369">
        <v>117</v>
      </c>
    </row>
    <row r="108" spans="1:7" x14ac:dyDescent="0.25">
      <c r="A108" s="366">
        <v>6</v>
      </c>
      <c r="B108" s="367">
        <v>21</v>
      </c>
      <c r="C108" s="367">
        <v>55.8</v>
      </c>
      <c r="D108" s="367">
        <v>75.099999999999994</v>
      </c>
      <c r="E108" s="369">
        <v>46.4</v>
      </c>
      <c r="F108" s="369">
        <v>72.900000000000006</v>
      </c>
      <c r="G108" s="369">
        <v>100.8</v>
      </c>
    </row>
    <row r="109" spans="1:7" x14ac:dyDescent="0.25">
      <c r="A109" s="366">
        <v>7</v>
      </c>
      <c r="B109" s="367">
        <v>43.6</v>
      </c>
      <c r="C109" s="367">
        <v>69.099999999999994</v>
      </c>
      <c r="D109" s="367">
        <v>99.1</v>
      </c>
      <c r="E109" s="367"/>
      <c r="F109" s="367"/>
      <c r="G109" s="367"/>
    </row>
    <row r="110" spans="1:7" x14ac:dyDescent="0.25">
      <c r="A110" s="366">
        <v>8</v>
      </c>
      <c r="B110" s="367">
        <v>45.5</v>
      </c>
      <c r="C110" s="367">
        <v>51.5</v>
      </c>
      <c r="D110" s="367">
        <v>107.6</v>
      </c>
      <c r="E110" s="367"/>
      <c r="F110" s="367"/>
      <c r="G110" s="367"/>
    </row>
    <row r="111" spans="1:7" x14ac:dyDescent="0.25">
      <c r="A111" s="366">
        <v>9</v>
      </c>
      <c r="B111" s="367">
        <v>47.5</v>
      </c>
      <c r="C111" s="367">
        <v>52.2</v>
      </c>
      <c r="D111" s="367">
        <v>79.099999999999994</v>
      </c>
      <c r="E111" s="367"/>
      <c r="F111" s="367"/>
      <c r="G111" s="367"/>
    </row>
    <row r="112" spans="1:7" x14ac:dyDescent="0.25">
      <c r="A112" s="366">
        <v>10</v>
      </c>
      <c r="B112" s="367">
        <v>20.5</v>
      </c>
      <c r="C112" s="367">
        <v>55.9</v>
      </c>
      <c r="D112" s="367">
        <v>77.3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92.4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40.9</v>
      </c>
      <c r="C117" s="357">
        <v>53.8</v>
      </c>
      <c r="D117" s="357">
        <v>85.1</v>
      </c>
      <c r="E117" s="357"/>
      <c r="F117" s="357"/>
      <c r="G117" s="357"/>
    </row>
    <row r="118" spans="1:7" x14ac:dyDescent="0.25">
      <c r="A118" s="356">
        <v>2</v>
      </c>
      <c r="B118" s="357">
        <v>23.8</v>
      </c>
      <c r="C118" s="357">
        <v>64.2</v>
      </c>
      <c r="D118" s="357">
        <v>75.7</v>
      </c>
      <c r="E118" s="357"/>
      <c r="F118" s="357"/>
      <c r="G118" s="357"/>
    </row>
    <row r="119" spans="1:7" x14ac:dyDescent="0.25">
      <c r="A119" s="356">
        <v>3</v>
      </c>
      <c r="B119" s="357">
        <v>27.7</v>
      </c>
      <c r="C119" s="357">
        <v>59.2</v>
      </c>
      <c r="D119" s="357">
        <v>103.9</v>
      </c>
      <c r="E119" s="357"/>
      <c r="F119" s="357"/>
      <c r="G119" s="357"/>
    </row>
    <row r="120" spans="1:7" x14ac:dyDescent="0.25">
      <c r="A120" s="356">
        <v>4</v>
      </c>
      <c r="B120" s="357">
        <v>46.8</v>
      </c>
      <c r="C120" s="357">
        <v>67.2</v>
      </c>
      <c r="D120" s="357">
        <v>74.5</v>
      </c>
      <c r="E120" s="357"/>
      <c r="F120" s="357"/>
      <c r="G120" s="357"/>
    </row>
    <row r="121" spans="1:7" x14ac:dyDescent="0.25">
      <c r="A121" s="356">
        <v>5</v>
      </c>
      <c r="B121" s="357">
        <v>46.7</v>
      </c>
      <c r="C121" s="357">
        <v>65.599999999999994</v>
      </c>
      <c r="D121" s="357">
        <v>104.3</v>
      </c>
      <c r="E121" s="357"/>
      <c r="F121" s="357"/>
      <c r="G121" s="357"/>
    </row>
    <row r="122" spans="1:7" x14ac:dyDescent="0.25">
      <c r="A122" s="356">
        <v>6</v>
      </c>
      <c r="B122" s="357">
        <v>46.7</v>
      </c>
      <c r="C122" s="357">
        <v>59.3</v>
      </c>
      <c r="D122" s="357">
        <v>99.7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61.3</v>
      </c>
      <c r="C127" s="380">
        <f>ROUNDDOWN(AVERAGE(E5:G12),1)</f>
        <v>77.400000000000006</v>
      </c>
      <c r="D127" s="378">
        <v>19899</v>
      </c>
      <c r="E127" s="378">
        <v>12581</v>
      </c>
      <c r="F127" s="378">
        <f>B127*D127</f>
        <v>1219808.7</v>
      </c>
      <c r="G127" s="378">
        <f>C127*E127</f>
        <v>973769.4</v>
      </c>
    </row>
    <row r="128" spans="1:7" x14ac:dyDescent="0.25">
      <c r="A128" s="379" t="str">
        <f>A17</f>
        <v>Chongzuo Zuozhou swine Farm</v>
      </c>
      <c r="B128" s="380">
        <f>ROUNDDOWN(AVERAGE(B20:D26),1)</f>
        <v>61.5</v>
      </c>
      <c r="C128" s="380">
        <f>ROUNDDOWN(AVERAGE(E20:G23),1)</f>
        <v>76.599999999999994</v>
      </c>
      <c r="D128" s="378">
        <v>10998</v>
      </c>
      <c r="E128" s="378">
        <v>6989</v>
      </c>
      <c r="F128" s="378">
        <f t="shared" ref="F128:G135" si="0">B128*D128</f>
        <v>676377</v>
      </c>
      <c r="G128" s="378">
        <f>C128*E128</f>
        <v>535357.39999999991</v>
      </c>
    </row>
    <row r="129" spans="1:7" x14ac:dyDescent="0.25">
      <c r="A129" s="379" t="str">
        <f>A27</f>
        <v>Tianyang Wucun swine Farm</v>
      </c>
      <c r="B129" s="380">
        <f>ROUNDDOWN(AVERAGE(B30:D35),1)</f>
        <v>65.2</v>
      </c>
      <c r="C129" s="380">
        <f>ROUNDDOWN(AVERAGE(E30:G35),1)</f>
        <v>78.7</v>
      </c>
      <c r="D129" s="378">
        <v>9501</v>
      </c>
      <c r="E129" s="378">
        <v>6022</v>
      </c>
      <c r="F129" s="378">
        <f t="shared" si="0"/>
        <v>619465.20000000007</v>
      </c>
      <c r="G129" s="378">
        <f>C129*E129</f>
        <v>473931.4</v>
      </c>
    </row>
    <row r="130" spans="1:7" x14ac:dyDescent="0.25">
      <c r="A130" s="379" t="str">
        <f>A36</f>
        <v>Quanzhou Dengjiabu swine Farm</v>
      </c>
      <c r="B130" s="380">
        <f>ROUNDDOWN(AVERAGE(B39:D42),1)</f>
        <v>57.3</v>
      </c>
      <c r="C130" s="380">
        <f>ROUNDDOWN(AVERAGE(E39:G42),1)</f>
        <v>83.1</v>
      </c>
      <c r="D130" s="378">
        <v>5446</v>
      </c>
      <c r="E130" s="378">
        <v>3360</v>
      </c>
      <c r="F130" s="378">
        <f t="shared" si="0"/>
        <v>312055.8</v>
      </c>
      <c r="G130" s="378">
        <f t="shared" si="0"/>
        <v>279216</v>
      </c>
    </row>
    <row r="131" spans="1:7" x14ac:dyDescent="0.25">
      <c r="A131" s="379" t="str">
        <f>A43</f>
        <v>Chongzuo Quming swine Farm</v>
      </c>
      <c r="B131" s="380">
        <f>ROUNDDOWN(AVERAGE(B46:D58),1)</f>
        <v>62.4</v>
      </c>
      <c r="C131" s="380">
        <f>ROUNDDOWN(AVERAGE(E46:G53),1)</f>
        <v>78.5</v>
      </c>
      <c r="D131" s="378">
        <v>22352</v>
      </c>
      <c r="E131" s="378">
        <v>13994</v>
      </c>
      <c r="F131" s="378">
        <f t="shared" si="0"/>
        <v>1394764.8</v>
      </c>
      <c r="G131" s="378">
        <f t="shared" si="0"/>
        <v>1098529</v>
      </c>
    </row>
    <row r="132" spans="1:7" x14ac:dyDescent="0.25">
      <c r="A132" s="379" t="str">
        <f>A59</f>
        <v>Jingxi swine Farm</v>
      </c>
      <c r="B132" s="380">
        <f>ROUNDDOWN(AVERAGE(B62:D76),1)</f>
        <v>62.6</v>
      </c>
      <c r="C132" s="380">
        <f>ROUNDDOWN(AVERAGE(E62:G71),1)</f>
        <v>76.099999999999994</v>
      </c>
      <c r="D132" s="378">
        <v>26116</v>
      </c>
      <c r="E132" s="378">
        <v>15907</v>
      </c>
      <c r="F132" s="378">
        <f t="shared" si="0"/>
        <v>1634861.6</v>
      </c>
      <c r="G132" s="378">
        <f t="shared" si="0"/>
        <v>1210522.7</v>
      </c>
    </row>
    <row r="133" spans="1:7" x14ac:dyDescent="0.25">
      <c r="A133" s="379" t="str">
        <f>A77</f>
        <v>Liucheng Mashan swine Farm</v>
      </c>
      <c r="B133" s="380">
        <f>ROUNDDOWN(AVERAGE(B80:D99),1)</f>
        <v>60.6</v>
      </c>
      <c r="C133" s="378">
        <f>ROUNDDOWN(AVERAGE(E80:G91),1)</f>
        <v>76.8</v>
      </c>
      <c r="D133" s="378">
        <v>33500</v>
      </c>
      <c r="E133" s="378">
        <v>20616</v>
      </c>
      <c r="F133" s="378">
        <f t="shared" si="0"/>
        <v>2030100</v>
      </c>
      <c r="G133" s="378">
        <f t="shared" si="0"/>
        <v>1583308.8</v>
      </c>
    </row>
    <row r="134" spans="1:7" x14ac:dyDescent="0.25">
      <c r="A134" s="379" t="str">
        <f>A100</f>
        <v>Tengxian Tianping swine Farm</v>
      </c>
      <c r="B134" s="380">
        <f>ROUNDDOWN(AVERAGE(B103:D113),1)</f>
        <v>59.7</v>
      </c>
      <c r="C134" s="378">
        <f>ROUNDDOWN(AVERAGE(E103:G108),1)</f>
        <v>74.599999999999994</v>
      </c>
      <c r="D134" s="378">
        <v>16255</v>
      </c>
      <c r="E134" s="378">
        <v>10363</v>
      </c>
      <c r="F134" s="378">
        <f t="shared" si="0"/>
        <v>970423.5</v>
      </c>
      <c r="G134" s="378">
        <f t="shared" si="0"/>
        <v>773079.79999999993</v>
      </c>
    </row>
    <row r="135" spans="1:7" x14ac:dyDescent="0.25">
      <c r="A135" s="379" t="str">
        <f>A114</f>
        <v>Debao Chengguan swine Farm</v>
      </c>
      <c r="B135" s="380">
        <f>ROUNDDOWN(AVERAGE(B117:D122),1)</f>
        <v>63.6</v>
      </c>
      <c r="C135" s="378">
        <v>0</v>
      </c>
      <c r="D135" s="378">
        <v>8758</v>
      </c>
      <c r="E135" s="378">
        <v>0</v>
      </c>
      <c r="F135" s="378">
        <f t="shared" si="0"/>
        <v>557008.80000000005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89832</v>
      </c>
      <c r="F136" s="378">
        <f>SUM(F127:F135)</f>
        <v>9414865.4000000004</v>
      </c>
      <c r="G136" s="378">
        <f>SUM(G127:G134)</f>
        <v>6927714.4999999991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61.6</v>
      </c>
      <c r="D140" s="381">
        <f>ROUNDDOWN(G136/E136,1)</f>
        <v>77.099999999999994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0513-05A2-4334-AC7E-D16DB8920B70}">
  <dimension ref="A1:G140"/>
  <sheetViews>
    <sheetView topLeftCell="A28" workbookViewId="0">
      <selection activeCell="E39" sqref="E39: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19.100000000000001</v>
      </c>
      <c r="C5" s="345">
        <v>52.7</v>
      </c>
      <c r="D5" s="345">
        <v>98.1</v>
      </c>
      <c r="E5" s="346">
        <v>35.6</v>
      </c>
      <c r="F5" s="346">
        <v>66.900000000000006</v>
      </c>
      <c r="G5" s="346">
        <v>113.6</v>
      </c>
    </row>
    <row r="6" spans="1:7" x14ac:dyDescent="0.25">
      <c r="A6" s="343">
        <v>2</v>
      </c>
      <c r="B6" s="345">
        <v>29.2</v>
      </c>
      <c r="C6" s="345">
        <v>68.8</v>
      </c>
      <c r="D6" s="345">
        <v>78.599999999999994</v>
      </c>
      <c r="E6" s="346">
        <v>63.3</v>
      </c>
      <c r="F6" s="346">
        <v>76.8</v>
      </c>
      <c r="G6" s="346">
        <v>99.1</v>
      </c>
    </row>
    <row r="7" spans="1:7" x14ac:dyDescent="0.25">
      <c r="A7" s="343">
        <v>3</v>
      </c>
      <c r="B7" s="345">
        <v>29.2</v>
      </c>
      <c r="C7" s="345">
        <v>53.7</v>
      </c>
      <c r="D7" s="345">
        <v>89.9</v>
      </c>
      <c r="E7" s="346">
        <v>38.1</v>
      </c>
      <c r="F7" s="346">
        <v>65</v>
      </c>
      <c r="G7" s="346">
        <v>110.3</v>
      </c>
    </row>
    <row r="8" spans="1:7" x14ac:dyDescent="0.25">
      <c r="A8" s="343">
        <v>4</v>
      </c>
      <c r="B8" s="345">
        <v>44.7</v>
      </c>
      <c r="C8" s="345">
        <v>57.4</v>
      </c>
      <c r="D8" s="345">
        <v>97.5</v>
      </c>
      <c r="E8" s="346">
        <v>57.1</v>
      </c>
      <c r="F8" s="346">
        <v>76.3</v>
      </c>
      <c r="G8" s="346">
        <v>118.3</v>
      </c>
    </row>
    <row r="9" spans="1:7" x14ac:dyDescent="0.25">
      <c r="A9" s="343">
        <v>5</v>
      </c>
      <c r="B9" s="345">
        <v>31.4</v>
      </c>
      <c r="C9" s="345">
        <v>66.599999999999994</v>
      </c>
      <c r="D9" s="345">
        <v>72.5</v>
      </c>
      <c r="E9" s="346">
        <v>64.900000000000006</v>
      </c>
      <c r="F9" s="346">
        <v>81</v>
      </c>
      <c r="G9" s="346">
        <v>118.6</v>
      </c>
    </row>
    <row r="10" spans="1:7" x14ac:dyDescent="0.25">
      <c r="A10" s="343">
        <v>6</v>
      </c>
      <c r="B10" s="345">
        <v>41.1</v>
      </c>
      <c r="C10" s="345">
        <v>59.9</v>
      </c>
      <c r="D10" s="345">
        <v>101.8</v>
      </c>
      <c r="E10" s="346">
        <v>48.9</v>
      </c>
      <c r="F10" s="346">
        <v>87.1</v>
      </c>
      <c r="G10" s="346">
        <v>105.1</v>
      </c>
    </row>
    <row r="11" spans="1:7" x14ac:dyDescent="0.25">
      <c r="A11" s="343">
        <v>7</v>
      </c>
      <c r="B11" s="345">
        <v>21</v>
      </c>
      <c r="C11" s="345">
        <v>57.9</v>
      </c>
      <c r="D11" s="345">
        <v>99.7</v>
      </c>
      <c r="E11" s="346">
        <v>49.6</v>
      </c>
      <c r="F11" s="346">
        <v>82.3</v>
      </c>
      <c r="G11" s="346">
        <v>105.6</v>
      </c>
    </row>
    <row r="12" spans="1:7" x14ac:dyDescent="0.25">
      <c r="A12" s="343">
        <v>8</v>
      </c>
      <c r="B12" s="345">
        <v>43</v>
      </c>
      <c r="C12" s="345">
        <v>50.4</v>
      </c>
      <c r="D12" s="345">
        <v>101.8</v>
      </c>
      <c r="E12" s="346">
        <v>31.1</v>
      </c>
      <c r="F12" s="346">
        <v>81.8</v>
      </c>
      <c r="G12" s="346">
        <v>111.3</v>
      </c>
    </row>
    <row r="13" spans="1:7" x14ac:dyDescent="0.25">
      <c r="A13" s="343">
        <v>9</v>
      </c>
      <c r="B13" s="345">
        <v>45.9</v>
      </c>
      <c r="C13" s="345">
        <v>61.8</v>
      </c>
      <c r="D13" s="345">
        <v>93.4</v>
      </c>
      <c r="E13" s="345"/>
      <c r="F13" s="345"/>
      <c r="G13" s="345"/>
    </row>
    <row r="14" spans="1:7" x14ac:dyDescent="0.25">
      <c r="A14" s="343">
        <v>10</v>
      </c>
      <c r="B14" s="345">
        <v>30.8</v>
      </c>
      <c r="C14" s="345">
        <v>59.8</v>
      </c>
      <c r="D14" s="345">
        <v>109.4</v>
      </c>
      <c r="E14" s="345"/>
      <c r="F14" s="345"/>
      <c r="G14" s="345"/>
    </row>
    <row r="15" spans="1:7" x14ac:dyDescent="0.25">
      <c r="A15" s="343">
        <v>11</v>
      </c>
      <c r="B15" s="345">
        <v>34.1</v>
      </c>
      <c r="C15" s="345">
        <v>60.8</v>
      </c>
      <c r="D15" s="345">
        <v>107.1</v>
      </c>
      <c r="E15" s="345"/>
      <c r="F15" s="345"/>
      <c r="G15" s="345"/>
    </row>
    <row r="16" spans="1:7" x14ac:dyDescent="0.25">
      <c r="A16" s="343">
        <v>12</v>
      </c>
      <c r="B16" s="345">
        <v>20.6</v>
      </c>
      <c r="C16" s="345">
        <v>59.3</v>
      </c>
      <c r="D16" s="345">
        <v>102.7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36.5</v>
      </c>
      <c r="C20" s="350">
        <v>70</v>
      </c>
      <c r="D20" s="350">
        <v>89.2</v>
      </c>
      <c r="E20" s="350">
        <v>40.4</v>
      </c>
      <c r="F20" s="350">
        <v>65.3</v>
      </c>
      <c r="G20" s="350">
        <v>119</v>
      </c>
    </row>
    <row r="21" spans="1:7" x14ac:dyDescent="0.25">
      <c r="A21" s="348">
        <v>2</v>
      </c>
      <c r="B21" s="350">
        <v>42.2</v>
      </c>
      <c r="C21" s="350">
        <v>58.4</v>
      </c>
      <c r="D21" s="350">
        <v>106.6</v>
      </c>
      <c r="E21" s="350">
        <v>58.9</v>
      </c>
      <c r="F21" s="350">
        <v>83.2</v>
      </c>
      <c r="G21" s="350">
        <v>108.5</v>
      </c>
    </row>
    <row r="22" spans="1:7" x14ac:dyDescent="0.25">
      <c r="A22" s="348">
        <v>3</v>
      </c>
      <c r="B22" s="350">
        <v>26.6</v>
      </c>
      <c r="C22" s="350">
        <v>57.9</v>
      </c>
      <c r="D22" s="350">
        <v>92.9</v>
      </c>
      <c r="E22" s="350">
        <v>30.9</v>
      </c>
      <c r="F22" s="350">
        <v>78.8</v>
      </c>
      <c r="G22" s="350">
        <v>109.7</v>
      </c>
    </row>
    <row r="23" spans="1:7" x14ac:dyDescent="0.25">
      <c r="A23" s="348">
        <v>4</v>
      </c>
      <c r="B23" s="350">
        <v>42.5</v>
      </c>
      <c r="C23" s="350">
        <v>51.4</v>
      </c>
      <c r="D23" s="350">
        <v>88.8</v>
      </c>
      <c r="E23" s="350">
        <v>38.200000000000003</v>
      </c>
      <c r="F23" s="350">
        <v>90.2</v>
      </c>
      <c r="G23" s="350">
        <v>117.2</v>
      </c>
    </row>
    <row r="24" spans="1:7" x14ac:dyDescent="0.25">
      <c r="A24" s="348">
        <v>5</v>
      </c>
      <c r="B24" s="350">
        <v>37.6</v>
      </c>
      <c r="C24" s="350">
        <v>51.8</v>
      </c>
      <c r="D24" s="350">
        <v>87.5</v>
      </c>
      <c r="E24" s="350"/>
      <c r="F24" s="350"/>
      <c r="G24" s="350"/>
    </row>
    <row r="25" spans="1:7" x14ac:dyDescent="0.25">
      <c r="A25" s="348">
        <v>6</v>
      </c>
      <c r="B25" s="350">
        <v>33.9</v>
      </c>
      <c r="C25" s="350">
        <v>51.8</v>
      </c>
      <c r="D25" s="350">
        <v>99.9</v>
      </c>
      <c r="E25" s="350"/>
      <c r="F25" s="350"/>
      <c r="G25" s="350"/>
    </row>
    <row r="26" spans="1:7" x14ac:dyDescent="0.25">
      <c r="A26" s="348">
        <v>7</v>
      </c>
      <c r="B26" s="350">
        <v>26.1</v>
      </c>
      <c r="C26" s="350">
        <v>57.4</v>
      </c>
      <c r="D26" s="350">
        <v>109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21</v>
      </c>
      <c r="C30" s="353">
        <v>53</v>
      </c>
      <c r="D30" s="353">
        <v>82.8</v>
      </c>
      <c r="E30" s="354">
        <v>31</v>
      </c>
      <c r="F30" s="354">
        <v>76.400000000000006</v>
      </c>
      <c r="G30" s="354">
        <v>101.6</v>
      </c>
    </row>
    <row r="31" spans="1:7" x14ac:dyDescent="0.25">
      <c r="A31" s="352">
        <v>2</v>
      </c>
      <c r="B31" s="353">
        <v>20.6</v>
      </c>
      <c r="C31" s="353">
        <v>66.8</v>
      </c>
      <c r="D31" s="353">
        <v>89.6</v>
      </c>
      <c r="E31" s="354">
        <v>33.6</v>
      </c>
      <c r="F31" s="354">
        <v>68.2</v>
      </c>
      <c r="G31" s="354">
        <v>103</v>
      </c>
    </row>
    <row r="32" spans="1:7" x14ac:dyDescent="0.25">
      <c r="A32" s="352">
        <v>3</v>
      </c>
      <c r="B32" s="353">
        <v>19.8</v>
      </c>
      <c r="C32" s="353">
        <v>53.1</v>
      </c>
      <c r="D32" s="353">
        <v>109.4</v>
      </c>
      <c r="E32" s="354">
        <v>38.9</v>
      </c>
      <c r="F32" s="354">
        <v>88.2</v>
      </c>
      <c r="G32" s="354">
        <v>95.7</v>
      </c>
    </row>
    <row r="33" spans="1:7" x14ac:dyDescent="0.25">
      <c r="A33" s="352">
        <v>4</v>
      </c>
      <c r="B33" s="353">
        <v>22.2</v>
      </c>
      <c r="C33" s="353">
        <v>57.9</v>
      </c>
      <c r="D33" s="353">
        <v>90.9</v>
      </c>
      <c r="E33" s="354">
        <v>42.8</v>
      </c>
      <c r="F33" s="354">
        <v>65.099999999999994</v>
      </c>
      <c r="G33" s="354">
        <v>115.8</v>
      </c>
    </row>
    <row r="34" spans="1:7" x14ac:dyDescent="0.25">
      <c r="A34" s="352">
        <v>5</v>
      </c>
      <c r="B34" s="353">
        <v>47.9</v>
      </c>
      <c r="C34" s="353">
        <v>62.3</v>
      </c>
      <c r="D34" s="353">
        <v>97</v>
      </c>
      <c r="E34" s="353"/>
      <c r="F34" s="353"/>
      <c r="G34" s="353"/>
    </row>
    <row r="35" spans="1:7" x14ac:dyDescent="0.25">
      <c r="A35" s="352">
        <v>6</v>
      </c>
      <c r="B35" s="353">
        <v>25.4</v>
      </c>
      <c r="C35" s="353">
        <v>54.6</v>
      </c>
      <c r="D35" s="353">
        <v>100.4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33.5</v>
      </c>
      <c r="C39" s="357">
        <v>66.900000000000006</v>
      </c>
      <c r="D39" s="357">
        <v>86.1</v>
      </c>
      <c r="E39" s="358">
        <v>33.799999999999997</v>
      </c>
      <c r="F39" s="358">
        <v>71.2</v>
      </c>
      <c r="G39" s="358">
        <v>103</v>
      </c>
    </row>
    <row r="40" spans="1:7" x14ac:dyDescent="0.25">
      <c r="A40" s="356">
        <v>2</v>
      </c>
      <c r="B40" s="357">
        <v>21.8</v>
      </c>
      <c r="C40" s="357">
        <v>50.7</v>
      </c>
      <c r="D40" s="357">
        <v>102.9</v>
      </c>
      <c r="E40" s="358">
        <v>33.1</v>
      </c>
      <c r="F40" s="358">
        <v>83.5</v>
      </c>
      <c r="G40" s="358">
        <v>111.2</v>
      </c>
    </row>
    <row r="41" spans="1:7" x14ac:dyDescent="0.25">
      <c r="A41" s="356">
        <v>3</v>
      </c>
      <c r="B41" s="357">
        <v>35.9</v>
      </c>
      <c r="C41" s="357">
        <v>68.3</v>
      </c>
      <c r="D41" s="357">
        <v>109.2</v>
      </c>
      <c r="E41" s="357"/>
      <c r="F41" s="358">
        <v>66.5</v>
      </c>
      <c r="G41" s="358">
        <v>104.8</v>
      </c>
    </row>
    <row r="42" spans="1:7" x14ac:dyDescent="0.25">
      <c r="A42" s="356">
        <v>4</v>
      </c>
      <c r="B42" s="357">
        <v>30.5</v>
      </c>
      <c r="C42" s="357">
        <v>66.2</v>
      </c>
      <c r="D42" s="357">
        <v>74.2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40.799999999999997</v>
      </c>
      <c r="C46" s="362">
        <v>53</v>
      </c>
      <c r="D46" s="362">
        <v>76.900000000000006</v>
      </c>
      <c r="E46" s="363">
        <v>55.8</v>
      </c>
      <c r="F46" s="363">
        <v>78.099999999999994</v>
      </c>
      <c r="G46" s="363">
        <v>97.7</v>
      </c>
    </row>
    <row r="47" spans="1:7" ht="14.5" x14ac:dyDescent="0.3">
      <c r="A47" s="360">
        <v>2</v>
      </c>
      <c r="B47" s="362">
        <v>37.6</v>
      </c>
      <c r="C47" s="362">
        <v>60.5</v>
      </c>
      <c r="D47" s="362">
        <v>88</v>
      </c>
      <c r="E47" s="363">
        <v>36.799999999999997</v>
      </c>
      <c r="F47" s="363">
        <v>95</v>
      </c>
      <c r="G47" s="363">
        <v>105.4</v>
      </c>
    </row>
    <row r="48" spans="1:7" ht="14.5" x14ac:dyDescent="0.3">
      <c r="A48" s="360">
        <v>3</v>
      </c>
      <c r="B48" s="362">
        <v>47.1</v>
      </c>
      <c r="C48" s="362">
        <v>69</v>
      </c>
      <c r="D48" s="362">
        <v>80.900000000000006</v>
      </c>
      <c r="E48" s="363">
        <v>47.7</v>
      </c>
      <c r="F48" s="363">
        <v>89.4</v>
      </c>
      <c r="G48" s="363">
        <v>112.3</v>
      </c>
    </row>
    <row r="49" spans="1:7" ht="14.5" x14ac:dyDescent="0.3">
      <c r="A49" s="360">
        <v>4</v>
      </c>
      <c r="B49" s="362">
        <v>28.2</v>
      </c>
      <c r="C49" s="362">
        <v>68.900000000000006</v>
      </c>
      <c r="D49" s="362">
        <v>78.400000000000006</v>
      </c>
      <c r="E49" s="363">
        <v>64.599999999999994</v>
      </c>
      <c r="F49" s="363">
        <v>79.900000000000006</v>
      </c>
      <c r="G49" s="363">
        <v>99.3</v>
      </c>
    </row>
    <row r="50" spans="1:7" ht="14.5" x14ac:dyDescent="0.3">
      <c r="A50" s="360">
        <v>5</v>
      </c>
      <c r="B50" s="362">
        <v>43.4</v>
      </c>
      <c r="C50" s="362">
        <v>69.900000000000006</v>
      </c>
      <c r="D50" s="362">
        <v>99.7</v>
      </c>
      <c r="E50" s="363">
        <v>48.1</v>
      </c>
      <c r="F50" s="363">
        <v>82.1</v>
      </c>
      <c r="G50" s="363">
        <v>112.5</v>
      </c>
    </row>
    <row r="51" spans="1:7" ht="14.5" x14ac:dyDescent="0.3">
      <c r="A51" s="360">
        <v>6</v>
      </c>
      <c r="B51" s="362">
        <v>38</v>
      </c>
      <c r="C51" s="362">
        <v>69.8</v>
      </c>
      <c r="D51" s="362">
        <v>77.599999999999994</v>
      </c>
      <c r="E51" s="363">
        <v>32.6</v>
      </c>
      <c r="F51" s="363">
        <v>67.7</v>
      </c>
      <c r="G51" s="363">
        <v>116.9</v>
      </c>
    </row>
    <row r="52" spans="1:7" ht="14.5" x14ac:dyDescent="0.3">
      <c r="A52" s="360">
        <v>7</v>
      </c>
      <c r="B52" s="362">
        <v>35.4</v>
      </c>
      <c r="C52" s="362">
        <v>66.3</v>
      </c>
      <c r="D52" s="362">
        <v>109.2</v>
      </c>
      <c r="E52" s="363">
        <v>57.8</v>
      </c>
      <c r="F52" s="363">
        <v>93</v>
      </c>
      <c r="G52" s="363">
        <v>110</v>
      </c>
    </row>
    <row r="53" spans="1:7" ht="14.5" x14ac:dyDescent="0.3">
      <c r="A53" s="360">
        <v>8</v>
      </c>
      <c r="B53" s="362">
        <v>36.4</v>
      </c>
      <c r="C53" s="362">
        <v>54.5</v>
      </c>
      <c r="D53" s="362">
        <v>90.7</v>
      </c>
      <c r="E53" s="363">
        <v>60.9</v>
      </c>
      <c r="F53" s="363">
        <v>82.1</v>
      </c>
      <c r="G53" s="363">
        <v>108.4</v>
      </c>
    </row>
    <row r="54" spans="1:7" ht="14.5" x14ac:dyDescent="0.3">
      <c r="A54" s="360">
        <v>9</v>
      </c>
      <c r="B54" s="362">
        <v>41.8</v>
      </c>
      <c r="C54" s="362">
        <v>65.8</v>
      </c>
      <c r="D54" s="362">
        <v>103.7</v>
      </c>
      <c r="E54" s="362"/>
      <c r="F54" s="362"/>
      <c r="G54" s="362"/>
    </row>
    <row r="55" spans="1:7" ht="14.5" x14ac:dyDescent="0.3">
      <c r="A55" s="360">
        <v>10</v>
      </c>
      <c r="B55" s="362">
        <v>34.5</v>
      </c>
      <c r="C55" s="362">
        <v>51.2</v>
      </c>
      <c r="D55" s="362">
        <v>93.1</v>
      </c>
      <c r="E55" s="364"/>
      <c r="F55" s="364"/>
      <c r="G55" s="364"/>
    </row>
    <row r="56" spans="1:7" ht="14.5" x14ac:dyDescent="0.3">
      <c r="A56" s="360">
        <v>11</v>
      </c>
      <c r="B56" s="362">
        <v>18.100000000000001</v>
      </c>
      <c r="C56" s="362">
        <v>66.2</v>
      </c>
      <c r="D56" s="362">
        <v>82</v>
      </c>
      <c r="E56" s="364"/>
      <c r="F56" s="364"/>
      <c r="G56" s="364"/>
    </row>
    <row r="57" spans="1:7" ht="14.5" x14ac:dyDescent="0.3">
      <c r="A57" s="360">
        <v>12</v>
      </c>
      <c r="B57" s="362">
        <v>22.9</v>
      </c>
      <c r="C57" s="362">
        <v>56.2</v>
      </c>
      <c r="D57" s="362">
        <v>93.4</v>
      </c>
      <c r="E57" s="364"/>
      <c r="F57" s="364"/>
      <c r="G57" s="364"/>
    </row>
    <row r="58" spans="1:7" ht="14.5" x14ac:dyDescent="0.3">
      <c r="A58" s="360">
        <v>13</v>
      </c>
      <c r="B58" s="362">
        <v>49.1</v>
      </c>
      <c r="C58" s="362">
        <v>69.3</v>
      </c>
      <c r="D58" s="362">
        <v>104.4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32.4</v>
      </c>
      <c r="C62" s="368">
        <v>62.9</v>
      </c>
      <c r="D62" s="368">
        <v>90.4</v>
      </c>
      <c r="E62" s="369">
        <v>59.1</v>
      </c>
      <c r="F62" s="369">
        <v>87.9</v>
      </c>
      <c r="G62" s="369">
        <v>98.7</v>
      </c>
    </row>
    <row r="63" spans="1:7" ht="14.5" x14ac:dyDescent="0.3">
      <c r="A63" s="366">
        <v>2</v>
      </c>
      <c r="B63" s="368">
        <v>19.399999999999999</v>
      </c>
      <c r="C63" s="368">
        <v>51.9</v>
      </c>
      <c r="D63" s="368">
        <v>96.8</v>
      </c>
      <c r="E63" s="369">
        <v>56.3</v>
      </c>
      <c r="F63" s="369">
        <v>67.5</v>
      </c>
      <c r="G63" s="369">
        <v>103.1</v>
      </c>
    </row>
    <row r="64" spans="1:7" ht="14.5" x14ac:dyDescent="0.3">
      <c r="A64" s="366">
        <v>3</v>
      </c>
      <c r="B64" s="368">
        <v>36.6</v>
      </c>
      <c r="C64" s="368">
        <v>61.8</v>
      </c>
      <c r="D64" s="368">
        <v>101.5</v>
      </c>
      <c r="E64" s="369">
        <v>52.4</v>
      </c>
      <c r="F64" s="369">
        <v>88.8</v>
      </c>
      <c r="G64" s="369">
        <v>112.2</v>
      </c>
    </row>
    <row r="65" spans="1:7" ht="14.5" x14ac:dyDescent="0.3">
      <c r="A65" s="366">
        <v>4</v>
      </c>
      <c r="B65" s="368">
        <v>24.2</v>
      </c>
      <c r="C65" s="368">
        <v>51</v>
      </c>
      <c r="D65" s="368">
        <v>100.8</v>
      </c>
      <c r="E65" s="369">
        <v>49.7</v>
      </c>
      <c r="F65" s="369">
        <v>69.900000000000006</v>
      </c>
      <c r="G65" s="369">
        <v>111.7</v>
      </c>
    </row>
    <row r="66" spans="1:7" ht="14.5" x14ac:dyDescent="0.3">
      <c r="A66" s="366">
        <v>5</v>
      </c>
      <c r="B66" s="368">
        <v>33.6</v>
      </c>
      <c r="C66" s="368">
        <v>55.1</v>
      </c>
      <c r="D66" s="368">
        <v>106.2</v>
      </c>
      <c r="E66" s="369">
        <v>43.7</v>
      </c>
      <c r="F66" s="369">
        <v>83.8</v>
      </c>
      <c r="G66" s="369">
        <v>102.8</v>
      </c>
    </row>
    <row r="67" spans="1:7" ht="14.5" x14ac:dyDescent="0.3">
      <c r="A67" s="366">
        <v>6</v>
      </c>
      <c r="B67" s="368">
        <v>41.2</v>
      </c>
      <c r="C67" s="368">
        <v>54.4</v>
      </c>
      <c r="D67" s="368">
        <v>88.6</v>
      </c>
      <c r="E67" s="369">
        <v>44.5</v>
      </c>
      <c r="F67" s="369">
        <v>81.8</v>
      </c>
      <c r="G67" s="369">
        <v>119.8</v>
      </c>
    </row>
    <row r="68" spans="1:7" ht="14.5" x14ac:dyDescent="0.3">
      <c r="A68" s="366">
        <v>7</v>
      </c>
      <c r="B68" s="368">
        <v>36.200000000000003</v>
      </c>
      <c r="C68" s="368">
        <v>54</v>
      </c>
      <c r="D68" s="368">
        <v>74.5</v>
      </c>
      <c r="E68" s="369">
        <v>32.200000000000003</v>
      </c>
      <c r="F68" s="369">
        <v>72.8</v>
      </c>
      <c r="G68" s="369">
        <v>101.1</v>
      </c>
    </row>
    <row r="69" spans="1:7" ht="14.5" x14ac:dyDescent="0.3">
      <c r="A69" s="366">
        <v>8</v>
      </c>
      <c r="B69" s="368">
        <v>18.7</v>
      </c>
      <c r="C69" s="368">
        <v>52.6</v>
      </c>
      <c r="D69" s="368">
        <v>105.6</v>
      </c>
      <c r="E69" s="369">
        <v>51.4</v>
      </c>
      <c r="F69" s="369">
        <v>92.9</v>
      </c>
      <c r="G69" s="369">
        <v>99.1</v>
      </c>
    </row>
    <row r="70" spans="1:7" ht="14.5" x14ac:dyDescent="0.3">
      <c r="A70" s="366">
        <v>9</v>
      </c>
      <c r="B70" s="368">
        <v>28.3</v>
      </c>
      <c r="C70" s="368">
        <v>66</v>
      </c>
      <c r="D70" s="368">
        <v>83</v>
      </c>
      <c r="E70" s="369">
        <v>50.7</v>
      </c>
      <c r="F70" s="369">
        <v>94.2</v>
      </c>
      <c r="G70" s="369">
        <v>96.5</v>
      </c>
    </row>
    <row r="71" spans="1:7" ht="14.5" x14ac:dyDescent="0.3">
      <c r="A71" s="366">
        <v>10</v>
      </c>
      <c r="B71" s="368">
        <v>49.2</v>
      </c>
      <c r="C71" s="368">
        <v>65.400000000000006</v>
      </c>
      <c r="D71" s="368">
        <v>88.9</v>
      </c>
      <c r="E71" s="369">
        <v>33.700000000000003</v>
      </c>
      <c r="F71" s="369">
        <v>70.7</v>
      </c>
      <c r="G71" s="369">
        <v>110.5</v>
      </c>
    </row>
    <row r="72" spans="1:7" ht="14.5" x14ac:dyDescent="0.3">
      <c r="A72" s="366">
        <v>11</v>
      </c>
      <c r="B72" s="368">
        <v>39.9</v>
      </c>
      <c r="C72" s="368">
        <v>67.2</v>
      </c>
      <c r="D72" s="368">
        <v>98.3</v>
      </c>
      <c r="E72" s="367"/>
      <c r="F72" s="367"/>
      <c r="G72" s="367"/>
    </row>
    <row r="73" spans="1:7" ht="14.5" x14ac:dyDescent="0.3">
      <c r="A73" s="366">
        <v>12</v>
      </c>
      <c r="B73" s="368">
        <v>22.3</v>
      </c>
      <c r="C73" s="368">
        <v>69.7</v>
      </c>
      <c r="D73" s="368">
        <v>103.4</v>
      </c>
      <c r="E73" s="367"/>
      <c r="F73" s="367"/>
      <c r="G73" s="367"/>
    </row>
    <row r="74" spans="1:7" ht="14.5" x14ac:dyDescent="0.3">
      <c r="A74" s="366">
        <v>13</v>
      </c>
      <c r="B74" s="368">
        <v>24.8</v>
      </c>
      <c r="C74" s="368">
        <v>65.2</v>
      </c>
      <c r="D74" s="368">
        <v>98.6</v>
      </c>
      <c r="E74" s="367"/>
      <c r="F74" s="367"/>
      <c r="G74" s="367"/>
    </row>
    <row r="75" spans="1:7" ht="14.5" x14ac:dyDescent="0.3">
      <c r="A75" s="366">
        <v>14</v>
      </c>
      <c r="B75" s="368">
        <v>34.6</v>
      </c>
      <c r="C75" s="368">
        <v>50.9</v>
      </c>
      <c r="D75" s="368">
        <v>76.400000000000006</v>
      </c>
      <c r="E75" s="367"/>
      <c r="F75" s="367"/>
      <c r="G75" s="367"/>
    </row>
    <row r="76" spans="1:7" ht="14.5" x14ac:dyDescent="0.3">
      <c r="A76" s="366">
        <v>15</v>
      </c>
      <c r="B76" s="368">
        <v>44.1</v>
      </c>
      <c r="C76" s="368">
        <v>54.4</v>
      </c>
      <c r="D76" s="368">
        <v>90.2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40.200000000000003</v>
      </c>
      <c r="C80" s="373">
        <v>54.5</v>
      </c>
      <c r="D80" s="373">
        <v>102.2</v>
      </c>
      <c r="E80" s="374">
        <v>39.6</v>
      </c>
      <c r="F80" s="374">
        <v>70.8</v>
      </c>
      <c r="G80" s="374">
        <v>101.9</v>
      </c>
    </row>
    <row r="81" spans="1:7" ht="14.5" x14ac:dyDescent="0.3">
      <c r="A81" s="371">
        <v>2</v>
      </c>
      <c r="B81" s="373">
        <v>25.3</v>
      </c>
      <c r="C81" s="373">
        <v>61.7</v>
      </c>
      <c r="D81" s="373">
        <v>106.9</v>
      </c>
      <c r="E81" s="374">
        <v>35.799999999999997</v>
      </c>
      <c r="F81" s="374">
        <v>81.7</v>
      </c>
      <c r="G81" s="374">
        <v>113.1</v>
      </c>
    </row>
    <row r="82" spans="1:7" ht="14.5" x14ac:dyDescent="0.3">
      <c r="A82" s="371">
        <v>3</v>
      </c>
      <c r="B82" s="373">
        <v>44.3</v>
      </c>
      <c r="C82" s="373">
        <v>63.6</v>
      </c>
      <c r="D82" s="373">
        <v>85.6</v>
      </c>
      <c r="E82" s="374">
        <v>54.5</v>
      </c>
      <c r="F82" s="374">
        <v>73.900000000000006</v>
      </c>
      <c r="G82" s="374">
        <v>95.4</v>
      </c>
    </row>
    <row r="83" spans="1:7" ht="14.5" x14ac:dyDescent="0.3">
      <c r="A83" s="371">
        <v>4</v>
      </c>
      <c r="B83" s="373">
        <v>37.799999999999997</v>
      </c>
      <c r="C83" s="373">
        <v>57.8</v>
      </c>
      <c r="D83" s="373">
        <v>100.6</v>
      </c>
      <c r="E83" s="374">
        <v>54.2</v>
      </c>
      <c r="F83" s="374">
        <v>88.1</v>
      </c>
      <c r="G83" s="374">
        <v>118.6</v>
      </c>
    </row>
    <row r="84" spans="1:7" ht="14.5" x14ac:dyDescent="0.3">
      <c r="A84" s="371">
        <v>5</v>
      </c>
      <c r="B84" s="373">
        <v>31.5</v>
      </c>
      <c r="C84" s="373">
        <v>55.5</v>
      </c>
      <c r="D84" s="373">
        <v>71.2</v>
      </c>
      <c r="E84" s="374">
        <v>51.7</v>
      </c>
      <c r="F84" s="374">
        <v>86.6</v>
      </c>
      <c r="G84" s="374">
        <v>97.2</v>
      </c>
    </row>
    <row r="85" spans="1:7" ht="14.5" x14ac:dyDescent="0.3">
      <c r="A85" s="371">
        <v>6</v>
      </c>
      <c r="B85" s="373">
        <v>22.7</v>
      </c>
      <c r="C85" s="373">
        <v>67.2</v>
      </c>
      <c r="D85" s="373">
        <v>80.599999999999994</v>
      </c>
      <c r="E85" s="374">
        <v>63.2</v>
      </c>
      <c r="F85" s="374">
        <v>66.400000000000006</v>
      </c>
      <c r="G85" s="374">
        <v>104.3</v>
      </c>
    </row>
    <row r="86" spans="1:7" ht="14.5" x14ac:dyDescent="0.3">
      <c r="A86" s="371">
        <v>7</v>
      </c>
      <c r="B86" s="373">
        <v>35.5</v>
      </c>
      <c r="C86" s="373">
        <v>54.9</v>
      </c>
      <c r="D86" s="373">
        <v>105.8</v>
      </c>
      <c r="E86" s="374">
        <v>49.2</v>
      </c>
      <c r="F86" s="374">
        <v>81.5</v>
      </c>
      <c r="G86" s="374">
        <v>101</v>
      </c>
    </row>
    <row r="87" spans="1:7" ht="14.5" x14ac:dyDescent="0.3">
      <c r="A87" s="371">
        <v>8</v>
      </c>
      <c r="B87" s="373">
        <v>40.200000000000003</v>
      </c>
      <c r="C87" s="373">
        <v>64.099999999999994</v>
      </c>
      <c r="D87" s="373">
        <v>89.3</v>
      </c>
      <c r="E87" s="374">
        <v>33.200000000000003</v>
      </c>
      <c r="F87" s="374">
        <v>66.3</v>
      </c>
      <c r="G87" s="374">
        <v>106.8</v>
      </c>
    </row>
    <row r="88" spans="1:7" ht="14.5" x14ac:dyDescent="0.3">
      <c r="A88" s="371">
        <v>9</v>
      </c>
      <c r="B88" s="373">
        <v>46</v>
      </c>
      <c r="C88" s="373">
        <v>63.1</v>
      </c>
      <c r="D88" s="373">
        <v>77.3</v>
      </c>
      <c r="E88" s="374">
        <v>56.3</v>
      </c>
      <c r="F88" s="374">
        <v>71.8</v>
      </c>
      <c r="G88" s="374">
        <v>98.4</v>
      </c>
    </row>
    <row r="89" spans="1:7" ht="14.5" x14ac:dyDescent="0.3">
      <c r="A89" s="371">
        <v>10</v>
      </c>
      <c r="B89" s="373">
        <v>24</v>
      </c>
      <c r="C89" s="373">
        <v>61.9</v>
      </c>
      <c r="D89" s="373">
        <v>81.5</v>
      </c>
      <c r="E89" s="374">
        <v>55</v>
      </c>
      <c r="F89" s="374">
        <v>84.7</v>
      </c>
      <c r="G89" s="374">
        <v>115.4</v>
      </c>
    </row>
    <row r="90" spans="1:7" ht="14.5" x14ac:dyDescent="0.3">
      <c r="A90" s="371">
        <v>11</v>
      </c>
      <c r="B90" s="373">
        <v>21.4</v>
      </c>
      <c r="C90" s="373">
        <v>58.2</v>
      </c>
      <c r="D90" s="373">
        <v>76.099999999999994</v>
      </c>
      <c r="E90" s="374">
        <v>35</v>
      </c>
      <c r="F90" s="374">
        <v>87</v>
      </c>
      <c r="G90" s="374">
        <v>97.9</v>
      </c>
    </row>
    <row r="91" spans="1:7" ht="14.5" x14ac:dyDescent="0.3">
      <c r="A91" s="371">
        <v>12</v>
      </c>
      <c r="B91" s="373">
        <v>30.4</v>
      </c>
      <c r="C91" s="373">
        <v>54.5</v>
      </c>
      <c r="D91" s="373">
        <v>103.5</v>
      </c>
      <c r="E91" s="374">
        <v>39.5</v>
      </c>
      <c r="F91" s="374">
        <v>70.3</v>
      </c>
      <c r="G91" s="374">
        <v>119.9</v>
      </c>
    </row>
    <row r="92" spans="1:7" ht="14.5" x14ac:dyDescent="0.3">
      <c r="A92" s="371">
        <v>13</v>
      </c>
      <c r="B92" s="373">
        <v>42.3</v>
      </c>
      <c r="C92" s="373">
        <v>67.3</v>
      </c>
      <c r="D92" s="373">
        <v>100</v>
      </c>
      <c r="E92" s="375"/>
      <c r="F92" s="375"/>
      <c r="G92" s="375"/>
    </row>
    <row r="93" spans="1:7" ht="14.5" x14ac:dyDescent="0.3">
      <c r="A93" s="371">
        <v>14</v>
      </c>
      <c r="B93" s="373">
        <v>29.3</v>
      </c>
      <c r="C93" s="373">
        <v>55.8</v>
      </c>
      <c r="D93" s="373">
        <v>78.5</v>
      </c>
      <c r="E93" s="375"/>
      <c r="F93" s="375"/>
      <c r="G93" s="375"/>
    </row>
    <row r="94" spans="1:7" ht="14.5" x14ac:dyDescent="0.3">
      <c r="A94" s="371">
        <v>15</v>
      </c>
      <c r="B94" s="373">
        <v>46</v>
      </c>
      <c r="C94" s="373">
        <v>54.2</v>
      </c>
      <c r="D94" s="373">
        <v>91.6</v>
      </c>
      <c r="E94" s="375"/>
      <c r="F94" s="375"/>
      <c r="G94" s="375"/>
    </row>
    <row r="95" spans="1:7" ht="14.5" x14ac:dyDescent="0.3">
      <c r="A95" s="371">
        <v>16</v>
      </c>
      <c r="B95" s="373">
        <v>27</v>
      </c>
      <c r="C95" s="373">
        <v>52.3</v>
      </c>
      <c r="D95" s="373">
        <v>107.5</v>
      </c>
      <c r="E95" s="375"/>
      <c r="F95" s="375"/>
      <c r="G95" s="375"/>
    </row>
    <row r="96" spans="1:7" ht="14.5" x14ac:dyDescent="0.3">
      <c r="A96" s="371">
        <v>17</v>
      </c>
      <c r="B96" s="373">
        <v>49.2</v>
      </c>
      <c r="C96" s="373">
        <v>66.5</v>
      </c>
      <c r="D96" s="373">
        <v>102.2</v>
      </c>
      <c r="E96" s="375"/>
      <c r="F96" s="375"/>
      <c r="G96" s="375"/>
    </row>
    <row r="97" spans="1:7" ht="14.5" x14ac:dyDescent="0.3">
      <c r="A97" s="371">
        <v>18</v>
      </c>
      <c r="B97" s="373">
        <v>34</v>
      </c>
      <c r="C97" s="373">
        <v>54</v>
      </c>
      <c r="D97" s="373">
        <v>100.9</v>
      </c>
      <c r="E97" s="376"/>
      <c r="F97" s="376"/>
      <c r="G97" s="376"/>
    </row>
    <row r="98" spans="1:7" ht="14.5" x14ac:dyDescent="0.3">
      <c r="A98" s="371">
        <v>19</v>
      </c>
      <c r="B98" s="373">
        <v>19.100000000000001</v>
      </c>
      <c r="C98" s="373">
        <v>60.8</v>
      </c>
      <c r="D98" s="373">
        <v>100</v>
      </c>
      <c r="E98" s="376"/>
      <c r="F98" s="376"/>
      <c r="G98" s="376"/>
    </row>
    <row r="99" spans="1:7" ht="14.5" x14ac:dyDescent="0.3">
      <c r="A99" s="371">
        <v>20</v>
      </c>
      <c r="B99" s="373">
        <v>41.2</v>
      </c>
      <c r="C99" s="373">
        <v>65.599999999999994</v>
      </c>
      <c r="D99" s="373">
        <v>83.5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39.799999999999997</v>
      </c>
      <c r="C103" s="367">
        <v>55.3</v>
      </c>
      <c r="D103" s="367">
        <v>107.8</v>
      </c>
      <c r="E103" s="369">
        <v>52.6</v>
      </c>
      <c r="F103" s="369">
        <v>69.5</v>
      </c>
      <c r="G103" s="369">
        <v>118.9</v>
      </c>
    </row>
    <row r="104" spans="1:7" x14ac:dyDescent="0.25">
      <c r="A104" s="366">
        <v>2</v>
      </c>
      <c r="B104" s="367">
        <v>28.5</v>
      </c>
      <c r="C104" s="367">
        <v>68.400000000000006</v>
      </c>
      <c r="D104" s="367">
        <v>104.2</v>
      </c>
      <c r="E104" s="369">
        <v>32.200000000000003</v>
      </c>
      <c r="F104" s="369">
        <v>72.7</v>
      </c>
      <c r="G104" s="369">
        <v>98.6</v>
      </c>
    </row>
    <row r="105" spans="1:7" x14ac:dyDescent="0.25">
      <c r="A105" s="366">
        <v>3</v>
      </c>
      <c r="B105" s="367">
        <v>22.4</v>
      </c>
      <c r="C105" s="367">
        <v>56.3</v>
      </c>
      <c r="D105" s="367">
        <v>102.8</v>
      </c>
      <c r="E105" s="369">
        <v>46</v>
      </c>
      <c r="F105" s="369">
        <v>90.6</v>
      </c>
      <c r="G105" s="369">
        <v>110.6</v>
      </c>
    </row>
    <row r="106" spans="1:7" x14ac:dyDescent="0.25">
      <c r="A106" s="366">
        <v>4</v>
      </c>
      <c r="B106" s="367">
        <v>47.3</v>
      </c>
      <c r="C106" s="367">
        <v>56.5</v>
      </c>
      <c r="D106" s="367">
        <v>72.099999999999994</v>
      </c>
      <c r="E106" s="369">
        <v>30</v>
      </c>
      <c r="F106" s="369">
        <v>82.3</v>
      </c>
      <c r="G106" s="369">
        <v>114.1</v>
      </c>
    </row>
    <row r="107" spans="1:7" x14ac:dyDescent="0.25">
      <c r="A107" s="366">
        <v>5</v>
      </c>
      <c r="B107" s="367">
        <v>26.2</v>
      </c>
      <c r="C107" s="367">
        <v>62.1</v>
      </c>
      <c r="D107" s="367">
        <v>76</v>
      </c>
      <c r="E107" s="369">
        <v>44.4</v>
      </c>
      <c r="F107" s="369">
        <v>93.7</v>
      </c>
      <c r="G107" s="369">
        <v>116.6</v>
      </c>
    </row>
    <row r="108" spans="1:7" x14ac:dyDescent="0.25">
      <c r="A108" s="366">
        <v>6</v>
      </c>
      <c r="B108" s="367">
        <v>47.1</v>
      </c>
      <c r="C108" s="367">
        <v>52.4</v>
      </c>
      <c r="D108" s="367">
        <v>97.7</v>
      </c>
      <c r="E108" s="369">
        <v>42.3</v>
      </c>
      <c r="F108" s="369">
        <v>71.3</v>
      </c>
      <c r="G108" s="369">
        <v>101.9</v>
      </c>
    </row>
    <row r="109" spans="1:7" x14ac:dyDescent="0.25">
      <c r="A109" s="366">
        <v>7</v>
      </c>
      <c r="B109" s="367">
        <v>23.8</v>
      </c>
      <c r="C109" s="367">
        <v>63.2</v>
      </c>
      <c r="D109" s="367">
        <v>98.8</v>
      </c>
      <c r="E109" s="367"/>
      <c r="F109" s="367"/>
      <c r="G109" s="367"/>
    </row>
    <row r="110" spans="1:7" x14ac:dyDescent="0.25">
      <c r="A110" s="366">
        <v>8</v>
      </c>
      <c r="B110" s="367">
        <v>30.8</v>
      </c>
      <c r="C110" s="367">
        <v>58.2</v>
      </c>
      <c r="D110" s="367">
        <v>90.3</v>
      </c>
      <c r="E110" s="367"/>
      <c r="F110" s="367"/>
      <c r="G110" s="367"/>
    </row>
    <row r="111" spans="1:7" x14ac:dyDescent="0.25">
      <c r="A111" s="366">
        <v>9</v>
      </c>
      <c r="B111" s="367">
        <v>20.2</v>
      </c>
      <c r="C111" s="367">
        <v>67</v>
      </c>
      <c r="D111" s="367">
        <v>90.2</v>
      </c>
      <c r="E111" s="367"/>
      <c r="F111" s="367"/>
      <c r="G111" s="367"/>
    </row>
    <row r="112" spans="1:7" x14ac:dyDescent="0.25">
      <c r="A112" s="366">
        <v>10</v>
      </c>
      <c r="B112" s="367">
        <v>38.4</v>
      </c>
      <c r="C112" s="367">
        <v>56.5</v>
      </c>
      <c r="D112" s="367">
        <v>108.8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79.8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24.4</v>
      </c>
      <c r="C117" s="357">
        <v>54</v>
      </c>
      <c r="D117" s="357">
        <v>105</v>
      </c>
      <c r="E117" s="357"/>
      <c r="F117" s="357"/>
      <c r="G117" s="357"/>
    </row>
    <row r="118" spans="1:7" x14ac:dyDescent="0.25">
      <c r="A118" s="356">
        <v>2</v>
      </c>
      <c r="B118" s="357">
        <v>42.6</v>
      </c>
      <c r="C118" s="357">
        <v>62.9</v>
      </c>
      <c r="D118" s="357">
        <v>99.3</v>
      </c>
      <c r="E118" s="357"/>
      <c r="F118" s="357"/>
      <c r="G118" s="357"/>
    </row>
    <row r="119" spans="1:7" x14ac:dyDescent="0.25">
      <c r="A119" s="356">
        <v>3</v>
      </c>
      <c r="B119" s="357">
        <v>42.8</v>
      </c>
      <c r="C119" s="357">
        <v>61.9</v>
      </c>
      <c r="D119" s="357">
        <v>71.5</v>
      </c>
      <c r="E119" s="357"/>
      <c r="F119" s="357"/>
      <c r="G119" s="357"/>
    </row>
    <row r="120" spans="1:7" x14ac:dyDescent="0.25">
      <c r="A120" s="356">
        <v>4</v>
      </c>
      <c r="B120" s="357">
        <v>38.1</v>
      </c>
      <c r="C120" s="357">
        <v>66.8</v>
      </c>
      <c r="D120" s="357">
        <v>71.8</v>
      </c>
      <c r="E120" s="357"/>
      <c r="F120" s="357"/>
      <c r="G120" s="357"/>
    </row>
    <row r="121" spans="1:7" x14ac:dyDescent="0.25">
      <c r="A121" s="356">
        <v>5</v>
      </c>
      <c r="B121" s="357">
        <v>37</v>
      </c>
      <c r="C121" s="357">
        <v>57.7</v>
      </c>
      <c r="D121" s="357">
        <v>87.8</v>
      </c>
      <c r="E121" s="357"/>
      <c r="F121" s="357"/>
      <c r="G121" s="357"/>
    </row>
    <row r="122" spans="1:7" x14ac:dyDescent="0.25">
      <c r="A122" s="356">
        <v>6</v>
      </c>
      <c r="B122" s="357">
        <v>48.8</v>
      </c>
      <c r="C122" s="357">
        <v>58</v>
      </c>
      <c r="D122" s="357">
        <v>104.7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62.5</v>
      </c>
      <c r="C127" s="380">
        <f>ROUNDDOWN(AVERAGE(E5:G12),1)</f>
        <v>78.599999999999994</v>
      </c>
      <c r="D127" s="378">
        <v>19899</v>
      </c>
      <c r="E127" s="378">
        <v>12608</v>
      </c>
      <c r="F127" s="378">
        <f>B127*D127</f>
        <v>1243687.5</v>
      </c>
      <c r="G127" s="378">
        <f>C127*E127</f>
        <v>990988.79999999993</v>
      </c>
    </row>
    <row r="128" spans="1:7" x14ac:dyDescent="0.25">
      <c r="A128" s="379" t="str">
        <f>A17</f>
        <v>Chongzuo Zuozhou swine Farm</v>
      </c>
      <c r="B128" s="380">
        <f>ROUNDDOWN(AVERAGE(B20:D26),1)</f>
        <v>62.7</v>
      </c>
      <c r="C128" s="380">
        <f>ROUNDDOWN(AVERAGE(E20:G23),1)</f>
        <v>78.3</v>
      </c>
      <c r="D128" s="378">
        <v>10998</v>
      </c>
      <c r="E128" s="378">
        <v>6945</v>
      </c>
      <c r="F128" s="378">
        <f t="shared" ref="F128:G135" si="0">B128*D128</f>
        <v>689574.6</v>
      </c>
      <c r="G128" s="378">
        <f>C128*E128</f>
        <v>543793.5</v>
      </c>
    </row>
    <row r="129" spans="1:7" x14ac:dyDescent="0.25">
      <c r="A129" s="379" t="str">
        <f>A27</f>
        <v>Tianyang Wucun swine Farm</v>
      </c>
      <c r="B129" s="380">
        <f>ROUNDDOWN(AVERAGE(B30:D35),1)</f>
        <v>59.7</v>
      </c>
      <c r="C129" s="380">
        <f>ROUNDDOWN(AVERAGE(E30:G35),1)</f>
        <v>71.599999999999994</v>
      </c>
      <c r="D129" s="378">
        <v>9501</v>
      </c>
      <c r="E129" s="378">
        <v>6016</v>
      </c>
      <c r="F129" s="378">
        <f t="shared" si="0"/>
        <v>567209.70000000007</v>
      </c>
      <c r="G129" s="378">
        <f>C129*E129</f>
        <v>430745.59999999998</v>
      </c>
    </row>
    <row r="130" spans="1:7" x14ac:dyDescent="0.25">
      <c r="A130" s="379" t="str">
        <f>A36</f>
        <v>Quanzhou Dengjiabu swine Farm</v>
      </c>
      <c r="B130" s="380">
        <f>ROUNDDOWN(AVERAGE(B39:D42),1)</f>
        <v>62.1</v>
      </c>
      <c r="C130" s="380">
        <f>ROUNDDOWN(AVERAGE(E39:G42),1)</f>
        <v>75.8</v>
      </c>
      <c r="D130" s="378">
        <v>5446</v>
      </c>
      <c r="E130" s="378">
        <v>3367</v>
      </c>
      <c r="F130" s="378">
        <f t="shared" si="0"/>
        <v>338196.60000000003</v>
      </c>
      <c r="G130" s="378">
        <f t="shared" si="0"/>
        <v>255218.59999999998</v>
      </c>
    </row>
    <row r="131" spans="1:7" x14ac:dyDescent="0.25">
      <c r="A131" s="379" t="str">
        <f>A43</f>
        <v>Chongzuo Quming swine Farm</v>
      </c>
      <c r="B131" s="380">
        <f>ROUNDDOWN(AVERAGE(B46:D58),1)</f>
        <v>63.3</v>
      </c>
      <c r="C131" s="380">
        <f>ROUNDDOWN(AVERAGE(E46:G53),1)</f>
        <v>80.5</v>
      </c>
      <c r="D131" s="378">
        <v>22352</v>
      </c>
      <c r="E131" s="378">
        <v>13979</v>
      </c>
      <c r="F131" s="378">
        <f t="shared" si="0"/>
        <v>1414881.5999999999</v>
      </c>
      <c r="G131" s="378">
        <f t="shared" si="0"/>
        <v>1125309.5</v>
      </c>
    </row>
    <row r="132" spans="1:7" x14ac:dyDescent="0.25">
      <c r="A132" s="379" t="str">
        <f>A59</f>
        <v>Jingxi swine Farm</v>
      </c>
      <c r="B132" s="380">
        <f>ROUNDDOWN(AVERAGE(B62:D76),1)</f>
        <v>61.5</v>
      </c>
      <c r="C132" s="380">
        <f>ROUNDDOWN(AVERAGE(E62:G71),1)</f>
        <v>77.900000000000006</v>
      </c>
      <c r="D132" s="378">
        <v>26116</v>
      </c>
      <c r="E132" s="378">
        <v>15907</v>
      </c>
      <c r="F132" s="378">
        <f t="shared" si="0"/>
        <v>1606134</v>
      </c>
      <c r="G132" s="378">
        <f t="shared" si="0"/>
        <v>1239155.3</v>
      </c>
    </row>
    <row r="133" spans="1:7" x14ac:dyDescent="0.25">
      <c r="A133" s="379" t="str">
        <f>A77</f>
        <v>Liucheng Mashan swine Farm</v>
      </c>
      <c r="B133" s="380">
        <f>ROUNDDOWN(AVERAGE(B80:D99),1)</f>
        <v>62</v>
      </c>
      <c r="C133" s="378">
        <f>ROUNDDOWN(AVERAGE(E80:G91),1)</f>
        <v>76.8</v>
      </c>
      <c r="D133" s="378">
        <v>33500</v>
      </c>
      <c r="E133" s="378">
        <v>20616</v>
      </c>
      <c r="F133" s="378">
        <f t="shared" si="0"/>
        <v>2077000</v>
      </c>
      <c r="G133" s="378">
        <f t="shared" si="0"/>
        <v>1583308.8</v>
      </c>
    </row>
    <row r="134" spans="1:7" x14ac:dyDescent="0.25">
      <c r="A134" s="379" t="str">
        <f>A100</f>
        <v>Tengxian Tianping swine Farm</v>
      </c>
      <c r="B134" s="380">
        <f>ROUNDDOWN(AVERAGE(B103:D113),1)</f>
        <v>62.8</v>
      </c>
      <c r="C134" s="378">
        <f>ROUNDDOWN(AVERAGE(E103:G108),1)</f>
        <v>77.099999999999994</v>
      </c>
      <c r="D134" s="378">
        <v>16255</v>
      </c>
      <c r="E134" s="378">
        <v>10407</v>
      </c>
      <c r="F134" s="378">
        <f t="shared" si="0"/>
        <v>1020814</v>
      </c>
      <c r="G134" s="378">
        <f t="shared" si="0"/>
        <v>802379.7</v>
      </c>
    </row>
    <row r="135" spans="1:7" x14ac:dyDescent="0.25">
      <c r="A135" s="379" t="str">
        <f>A114</f>
        <v>Debao Chengguan swine Farm</v>
      </c>
      <c r="B135" s="380">
        <f>ROUNDDOWN(AVERAGE(B117:D122),1)</f>
        <v>63</v>
      </c>
      <c r="C135" s="378">
        <v>0</v>
      </c>
      <c r="D135" s="378">
        <v>8758</v>
      </c>
      <c r="E135" s="378">
        <v>0</v>
      </c>
      <c r="F135" s="378">
        <f t="shared" si="0"/>
        <v>551754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89845</v>
      </c>
      <c r="F136" s="378">
        <f>SUM(F127:F135)</f>
        <v>9509252</v>
      </c>
      <c r="G136" s="378">
        <f>SUM(G127:G134)</f>
        <v>6970899.7999999998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62.2</v>
      </c>
      <c r="D140" s="381">
        <f>ROUNDDOWN(G136/E136,1)</f>
        <v>77.5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E428-52EB-4035-8A00-056778F24374}">
  <dimension ref="A1:G140"/>
  <sheetViews>
    <sheetView topLeftCell="A28" workbookViewId="0">
      <selection activeCell="E39" sqref="E39: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39.4</v>
      </c>
      <c r="C5" s="345">
        <v>56.3</v>
      </c>
      <c r="D5" s="345">
        <v>98.5</v>
      </c>
      <c r="E5" s="346">
        <v>43.4</v>
      </c>
      <c r="F5" s="346">
        <v>81.599999999999994</v>
      </c>
      <c r="G5" s="346">
        <v>99.1</v>
      </c>
    </row>
    <row r="6" spans="1:7" x14ac:dyDescent="0.25">
      <c r="A6" s="343">
        <v>2</v>
      </c>
      <c r="B6" s="345">
        <v>20.100000000000001</v>
      </c>
      <c r="C6" s="345">
        <v>55.8</v>
      </c>
      <c r="D6" s="345">
        <v>81.900000000000006</v>
      </c>
      <c r="E6" s="346">
        <v>32.299999999999997</v>
      </c>
      <c r="F6" s="346">
        <v>76.400000000000006</v>
      </c>
      <c r="G6" s="346">
        <v>109.8</v>
      </c>
    </row>
    <row r="7" spans="1:7" x14ac:dyDescent="0.25">
      <c r="A7" s="343">
        <v>3</v>
      </c>
      <c r="B7" s="345">
        <v>37.700000000000003</v>
      </c>
      <c r="C7" s="345">
        <v>57.9</v>
      </c>
      <c r="D7" s="345">
        <v>105.4</v>
      </c>
      <c r="E7" s="346">
        <v>43.5</v>
      </c>
      <c r="F7" s="346">
        <v>80.5</v>
      </c>
      <c r="G7" s="346">
        <v>102.4</v>
      </c>
    </row>
    <row r="8" spans="1:7" x14ac:dyDescent="0.25">
      <c r="A8" s="343">
        <v>4</v>
      </c>
      <c r="B8" s="345">
        <v>19.600000000000001</v>
      </c>
      <c r="C8" s="345">
        <v>55.4</v>
      </c>
      <c r="D8" s="345">
        <v>95.4</v>
      </c>
      <c r="E8" s="346">
        <v>50.5</v>
      </c>
      <c r="F8" s="346">
        <v>94</v>
      </c>
      <c r="G8" s="346">
        <v>111.4</v>
      </c>
    </row>
    <row r="9" spans="1:7" x14ac:dyDescent="0.25">
      <c r="A9" s="343">
        <v>5</v>
      </c>
      <c r="B9" s="345">
        <v>37.200000000000003</v>
      </c>
      <c r="C9" s="345">
        <v>57.9</v>
      </c>
      <c r="D9" s="345">
        <v>76.5</v>
      </c>
      <c r="E9" s="346">
        <v>59.2</v>
      </c>
      <c r="F9" s="346">
        <v>77.3</v>
      </c>
      <c r="G9" s="346">
        <v>95.1</v>
      </c>
    </row>
    <row r="10" spans="1:7" x14ac:dyDescent="0.25">
      <c r="A10" s="343">
        <v>6</v>
      </c>
      <c r="B10" s="345">
        <v>46.4</v>
      </c>
      <c r="C10" s="345">
        <v>64.599999999999994</v>
      </c>
      <c r="D10" s="345">
        <v>76.900000000000006</v>
      </c>
      <c r="E10" s="346">
        <v>60.2</v>
      </c>
      <c r="F10" s="346">
        <v>90.6</v>
      </c>
      <c r="G10" s="346">
        <v>115.3</v>
      </c>
    </row>
    <row r="11" spans="1:7" x14ac:dyDescent="0.25">
      <c r="A11" s="343">
        <v>7</v>
      </c>
      <c r="B11" s="345">
        <v>23</v>
      </c>
      <c r="C11" s="345">
        <v>60.3</v>
      </c>
      <c r="D11" s="345">
        <v>96.2</v>
      </c>
      <c r="E11" s="346">
        <v>36.299999999999997</v>
      </c>
      <c r="F11" s="346">
        <v>69.5</v>
      </c>
      <c r="G11" s="346">
        <v>115.8</v>
      </c>
    </row>
    <row r="12" spans="1:7" x14ac:dyDescent="0.25">
      <c r="A12" s="343">
        <v>8</v>
      </c>
      <c r="B12" s="345">
        <v>26.8</v>
      </c>
      <c r="C12" s="345">
        <v>60.2</v>
      </c>
      <c r="D12" s="345">
        <v>107</v>
      </c>
      <c r="E12" s="346">
        <v>53.9</v>
      </c>
      <c r="F12" s="346">
        <v>88.5</v>
      </c>
      <c r="G12" s="346">
        <v>97.6</v>
      </c>
    </row>
    <row r="13" spans="1:7" x14ac:dyDescent="0.25">
      <c r="A13" s="343">
        <v>9</v>
      </c>
      <c r="B13" s="345">
        <v>36</v>
      </c>
      <c r="C13" s="345">
        <v>66.099999999999994</v>
      </c>
      <c r="D13" s="345">
        <v>91.4</v>
      </c>
      <c r="E13" s="345"/>
      <c r="F13" s="345"/>
      <c r="G13" s="345"/>
    </row>
    <row r="14" spans="1:7" x14ac:dyDescent="0.25">
      <c r="A14" s="343">
        <v>10</v>
      </c>
      <c r="B14" s="345">
        <v>23</v>
      </c>
      <c r="C14" s="345">
        <v>60</v>
      </c>
      <c r="D14" s="345">
        <v>108.2</v>
      </c>
      <c r="E14" s="345"/>
      <c r="F14" s="345"/>
      <c r="G14" s="345"/>
    </row>
    <row r="15" spans="1:7" x14ac:dyDescent="0.25">
      <c r="A15" s="343">
        <v>11</v>
      </c>
      <c r="B15" s="345">
        <v>46.5</v>
      </c>
      <c r="C15" s="345">
        <v>63</v>
      </c>
      <c r="D15" s="345">
        <v>100.4</v>
      </c>
      <c r="E15" s="345"/>
      <c r="F15" s="345"/>
      <c r="G15" s="345"/>
    </row>
    <row r="16" spans="1:7" x14ac:dyDescent="0.25">
      <c r="A16" s="343">
        <v>12</v>
      </c>
      <c r="B16" s="345">
        <v>23.9</v>
      </c>
      <c r="C16" s="345">
        <v>56.5</v>
      </c>
      <c r="D16" s="345">
        <v>106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30.4</v>
      </c>
      <c r="C20" s="350">
        <v>61.2</v>
      </c>
      <c r="D20" s="350">
        <v>91</v>
      </c>
      <c r="E20" s="350">
        <v>43.2</v>
      </c>
      <c r="F20" s="350">
        <v>66.5</v>
      </c>
      <c r="G20" s="350">
        <v>112.2</v>
      </c>
    </row>
    <row r="21" spans="1:7" x14ac:dyDescent="0.25">
      <c r="A21" s="348">
        <v>2</v>
      </c>
      <c r="B21" s="350">
        <v>41.9</v>
      </c>
      <c r="C21" s="350">
        <v>65.3</v>
      </c>
      <c r="D21" s="350">
        <v>105.8</v>
      </c>
      <c r="E21" s="350">
        <v>34.5</v>
      </c>
      <c r="F21" s="350">
        <v>91.8</v>
      </c>
      <c r="G21" s="350">
        <v>112.3</v>
      </c>
    </row>
    <row r="22" spans="1:7" x14ac:dyDescent="0.25">
      <c r="A22" s="348">
        <v>3</v>
      </c>
      <c r="B22" s="350">
        <v>31.6</v>
      </c>
      <c r="C22" s="350">
        <v>61.8</v>
      </c>
      <c r="D22" s="350">
        <v>99.5</v>
      </c>
      <c r="E22" s="350">
        <v>53.6</v>
      </c>
      <c r="F22" s="350">
        <v>86.3</v>
      </c>
      <c r="G22" s="350">
        <v>106.6</v>
      </c>
    </row>
    <row r="23" spans="1:7" x14ac:dyDescent="0.25">
      <c r="A23" s="348">
        <v>4</v>
      </c>
      <c r="B23" s="350">
        <v>50</v>
      </c>
      <c r="C23" s="350">
        <v>63</v>
      </c>
      <c r="D23" s="350">
        <v>105.1</v>
      </c>
      <c r="E23" s="350">
        <v>58.5</v>
      </c>
      <c r="F23" s="350">
        <v>81.7</v>
      </c>
      <c r="G23" s="350">
        <v>95.1</v>
      </c>
    </row>
    <row r="24" spans="1:7" x14ac:dyDescent="0.25">
      <c r="A24" s="348">
        <v>5</v>
      </c>
      <c r="B24" s="350">
        <v>37.299999999999997</v>
      </c>
      <c r="C24" s="350">
        <v>67.3</v>
      </c>
      <c r="D24" s="350">
        <v>102.5</v>
      </c>
      <c r="E24" s="350"/>
      <c r="F24" s="350"/>
      <c r="G24" s="350"/>
    </row>
    <row r="25" spans="1:7" x14ac:dyDescent="0.25">
      <c r="A25" s="348">
        <v>6</v>
      </c>
      <c r="B25" s="350">
        <v>48.4</v>
      </c>
      <c r="C25" s="350">
        <v>50.7</v>
      </c>
      <c r="D25" s="350">
        <v>97.5</v>
      </c>
      <c r="E25" s="350"/>
      <c r="F25" s="350"/>
      <c r="G25" s="350"/>
    </row>
    <row r="26" spans="1:7" x14ac:dyDescent="0.25">
      <c r="A26" s="348">
        <v>7</v>
      </c>
      <c r="B26" s="350">
        <v>45.3</v>
      </c>
      <c r="C26" s="350">
        <v>53.7</v>
      </c>
      <c r="D26" s="350">
        <v>84.2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38.299999999999997</v>
      </c>
      <c r="C30" s="353">
        <v>53.4</v>
      </c>
      <c r="D30" s="353">
        <v>82</v>
      </c>
      <c r="E30" s="354">
        <v>61.1</v>
      </c>
      <c r="F30" s="354">
        <v>75.599999999999994</v>
      </c>
      <c r="G30" s="354">
        <v>112.8</v>
      </c>
    </row>
    <row r="31" spans="1:7" x14ac:dyDescent="0.25">
      <c r="A31" s="352">
        <v>2</v>
      </c>
      <c r="B31" s="353">
        <v>42.1</v>
      </c>
      <c r="C31" s="353">
        <v>56</v>
      </c>
      <c r="D31" s="353">
        <v>87.1</v>
      </c>
      <c r="E31" s="354">
        <v>31.3</v>
      </c>
      <c r="F31" s="354">
        <v>71.099999999999994</v>
      </c>
      <c r="G31" s="354">
        <v>117.3</v>
      </c>
    </row>
    <row r="32" spans="1:7" x14ac:dyDescent="0.25">
      <c r="A32" s="352">
        <v>3</v>
      </c>
      <c r="B32" s="353">
        <v>22.3</v>
      </c>
      <c r="C32" s="353">
        <v>55.5</v>
      </c>
      <c r="D32" s="353">
        <v>79.5</v>
      </c>
      <c r="E32" s="354">
        <v>50.1</v>
      </c>
      <c r="F32" s="354">
        <v>80</v>
      </c>
      <c r="G32" s="354">
        <v>99.8</v>
      </c>
    </row>
    <row r="33" spans="1:7" x14ac:dyDescent="0.25">
      <c r="A33" s="352">
        <v>4</v>
      </c>
      <c r="B33" s="353">
        <v>27.4</v>
      </c>
      <c r="C33" s="353">
        <v>55.5</v>
      </c>
      <c r="D33" s="353">
        <v>86.3</v>
      </c>
      <c r="E33" s="354">
        <v>46.2</v>
      </c>
      <c r="F33" s="354">
        <v>65</v>
      </c>
      <c r="G33" s="354">
        <v>100.7</v>
      </c>
    </row>
    <row r="34" spans="1:7" x14ac:dyDescent="0.25">
      <c r="A34" s="352">
        <v>5</v>
      </c>
      <c r="B34" s="353">
        <v>25.2</v>
      </c>
      <c r="C34" s="353">
        <v>50.7</v>
      </c>
      <c r="D34" s="353">
        <v>103.5</v>
      </c>
      <c r="E34" s="353"/>
      <c r="F34" s="353"/>
      <c r="G34" s="353"/>
    </row>
    <row r="35" spans="1:7" x14ac:dyDescent="0.25">
      <c r="A35" s="352">
        <v>6</v>
      </c>
      <c r="B35" s="353">
        <v>44.2</v>
      </c>
      <c r="C35" s="353">
        <v>63</v>
      </c>
      <c r="D35" s="353">
        <v>75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34.299999999999997</v>
      </c>
      <c r="C39" s="357">
        <v>60.1</v>
      </c>
      <c r="D39" s="357">
        <v>88.2</v>
      </c>
      <c r="E39" s="358">
        <v>57.6</v>
      </c>
      <c r="F39" s="358">
        <v>91.3</v>
      </c>
      <c r="G39" s="358">
        <v>118.2</v>
      </c>
    </row>
    <row r="40" spans="1:7" x14ac:dyDescent="0.25">
      <c r="A40" s="356">
        <v>2</v>
      </c>
      <c r="B40" s="357">
        <v>36.6</v>
      </c>
      <c r="C40" s="357">
        <v>60.7</v>
      </c>
      <c r="D40" s="357">
        <v>75.400000000000006</v>
      </c>
      <c r="E40" s="358">
        <v>47.7</v>
      </c>
      <c r="F40" s="358">
        <v>71.8</v>
      </c>
      <c r="G40" s="358">
        <v>117.5</v>
      </c>
    </row>
    <row r="41" spans="1:7" x14ac:dyDescent="0.25">
      <c r="A41" s="356">
        <v>3</v>
      </c>
      <c r="B41" s="357">
        <v>48.2</v>
      </c>
      <c r="C41" s="357">
        <v>56.7</v>
      </c>
      <c r="D41" s="357">
        <v>87.4</v>
      </c>
      <c r="E41" s="357"/>
      <c r="F41" s="358">
        <v>80</v>
      </c>
      <c r="G41" s="358">
        <v>107.5</v>
      </c>
    </row>
    <row r="42" spans="1:7" x14ac:dyDescent="0.25">
      <c r="A42" s="356">
        <v>4</v>
      </c>
      <c r="B42" s="357">
        <v>23.4</v>
      </c>
      <c r="C42" s="357">
        <v>53.7</v>
      </c>
      <c r="D42" s="357">
        <v>92.5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41.7</v>
      </c>
      <c r="C46" s="362">
        <v>60.6</v>
      </c>
      <c r="D46" s="362">
        <v>85.8</v>
      </c>
      <c r="E46" s="363">
        <v>36.9</v>
      </c>
      <c r="F46" s="363">
        <v>67.3</v>
      </c>
      <c r="G46" s="363">
        <v>115.6</v>
      </c>
    </row>
    <row r="47" spans="1:7" ht="14.5" x14ac:dyDescent="0.3">
      <c r="A47" s="360">
        <v>2</v>
      </c>
      <c r="B47" s="362">
        <v>27.2</v>
      </c>
      <c r="C47" s="362">
        <v>65</v>
      </c>
      <c r="D47" s="362">
        <v>107.2</v>
      </c>
      <c r="E47" s="363">
        <v>44.5</v>
      </c>
      <c r="F47" s="363">
        <v>80.599999999999994</v>
      </c>
      <c r="G47" s="363">
        <v>117.5</v>
      </c>
    </row>
    <row r="48" spans="1:7" ht="14.5" x14ac:dyDescent="0.3">
      <c r="A48" s="360">
        <v>3</v>
      </c>
      <c r="B48" s="362">
        <v>40.200000000000003</v>
      </c>
      <c r="C48" s="362">
        <v>63</v>
      </c>
      <c r="D48" s="362">
        <v>103.2</v>
      </c>
      <c r="E48" s="363">
        <v>38</v>
      </c>
      <c r="F48" s="363">
        <v>83.5</v>
      </c>
      <c r="G48" s="363">
        <v>107.5</v>
      </c>
    </row>
    <row r="49" spans="1:7" ht="14.5" x14ac:dyDescent="0.3">
      <c r="A49" s="360">
        <v>4</v>
      </c>
      <c r="B49" s="362">
        <v>39.5</v>
      </c>
      <c r="C49" s="362">
        <v>68.900000000000006</v>
      </c>
      <c r="D49" s="362">
        <v>106</v>
      </c>
      <c r="E49" s="363">
        <v>31.7</v>
      </c>
      <c r="F49" s="363">
        <v>74.599999999999994</v>
      </c>
      <c r="G49" s="363">
        <v>110.7</v>
      </c>
    </row>
    <row r="50" spans="1:7" ht="14.5" x14ac:dyDescent="0.3">
      <c r="A50" s="360">
        <v>5</v>
      </c>
      <c r="B50" s="362">
        <v>47.7</v>
      </c>
      <c r="C50" s="362">
        <v>57.2</v>
      </c>
      <c r="D50" s="362">
        <v>107</v>
      </c>
      <c r="E50" s="363">
        <v>38.9</v>
      </c>
      <c r="F50" s="363">
        <v>65.099999999999994</v>
      </c>
      <c r="G50" s="363">
        <v>115.3</v>
      </c>
    </row>
    <row r="51" spans="1:7" ht="14.5" x14ac:dyDescent="0.3">
      <c r="A51" s="360">
        <v>6</v>
      </c>
      <c r="B51" s="362">
        <v>40</v>
      </c>
      <c r="C51" s="362">
        <v>57.3</v>
      </c>
      <c r="D51" s="362">
        <v>74.3</v>
      </c>
      <c r="E51" s="363">
        <v>60.9</v>
      </c>
      <c r="F51" s="363">
        <v>77.599999999999994</v>
      </c>
      <c r="G51" s="363">
        <v>104</v>
      </c>
    </row>
    <row r="52" spans="1:7" ht="14.5" x14ac:dyDescent="0.3">
      <c r="A52" s="360">
        <v>7</v>
      </c>
      <c r="B52" s="362">
        <v>23</v>
      </c>
      <c r="C52" s="362">
        <v>67.099999999999994</v>
      </c>
      <c r="D52" s="362">
        <v>108.6</v>
      </c>
      <c r="E52" s="363">
        <v>48.3</v>
      </c>
      <c r="F52" s="363">
        <v>71.400000000000006</v>
      </c>
      <c r="G52" s="363">
        <v>100.6</v>
      </c>
    </row>
    <row r="53" spans="1:7" ht="14.5" x14ac:dyDescent="0.3">
      <c r="A53" s="360">
        <v>8</v>
      </c>
      <c r="B53" s="362">
        <v>39.700000000000003</v>
      </c>
      <c r="C53" s="362">
        <v>67.599999999999994</v>
      </c>
      <c r="D53" s="362">
        <v>102.3</v>
      </c>
      <c r="E53" s="363">
        <v>41</v>
      </c>
      <c r="F53" s="363">
        <v>87.4</v>
      </c>
      <c r="G53" s="363">
        <v>106.1</v>
      </c>
    </row>
    <row r="54" spans="1:7" ht="14.5" x14ac:dyDescent="0.3">
      <c r="A54" s="360">
        <v>9</v>
      </c>
      <c r="B54" s="362">
        <v>43.1</v>
      </c>
      <c r="C54" s="362">
        <v>66.400000000000006</v>
      </c>
      <c r="D54" s="362">
        <v>109.6</v>
      </c>
      <c r="E54" s="362"/>
      <c r="F54" s="362"/>
      <c r="G54" s="362"/>
    </row>
    <row r="55" spans="1:7" ht="14.5" x14ac:dyDescent="0.3">
      <c r="A55" s="360">
        <v>10</v>
      </c>
      <c r="B55" s="362">
        <v>28.6</v>
      </c>
      <c r="C55" s="362">
        <v>53.9</v>
      </c>
      <c r="D55" s="362">
        <v>93.1</v>
      </c>
      <c r="E55" s="364"/>
      <c r="F55" s="364"/>
      <c r="G55" s="364"/>
    </row>
    <row r="56" spans="1:7" ht="14.5" x14ac:dyDescent="0.3">
      <c r="A56" s="360">
        <v>11</v>
      </c>
      <c r="B56" s="362">
        <v>40.6</v>
      </c>
      <c r="C56" s="362">
        <v>59.2</v>
      </c>
      <c r="D56" s="362">
        <v>109.8</v>
      </c>
      <c r="E56" s="364"/>
      <c r="F56" s="364"/>
      <c r="G56" s="364"/>
    </row>
    <row r="57" spans="1:7" ht="14.5" x14ac:dyDescent="0.3">
      <c r="A57" s="360">
        <v>12</v>
      </c>
      <c r="B57" s="362">
        <v>40.700000000000003</v>
      </c>
      <c r="C57" s="362">
        <v>69.2</v>
      </c>
      <c r="D57" s="362">
        <v>77.8</v>
      </c>
      <c r="E57" s="364"/>
      <c r="F57" s="364"/>
      <c r="G57" s="364"/>
    </row>
    <row r="58" spans="1:7" ht="14.5" x14ac:dyDescent="0.3">
      <c r="A58" s="360">
        <v>13</v>
      </c>
      <c r="B58" s="362">
        <v>37.700000000000003</v>
      </c>
      <c r="C58" s="362">
        <v>50.7</v>
      </c>
      <c r="D58" s="362">
        <v>89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33.4</v>
      </c>
      <c r="C62" s="368">
        <v>62.7</v>
      </c>
      <c r="D62" s="368">
        <v>78.2</v>
      </c>
      <c r="E62" s="369">
        <v>59.6</v>
      </c>
      <c r="F62" s="369">
        <v>72.5</v>
      </c>
      <c r="G62" s="369">
        <v>103.2</v>
      </c>
    </row>
    <row r="63" spans="1:7" ht="14.5" x14ac:dyDescent="0.3">
      <c r="A63" s="366">
        <v>2</v>
      </c>
      <c r="B63" s="368">
        <v>34.299999999999997</v>
      </c>
      <c r="C63" s="368">
        <v>54.3</v>
      </c>
      <c r="D63" s="368">
        <v>103</v>
      </c>
      <c r="E63" s="369">
        <v>30.2</v>
      </c>
      <c r="F63" s="369">
        <v>67.2</v>
      </c>
      <c r="G63" s="369">
        <v>113.7</v>
      </c>
    </row>
    <row r="64" spans="1:7" ht="14.5" x14ac:dyDescent="0.3">
      <c r="A64" s="366">
        <v>3</v>
      </c>
      <c r="B64" s="368">
        <v>44.4</v>
      </c>
      <c r="C64" s="368">
        <v>55.4</v>
      </c>
      <c r="D64" s="368">
        <v>92.3</v>
      </c>
      <c r="E64" s="369">
        <v>63.7</v>
      </c>
      <c r="F64" s="369">
        <v>68.8</v>
      </c>
      <c r="G64" s="369">
        <v>115</v>
      </c>
    </row>
    <row r="65" spans="1:7" ht="14.5" x14ac:dyDescent="0.3">
      <c r="A65" s="366">
        <v>4</v>
      </c>
      <c r="B65" s="368">
        <v>32.299999999999997</v>
      </c>
      <c r="C65" s="368">
        <v>67</v>
      </c>
      <c r="D65" s="368">
        <v>74.3</v>
      </c>
      <c r="E65" s="369">
        <v>30.3</v>
      </c>
      <c r="F65" s="369">
        <v>69.5</v>
      </c>
      <c r="G65" s="369">
        <v>100.6</v>
      </c>
    </row>
    <row r="66" spans="1:7" ht="14.5" x14ac:dyDescent="0.3">
      <c r="A66" s="366">
        <v>5</v>
      </c>
      <c r="B66" s="368">
        <v>19.8</v>
      </c>
      <c r="C66" s="368">
        <v>64.2</v>
      </c>
      <c r="D66" s="368">
        <v>105.5</v>
      </c>
      <c r="E66" s="369">
        <v>47.4</v>
      </c>
      <c r="F66" s="369">
        <v>74.099999999999994</v>
      </c>
      <c r="G66" s="369">
        <v>113.1</v>
      </c>
    </row>
    <row r="67" spans="1:7" ht="14.5" x14ac:dyDescent="0.3">
      <c r="A67" s="366">
        <v>6</v>
      </c>
      <c r="B67" s="368">
        <v>31.2</v>
      </c>
      <c r="C67" s="368">
        <v>51.3</v>
      </c>
      <c r="D67" s="368">
        <v>88.9</v>
      </c>
      <c r="E67" s="369">
        <v>56.3</v>
      </c>
      <c r="F67" s="369">
        <v>92.7</v>
      </c>
      <c r="G67" s="369">
        <v>109</v>
      </c>
    </row>
    <row r="68" spans="1:7" ht="14.5" x14ac:dyDescent="0.3">
      <c r="A68" s="366">
        <v>7</v>
      </c>
      <c r="B68" s="368">
        <v>29.3</v>
      </c>
      <c r="C68" s="368">
        <v>68.3</v>
      </c>
      <c r="D68" s="368">
        <v>106.9</v>
      </c>
      <c r="E68" s="369">
        <v>50.6</v>
      </c>
      <c r="F68" s="369">
        <v>81.599999999999994</v>
      </c>
      <c r="G68" s="369">
        <v>106.4</v>
      </c>
    </row>
    <row r="69" spans="1:7" ht="14.5" x14ac:dyDescent="0.3">
      <c r="A69" s="366">
        <v>8</v>
      </c>
      <c r="B69" s="368">
        <v>23.4</v>
      </c>
      <c r="C69" s="368">
        <v>52.9</v>
      </c>
      <c r="D69" s="368">
        <v>86.5</v>
      </c>
      <c r="E69" s="369">
        <v>57.4</v>
      </c>
      <c r="F69" s="369">
        <v>79.5</v>
      </c>
      <c r="G69" s="369">
        <v>106.4</v>
      </c>
    </row>
    <row r="70" spans="1:7" ht="14.5" x14ac:dyDescent="0.3">
      <c r="A70" s="366">
        <v>9</v>
      </c>
      <c r="B70" s="368">
        <v>21</v>
      </c>
      <c r="C70" s="368">
        <v>58.9</v>
      </c>
      <c r="D70" s="368">
        <v>102.2</v>
      </c>
      <c r="E70" s="369">
        <v>36.1</v>
      </c>
      <c r="F70" s="369">
        <v>85</v>
      </c>
      <c r="G70" s="369">
        <v>118.8</v>
      </c>
    </row>
    <row r="71" spans="1:7" ht="14.5" x14ac:dyDescent="0.3">
      <c r="A71" s="366">
        <v>10</v>
      </c>
      <c r="B71" s="368">
        <v>20</v>
      </c>
      <c r="C71" s="368">
        <v>65.099999999999994</v>
      </c>
      <c r="D71" s="368">
        <v>108.4</v>
      </c>
      <c r="E71" s="369">
        <v>61.5</v>
      </c>
      <c r="F71" s="369">
        <v>86.4</v>
      </c>
      <c r="G71" s="369">
        <v>102.4</v>
      </c>
    </row>
    <row r="72" spans="1:7" ht="14.5" x14ac:dyDescent="0.3">
      <c r="A72" s="366">
        <v>11</v>
      </c>
      <c r="B72" s="368">
        <v>48.4</v>
      </c>
      <c r="C72" s="368">
        <v>64.8</v>
      </c>
      <c r="D72" s="368">
        <v>99.4</v>
      </c>
      <c r="E72" s="367"/>
      <c r="F72" s="367"/>
      <c r="G72" s="367"/>
    </row>
    <row r="73" spans="1:7" ht="14.5" x14ac:dyDescent="0.3">
      <c r="A73" s="366">
        <v>12</v>
      </c>
      <c r="B73" s="368">
        <v>30.6</v>
      </c>
      <c r="C73" s="368">
        <v>64.8</v>
      </c>
      <c r="D73" s="368">
        <v>79.599999999999994</v>
      </c>
      <c r="E73" s="367"/>
      <c r="F73" s="367"/>
      <c r="G73" s="367"/>
    </row>
    <row r="74" spans="1:7" ht="14.5" x14ac:dyDescent="0.3">
      <c r="A74" s="366">
        <v>13</v>
      </c>
      <c r="B74" s="368">
        <v>33.4</v>
      </c>
      <c r="C74" s="368">
        <v>63.2</v>
      </c>
      <c r="D74" s="368">
        <v>75.7</v>
      </c>
      <c r="E74" s="367"/>
      <c r="F74" s="367"/>
      <c r="G74" s="367"/>
    </row>
    <row r="75" spans="1:7" ht="14.5" x14ac:dyDescent="0.3">
      <c r="A75" s="366">
        <v>14</v>
      </c>
      <c r="B75" s="368">
        <v>34.1</v>
      </c>
      <c r="C75" s="368">
        <v>52.7</v>
      </c>
      <c r="D75" s="368">
        <v>87.2</v>
      </c>
      <c r="E75" s="367"/>
      <c r="F75" s="367"/>
      <c r="G75" s="367"/>
    </row>
    <row r="76" spans="1:7" ht="14.5" x14ac:dyDescent="0.3">
      <c r="A76" s="366">
        <v>15</v>
      </c>
      <c r="B76" s="368">
        <v>30.2</v>
      </c>
      <c r="C76" s="368">
        <v>57.2</v>
      </c>
      <c r="D76" s="368">
        <v>73.599999999999994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27.7</v>
      </c>
      <c r="C80" s="373">
        <v>64.2</v>
      </c>
      <c r="D80" s="373">
        <v>97.5</v>
      </c>
      <c r="E80" s="374">
        <v>54.4</v>
      </c>
      <c r="F80" s="374">
        <v>87.9</v>
      </c>
      <c r="G80" s="374">
        <v>96.4</v>
      </c>
    </row>
    <row r="81" spans="1:7" ht="14.5" x14ac:dyDescent="0.3">
      <c r="A81" s="371">
        <v>2</v>
      </c>
      <c r="B81" s="373">
        <v>47.1</v>
      </c>
      <c r="C81" s="373">
        <v>52.6</v>
      </c>
      <c r="D81" s="373">
        <v>78.599999999999994</v>
      </c>
      <c r="E81" s="374">
        <v>43.2</v>
      </c>
      <c r="F81" s="374">
        <v>86.1</v>
      </c>
      <c r="G81" s="374">
        <v>100.8</v>
      </c>
    </row>
    <row r="82" spans="1:7" ht="14.5" x14ac:dyDescent="0.3">
      <c r="A82" s="371">
        <v>3</v>
      </c>
      <c r="B82" s="373">
        <v>46.7</v>
      </c>
      <c r="C82" s="373">
        <v>59.6</v>
      </c>
      <c r="D82" s="373">
        <v>100.3</v>
      </c>
      <c r="E82" s="374">
        <v>63</v>
      </c>
      <c r="F82" s="374">
        <v>84</v>
      </c>
      <c r="G82" s="374">
        <v>115.3</v>
      </c>
    </row>
    <row r="83" spans="1:7" ht="14.5" x14ac:dyDescent="0.3">
      <c r="A83" s="371">
        <v>4</v>
      </c>
      <c r="B83" s="373">
        <v>18</v>
      </c>
      <c r="C83" s="373">
        <v>67.7</v>
      </c>
      <c r="D83" s="373">
        <v>89.3</v>
      </c>
      <c r="E83" s="374">
        <v>52.2</v>
      </c>
      <c r="F83" s="374">
        <v>74.099999999999994</v>
      </c>
      <c r="G83" s="374">
        <v>119.5</v>
      </c>
    </row>
    <row r="84" spans="1:7" ht="14.5" x14ac:dyDescent="0.3">
      <c r="A84" s="371">
        <v>5</v>
      </c>
      <c r="B84" s="373">
        <v>31.3</v>
      </c>
      <c r="C84" s="373">
        <v>61.9</v>
      </c>
      <c r="D84" s="373">
        <v>77.3</v>
      </c>
      <c r="E84" s="374">
        <v>45.5</v>
      </c>
      <c r="F84" s="374">
        <v>88.8</v>
      </c>
      <c r="G84" s="374">
        <v>100</v>
      </c>
    </row>
    <row r="85" spans="1:7" ht="14.5" x14ac:dyDescent="0.3">
      <c r="A85" s="371">
        <v>6</v>
      </c>
      <c r="B85" s="373">
        <v>43.5</v>
      </c>
      <c r="C85" s="373">
        <v>52.3</v>
      </c>
      <c r="D85" s="373">
        <v>96.4</v>
      </c>
      <c r="E85" s="374">
        <v>47.2</v>
      </c>
      <c r="F85" s="374">
        <v>75.900000000000006</v>
      </c>
      <c r="G85" s="374">
        <v>111.3</v>
      </c>
    </row>
    <row r="86" spans="1:7" ht="14.5" x14ac:dyDescent="0.3">
      <c r="A86" s="371">
        <v>7</v>
      </c>
      <c r="B86" s="373">
        <v>36.1</v>
      </c>
      <c r="C86" s="373">
        <v>56.7</v>
      </c>
      <c r="D86" s="373">
        <v>96</v>
      </c>
      <c r="E86" s="374">
        <v>44.8</v>
      </c>
      <c r="F86" s="374">
        <v>66.8</v>
      </c>
      <c r="G86" s="374">
        <v>96.2</v>
      </c>
    </row>
    <row r="87" spans="1:7" ht="14.5" x14ac:dyDescent="0.3">
      <c r="A87" s="371">
        <v>8</v>
      </c>
      <c r="B87" s="373">
        <v>40</v>
      </c>
      <c r="C87" s="373">
        <v>69.8</v>
      </c>
      <c r="D87" s="373">
        <v>89.5</v>
      </c>
      <c r="E87" s="374">
        <v>60.4</v>
      </c>
      <c r="F87" s="374">
        <v>94.7</v>
      </c>
      <c r="G87" s="374">
        <v>99.9</v>
      </c>
    </row>
    <row r="88" spans="1:7" ht="14.5" x14ac:dyDescent="0.3">
      <c r="A88" s="371">
        <v>9</v>
      </c>
      <c r="B88" s="373">
        <v>33.9</v>
      </c>
      <c r="C88" s="373">
        <v>65</v>
      </c>
      <c r="D88" s="373">
        <v>87.9</v>
      </c>
      <c r="E88" s="374">
        <v>45.3</v>
      </c>
      <c r="F88" s="374">
        <v>67.3</v>
      </c>
      <c r="G88" s="374">
        <v>105.4</v>
      </c>
    </row>
    <row r="89" spans="1:7" ht="14.5" x14ac:dyDescent="0.3">
      <c r="A89" s="371">
        <v>10</v>
      </c>
      <c r="B89" s="373">
        <v>43.7</v>
      </c>
      <c r="C89" s="373">
        <v>50.8</v>
      </c>
      <c r="D89" s="373">
        <v>95.7</v>
      </c>
      <c r="E89" s="374">
        <v>54.7</v>
      </c>
      <c r="F89" s="374">
        <v>85</v>
      </c>
      <c r="G89" s="374">
        <v>117.2</v>
      </c>
    </row>
    <row r="90" spans="1:7" ht="14.5" x14ac:dyDescent="0.3">
      <c r="A90" s="371">
        <v>11</v>
      </c>
      <c r="B90" s="373">
        <v>26.5</v>
      </c>
      <c r="C90" s="373">
        <v>53</v>
      </c>
      <c r="D90" s="373">
        <v>99.1</v>
      </c>
      <c r="E90" s="374">
        <v>54.2</v>
      </c>
      <c r="F90" s="374">
        <v>68.7</v>
      </c>
      <c r="G90" s="374">
        <v>95.2</v>
      </c>
    </row>
    <row r="91" spans="1:7" ht="14.5" x14ac:dyDescent="0.3">
      <c r="A91" s="371">
        <v>12</v>
      </c>
      <c r="B91" s="373">
        <v>42.1</v>
      </c>
      <c r="C91" s="373">
        <v>52.2</v>
      </c>
      <c r="D91" s="373">
        <v>98.8</v>
      </c>
      <c r="E91" s="374">
        <v>34.6</v>
      </c>
      <c r="F91" s="374">
        <v>66.8</v>
      </c>
      <c r="G91" s="374">
        <v>103.7</v>
      </c>
    </row>
    <row r="92" spans="1:7" ht="14.5" x14ac:dyDescent="0.3">
      <c r="A92" s="371">
        <v>13</v>
      </c>
      <c r="B92" s="373">
        <v>46.3</v>
      </c>
      <c r="C92" s="373">
        <v>65.3</v>
      </c>
      <c r="D92" s="373">
        <v>89.6</v>
      </c>
      <c r="E92" s="375"/>
      <c r="F92" s="375"/>
      <c r="G92" s="375"/>
    </row>
    <row r="93" spans="1:7" ht="14.5" x14ac:dyDescent="0.3">
      <c r="A93" s="371">
        <v>14</v>
      </c>
      <c r="B93" s="373">
        <v>31.5</v>
      </c>
      <c r="C93" s="373">
        <v>53.3</v>
      </c>
      <c r="D93" s="373">
        <v>74.7</v>
      </c>
      <c r="E93" s="375"/>
      <c r="F93" s="375"/>
      <c r="G93" s="375"/>
    </row>
    <row r="94" spans="1:7" ht="14.5" x14ac:dyDescent="0.3">
      <c r="A94" s="371">
        <v>15</v>
      </c>
      <c r="B94" s="373">
        <v>49.6</v>
      </c>
      <c r="C94" s="373">
        <v>57.5</v>
      </c>
      <c r="D94" s="373">
        <v>98.5</v>
      </c>
      <c r="E94" s="375"/>
      <c r="F94" s="375"/>
      <c r="G94" s="375"/>
    </row>
    <row r="95" spans="1:7" ht="14.5" x14ac:dyDescent="0.3">
      <c r="A95" s="371">
        <v>16</v>
      </c>
      <c r="B95" s="373">
        <v>33.5</v>
      </c>
      <c r="C95" s="373">
        <v>52.4</v>
      </c>
      <c r="D95" s="373">
        <v>104.7</v>
      </c>
      <c r="E95" s="375"/>
      <c r="F95" s="375"/>
      <c r="G95" s="375"/>
    </row>
    <row r="96" spans="1:7" ht="14.5" x14ac:dyDescent="0.3">
      <c r="A96" s="371">
        <v>17</v>
      </c>
      <c r="B96" s="373">
        <v>37.1</v>
      </c>
      <c r="C96" s="373">
        <v>60.9</v>
      </c>
      <c r="D96" s="373">
        <v>86.9</v>
      </c>
      <c r="E96" s="375"/>
      <c r="F96" s="375"/>
      <c r="G96" s="375"/>
    </row>
    <row r="97" spans="1:7" ht="14.5" x14ac:dyDescent="0.3">
      <c r="A97" s="371">
        <v>18</v>
      </c>
      <c r="B97" s="373">
        <v>30.7</v>
      </c>
      <c r="C97" s="373">
        <v>58.6</v>
      </c>
      <c r="D97" s="373">
        <v>98</v>
      </c>
      <c r="E97" s="376"/>
      <c r="F97" s="376"/>
      <c r="G97" s="376"/>
    </row>
    <row r="98" spans="1:7" ht="14.5" x14ac:dyDescent="0.3">
      <c r="A98" s="371">
        <v>19</v>
      </c>
      <c r="B98" s="373">
        <v>20.9</v>
      </c>
      <c r="C98" s="373">
        <v>60.9</v>
      </c>
      <c r="D98" s="373">
        <v>91.6</v>
      </c>
      <c r="E98" s="376"/>
      <c r="F98" s="376"/>
      <c r="G98" s="376"/>
    </row>
    <row r="99" spans="1:7" ht="14.5" x14ac:dyDescent="0.3">
      <c r="A99" s="371">
        <v>20</v>
      </c>
      <c r="B99" s="373">
        <v>27.9</v>
      </c>
      <c r="C99" s="373">
        <v>66</v>
      </c>
      <c r="D99" s="373">
        <v>82.7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30</v>
      </c>
      <c r="C103" s="367">
        <v>52</v>
      </c>
      <c r="D103" s="367">
        <v>85.1</v>
      </c>
      <c r="E103" s="369">
        <v>57</v>
      </c>
      <c r="F103" s="369">
        <v>75.099999999999994</v>
      </c>
      <c r="G103" s="369">
        <v>106.7</v>
      </c>
    </row>
    <row r="104" spans="1:7" x14ac:dyDescent="0.25">
      <c r="A104" s="366">
        <v>2</v>
      </c>
      <c r="B104" s="367">
        <v>29.2</v>
      </c>
      <c r="C104" s="367">
        <v>68.7</v>
      </c>
      <c r="D104" s="367">
        <v>72</v>
      </c>
      <c r="E104" s="369">
        <v>43.3</v>
      </c>
      <c r="F104" s="369">
        <v>78.900000000000006</v>
      </c>
      <c r="G104" s="369">
        <v>103</v>
      </c>
    </row>
    <row r="105" spans="1:7" x14ac:dyDescent="0.25">
      <c r="A105" s="366">
        <v>3</v>
      </c>
      <c r="B105" s="367">
        <v>37.799999999999997</v>
      </c>
      <c r="C105" s="367">
        <v>67.8</v>
      </c>
      <c r="D105" s="367">
        <v>72.599999999999994</v>
      </c>
      <c r="E105" s="369">
        <v>38.6</v>
      </c>
      <c r="F105" s="369">
        <v>67.099999999999994</v>
      </c>
      <c r="G105" s="369">
        <v>98.8</v>
      </c>
    </row>
    <row r="106" spans="1:7" x14ac:dyDescent="0.25">
      <c r="A106" s="366">
        <v>4</v>
      </c>
      <c r="B106" s="367">
        <v>30.1</v>
      </c>
      <c r="C106" s="367">
        <v>61.6</v>
      </c>
      <c r="D106" s="367">
        <v>89.3</v>
      </c>
      <c r="E106" s="369">
        <v>63.3</v>
      </c>
      <c r="F106" s="369">
        <v>77.5</v>
      </c>
      <c r="G106" s="369">
        <v>106.9</v>
      </c>
    </row>
    <row r="107" spans="1:7" x14ac:dyDescent="0.25">
      <c r="A107" s="366">
        <v>5</v>
      </c>
      <c r="B107" s="367">
        <v>28.5</v>
      </c>
      <c r="C107" s="367">
        <v>64.5</v>
      </c>
      <c r="D107" s="367">
        <v>85.1</v>
      </c>
      <c r="E107" s="369">
        <v>39.299999999999997</v>
      </c>
      <c r="F107" s="369">
        <v>90.1</v>
      </c>
      <c r="G107" s="369">
        <v>109.9</v>
      </c>
    </row>
    <row r="108" spans="1:7" x14ac:dyDescent="0.25">
      <c r="A108" s="366">
        <v>6</v>
      </c>
      <c r="B108" s="367">
        <v>38.299999999999997</v>
      </c>
      <c r="C108" s="367">
        <v>68.900000000000006</v>
      </c>
      <c r="D108" s="367">
        <v>78.3</v>
      </c>
      <c r="E108" s="369">
        <v>61.6</v>
      </c>
      <c r="F108" s="369">
        <v>82.2</v>
      </c>
      <c r="G108" s="369">
        <v>101.3</v>
      </c>
    </row>
    <row r="109" spans="1:7" x14ac:dyDescent="0.25">
      <c r="A109" s="366">
        <v>7</v>
      </c>
      <c r="B109" s="367">
        <v>20.7</v>
      </c>
      <c r="C109" s="367">
        <v>54.9</v>
      </c>
      <c r="D109" s="367">
        <v>108.1</v>
      </c>
      <c r="E109" s="367"/>
      <c r="F109" s="367"/>
      <c r="G109" s="367"/>
    </row>
    <row r="110" spans="1:7" x14ac:dyDescent="0.25">
      <c r="A110" s="366">
        <v>8</v>
      </c>
      <c r="B110" s="367">
        <v>47.4</v>
      </c>
      <c r="C110" s="367">
        <v>59.8</v>
      </c>
      <c r="D110" s="367">
        <v>77.400000000000006</v>
      </c>
      <c r="E110" s="367"/>
      <c r="F110" s="367"/>
      <c r="G110" s="367"/>
    </row>
    <row r="111" spans="1:7" x14ac:dyDescent="0.25">
      <c r="A111" s="366">
        <v>9</v>
      </c>
      <c r="B111" s="367">
        <v>39.799999999999997</v>
      </c>
      <c r="C111" s="367">
        <v>58.4</v>
      </c>
      <c r="D111" s="367">
        <v>73.8</v>
      </c>
      <c r="E111" s="367"/>
      <c r="F111" s="367"/>
      <c r="G111" s="367"/>
    </row>
    <row r="112" spans="1:7" x14ac:dyDescent="0.25">
      <c r="A112" s="366">
        <v>10</v>
      </c>
      <c r="B112" s="367">
        <v>28</v>
      </c>
      <c r="C112" s="367">
        <v>52.8</v>
      </c>
      <c r="D112" s="367">
        <v>96.6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104.7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42.3</v>
      </c>
      <c r="C117" s="357">
        <v>56</v>
      </c>
      <c r="D117" s="357">
        <v>87.7</v>
      </c>
      <c r="E117" s="357"/>
      <c r="F117" s="357"/>
      <c r="G117" s="357"/>
    </row>
    <row r="118" spans="1:7" x14ac:dyDescent="0.25">
      <c r="A118" s="356">
        <v>2</v>
      </c>
      <c r="B118" s="357">
        <v>25.9</v>
      </c>
      <c r="C118" s="357">
        <v>62.2</v>
      </c>
      <c r="D118" s="357">
        <v>94</v>
      </c>
      <c r="E118" s="357"/>
      <c r="F118" s="357"/>
      <c r="G118" s="357"/>
    </row>
    <row r="119" spans="1:7" x14ac:dyDescent="0.25">
      <c r="A119" s="356">
        <v>3</v>
      </c>
      <c r="B119" s="357">
        <v>38.6</v>
      </c>
      <c r="C119" s="357">
        <v>69.7</v>
      </c>
      <c r="D119" s="357">
        <v>85.7</v>
      </c>
      <c r="E119" s="357"/>
      <c r="F119" s="357"/>
      <c r="G119" s="357"/>
    </row>
    <row r="120" spans="1:7" x14ac:dyDescent="0.25">
      <c r="A120" s="356">
        <v>4</v>
      </c>
      <c r="B120" s="357">
        <v>40.700000000000003</v>
      </c>
      <c r="C120" s="357">
        <v>61.7</v>
      </c>
      <c r="D120" s="357">
        <v>106.9</v>
      </c>
      <c r="E120" s="357"/>
      <c r="F120" s="357"/>
      <c r="G120" s="357"/>
    </row>
    <row r="121" spans="1:7" x14ac:dyDescent="0.25">
      <c r="A121" s="356">
        <v>5</v>
      </c>
      <c r="B121" s="357">
        <v>44.7</v>
      </c>
      <c r="C121" s="357">
        <v>63.5</v>
      </c>
      <c r="D121" s="357">
        <v>75.099999999999994</v>
      </c>
      <c r="E121" s="357"/>
      <c r="F121" s="357"/>
      <c r="G121" s="357"/>
    </row>
    <row r="122" spans="1:7" x14ac:dyDescent="0.25">
      <c r="A122" s="356">
        <v>6</v>
      </c>
      <c r="B122" s="357">
        <v>19.2</v>
      </c>
      <c r="C122" s="357">
        <v>69.8</v>
      </c>
      <c r="D122" s="357">
        <v>83.1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62.1</v>
      </c>
      <c r="C127" s="380">
        <f>ROUNDDOWN(AVERAGE(E5:G12),1)</f>
        <v>78.5</v>
      </c>
      <c r="D127" s="378">
        <v>19899</v>
      </c>
      <c r="E127" s="378">
        <v>12634</v>
      </c>
      <c r="F127" s="378">
        <f>B127*D127</f>
        <v>1235727.9000000001</v>
      </c>
      <c r="G127" s="378">
        <f>C127*E127</f>
        <v>991769</v>
      </c>
    </row>
    <row r="128" spans="1:7" x14ac:dyDescent="0.25">
      <c r="A128" s="379" t="str">
        <f>A17</f>
        <v>Chongzuo Zuozhou swine Farm</v>
      </c>
      <c r="B128" s="380">
        <f>ROUNDDOWN(AVERAGE(B20:D26),1)</f>
        <v>66.3</v>
      </c>
      <c r="C128" s="380">
        <f>ROUNDDOWN(AVERAGE(E20:G23),1)</f>
        <v>78.5</v>
      </c>
      <c r="D128" s="378">
        <v>10998</v>
      </c>
      <c r="E128" s="378">
        <v>6989</v>
      </c>
      <c r="F128" s="378">
        <f t="shared" ref="F128:G135" si="0">B128*D128</f>
        <v>729167.4</v>
      </c>
      <c r="G128" s="378">
        <f>C128*E128</f>
        <v>548636.5</v>
      </c>
    </row>
    <row r="129" spans="1:7" x14ac:dyDescent="0.25">
      <c r="A129" s="379" t="str">
        <f>A27</f>
        <v>Tianyang Wucun swine Farm</v>
      </c>
      <c r="B129" s="380">
        <f>ROUNDDOWN(AVERAGE(B30:D35),1)</f>
        <v>58.1</v>
      </c>
      <c r="C129" s="380">
        <f>ROUNDDOWN(AVERAGE(E30:G35),1)</f>
        <v>75.900000000000006</v>
      </c>
      <c r="D129" s="378">
        <v>9501</v>
      </c>
      <c r="E129" s="378">
        <v>6010</v>
      </c>
      <c r="F129" s="378">
        <f t="shared" si="0"/>
        <v>552008.1</v>
      </c>
      <c r="G129" s="378">
        <f>C129*E129</f>
        <v>456159.00000000006</v>
      </c>
    </row>
    <row r="130" spans="1:7" x14ac:dyDescent="0.25">
      <c r="A130" s="379" t="str">
        <f>A36</f>
        <v>Quanzhou Dengjiabu swine Farm</v>
      </c>
      <c r="B130" s="380">
        <f>ROUNDDOWN(AVERAGE(B39:D42),1)</f>
        <v>59.7</v>
      </c>
      <c r="C130" s="380">
        <f>ROUNDDOWN(AVERAGE(E39:G42),1)</f>
        <v>86.4</v>
      </c>
      <c r="D130" s="378">
        <v>5446</v>
      </c>
      <c r="E130" s="378">
        <v>3367</v>
      </c>
      <c r="F130" s="378">
        <f t="shared" si="0"/>
        <v>325126.2</v>
      </c>
      <c r="G130" s="378">
        <f t="shared" si="0"/>
        <v>290908.80000000005</v>
      </c>
    </row>
    <row r="131" spans="1:7" x14ac:dyDescent="0.25">
      <c r="A131" s="379" t="str">
        <f>A43</f>
        <v>Chongzuo Quming swine Farm</v>
      </c>
      <c r="B131" s="380">
        <f>ROUNDDOWN(AVERAGE(B46:D58),1)</f>
        <v>65.8</v>
      </c>
      <c r="C131" s="380">
        <f>ROUNDDOWN(AVERAGE(E46:G53),1)</f>
        <v>76</v>
      </c>
      <c r="D131" s="378">
        <v>22352</v>
      </c>
      <c r="E131" s="378">
        <v>13979</v>
      </c>
      <c r="F131" s="378">
        <f t="shared" si="0"/>
        <v>1470761.5999999999</v>
      </c>
      <c r="G131" s="378">
        <f t="shared" si="0"/>
        <v>1062404</v>
      </c>
    </row>
    <row r="132" spans="1:7" x14ac:dyDescent="0.25">
      <c r="A132" s="379" t="str">
        <f>A59</f>
        <v>Jingxi swine Farm</v>
      </c>
      <c r="B132" s="380">
        <f>ROUNDDOWN(AVERAGE(B62:D76),1)</f>
        <v>60.6</v>
      </c>
      <c r="C132" s="380">
        <f>ROUNDDOWN(AVERAGE(E62:G71),1)</f>
        <v>78.599999999999994</v>
      </c>
      <c r="D132" s="378">
        <v>26116</v>
      </c>
      <c r="E132" s="378">
        <v>15924</v>
      </c>
      <c r="F132" s="378">
        <f t="shared" si="0"/>
        <v>1582629.6</v>
      </c>
      <c r="G132" s="378">
        <f t="shared" si="0"/>
        <v>1251626.3999999999</v>
      </c>
    </row>
    <row r="133" spans="1:7" x14ac:dyDescent="0.25">
      <c r="A133" s="379" t="str">
        <f>A77</f>
        <v>Liucheng Mashan swine Farm</v>
      </c>
      <c r="B133" s="380">
        <f>ROUNDDOWN(AVERAGE(B80:D99),1)</f>
        <v>62.1</v>
      </c>
      <c r="C133" s="378">
        <f>ROUNDDOWN(AVERAGE(E80:G91),1)</f>
        <v>77.900000000000006</v>
      </c>
      <c r="D133" s="378">
        <v>33500</v>
      </c>
      <c r="E133" s="378">
        <v>20638</v>
      </c>
      <c r="F133" s="378">
        <f t="shared" si="0"/>
        <v>2080350</v>
      </c>
      <c r="G133" s="378">
        <f t="shared" si="0"/>
        <v>1607700.2000000002</v>
      </c>
    </row>
    <row r="134" spans="1:7" x14ac:dyDescent="0.25">
      <c r="A134" s="379" t="str">
        <f>A100</f>
        <v>Tengxian Tianping swine Farm</v>
      </c>
      <c r="B134" s="380">
        <f>ROUNDDOWN(AVERAGE(B103:D113),1)</f>
        <v>60.7</v>
      </c>
      <c r="C134" s="378">
        <f>ROUNDDOWN(AVERAGE(E103:G108),1)</f>
        <v>77.8</v>
      </c>
      <c r="D134" s="378">
        <v>16255</v>
      </c>
      <c r="E134" s="378">
        <v>10374</v>
      </c>
      <c r="F134" s="378">
        <f t="shared" si="0"/>
        <v>986678.5</v>
      </c>
      <c r="G134" s="378">
        <f t="shared" si="0"/>
        <v>807097.2</v>
      </c>
    </row>
    <row r="135" spans="1:7" x14ac:dyDescent="0.25">
      <c r="A135" s="379" t="str">
        <f>A114</f>
        <v>Debao Chengguan swine Farm</v>
      </c>
      <c r="B135" s="380">
        <f>ROUNDDOWN(AVERAGE(B117:D122),1)</f>
        <v>62.6</v>
      </c>
      <c r="C135" s="378">
        <v>0</v>
      </c>
      <c r="D135" s="378">
        <v>8758</v>
      </c>
      <c r="E135" s="378">
        <v>0</v>
      </c>
      <c r="F135" s="378">
        <f t="shared" si="0"/>
        <v>548250.80000000005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89915</v>
      </c>
      <c r="F136" s="378">
        <f>SUM(F127:F135)</f>
        <v>9510700.1000000015</v>
      </c>
      <c r="G136" s="378">
        <f>SUM(G127:G134)</f>
        <v>7016301.0999999996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62.2</v>
      </c>
      <c r="D140" s="381">
        <f>ROUNDDOWN(G136/E136,1)</f>
        <v>78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10DD-5ACC-4D7E-BDDA-18FDB51E4685}">
  <dimension ref="A1:G140"/>
  <sheetViews>
    <sheetView topLeftCell="A28" workbookViewId="0">
      <selection activeCell="B44" sqref="B44:D44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21.4</v>
      </c>
      <c r="C5" s="345">
        <v>68.3</v>
      </c>
      <c r="D5" s="345">
        <v>95.5</v>
      </c>
      <c r="E5" s="346">
        <v>31.7</v>
      </c>
      <c r="F5" s="346">
        <v>81.400000000000006</v>
      </c>
      <c r="G5" s="346">
        <v>99</v>
      </c>
    </row>
    <row r="6" spans="1:7" x14ac:dyDescent="0.25">
      <c r="A6" s="343">
        <v>2</v>
      </c>
      <c r="B6" s="345">
        <v>37.5</v>
      </c>
      <c r="C6" s="345">
        <v>68.7</v>
      </c>
      <c r="D6" s="345">
        <v>76.3</v>
      </c>
      <c r="E6" s="346">
        <v>63.6</v>
      </c>
      <c r="F6" s="346">
        <v>71</v>
      </c>
      <c r="G6" s="346">
        <v>103.6</v>
      </c>
    </row>
    <row r="7" spans="1:7" x14ac:dyDescent="0.25">
      <c r="A7" s="343">
        <v>3</v>
      </c>
      <c r="B7" s="345">
        <v>31</v>
      </c>
      <c r="C7" s="345">
        <v>63.7</v>
      </c>
      <c r="D7" s="345">
        <v>92.1</v>
      </c>
      <c r="E7" s="346">
        <v>61.5</v>
      </c>
      <c r="F7" s="346">
        <v>92.6</v>
      </c>
      <c r="G7" s="346">
        <v>113.5</v>
      </c>
    </row>
    <row r="8" spans="1:7" x14ac:dyDescent="0.25">
      <c r="A8" s="343">
        <v>4</v>
      </c>
      <c r="B8" s="345">
        <v>44.4</v>
      </c>
      <c r="C8" s="345">
        <v>67.7</v>
      </c>
      <c r="D8" s="345">
        <v>94.3</v>
      </c>
      <c r="E8" s="346">
        <v>31.4</v>
      </c>
      <c r="F8" s="346">
        <v>76.8</v>
      </c>
      <c r="G8" s="346">
        <v>102.4</v>
      </c>
    </row>
    <row r="9" spans="1:7" x14ac:dyDescent="0.25">
      <c r="A9" s="343">
        <v>5</v>
      </c>
      <c r="B9" s="345">
        <v>30.1</v>
      </c>
      <c r="C9" s="345">
        <v>63.4</v>
      </c>
      <c r="D9" s="345">
        <v>109.8</v>
      </c>
      <c r="E9" s="346">
        <v>39</v>
      </c>
      <c r="F9" s="346">
        <v>77.099999999999994</v>
      </c>
      <c r="G9" s="346">
        <v>99.6</v>
      </c>
    </row>
    <row r="10" spans="1:7" x14ac:dyDescent="0.25">
      <c r="A10" s="343">
        <v>6</v>
      </c>
      <c r="B10" s="345">
        <v>28.1</v>
      </c>
      <c r="C10" s="345">
        <v>62.1</v>
      </c>
      <c r="D10" s="345">
        <v>78.5</v>
      </c>
      <c r="E10" s="346">
        <v>54.9</v>
      </c>
      <c r="F10" s="346">
        <v>81.5</v>
      </c>
      <c r="G10" s="346">
        <v>113.8</v>
      </c>
    </row>
    <row r="11" spans="1:7" x14ac:dyDescent="0.25">
      <c r="A11" s="343">
        <v>7</v>
      </c>
      <c r="B11" s="345">
        <v>21.1</v>
      </c>
      <c r="C11" s="345">
        <v>60.8</v>
      </c>
      <c r="D11" s="345">
        <v>79.400000000000006</v>
      </c>
      <c r="E11" s="346">
        <v>32</v>
      </c>
      <c r="F11" s="346">
        <v>73.599999999999994</v>
      </c>
      <c r="G11" s="346">
        <v>117.2</v>
      </c>
    </row>
    <row r="12" spans="1:7" x14ac:dyDescent="0.25">
      <c r="A12" s="343">
        <v>8</v>
      </c>
      <c r="B12" s="345">
        <v>18.3</v>
      </c>
      <c r="C12" s="345">
        <v>61.9</v>
      </c>
      <c r="D12" s="345">
        <v>90</v>
      </c>
      <c r="E12" s="346">
        <v>60.3</v>
      </c>
      <c r="F12" s="346">
        <v>65.2</v>
      </c>
      <c r="G12" s="346">
        <v>108</v>
      </c>
    </row>
    <row r="13" spans="1:7" x14ac:dyDescent="0.25">
      <c r="A13" s="343">
        <v>9</v>
      </c>
      <c r="B13" s="345">
        <v>42.2</v>
      </c>
      <c r="C13" s="345">
        <v>61</v>
      </c>
      <c r="D13" s="345">
        <v>107.9</v>
      </c>
      <c r="E13" s="345"/>
      <c r="F13" s="345"/>
      <c r="G13" s="345"/>
    </row>
    <row r="14" spans="1:7" x14ac:dyDescent="0.25">
      <c r="A14" s="343">
        <v>10</v>
      </c>
      <c r="B14" s="345">
        <v>21.8</v>
      </c>
      <c r="C14" s="345">
        <v>60.7</v>
      </c>
      <c r="D14" s="345">
        <v>73.900000000000006</v>
      </c>
      <c r="E14" s="345"/>
      <c r="F14" s="345"/>
      <c r="G14" s="345"/>
    </row>
    <row r="15" spans="1:7" x14ac:dyDescent="0.25">
      <c r="A15" s="343">
        <v>11</v>
      </c>
      <c r="B15" s="345">
        <v>44.7</v>
      </c>
      <c r="C15" s="345">
        <v>69.8</v>
      </c>
      <c r="D15" s="345">
        <v>76.8</v>
      </c>
      <c r="E15" s="345"/>
      <c r="F15" s="345"/>
      <c r="G15" s="345"/>
    </row>
    <row r="16" spans="1:7" x14ac:dyDescent="0.25">
      <c r="A16" s="343">
        <v>12</v>
      </c>
      <c r="B16" s="345">
        <v>26.5</v>
      </c>
      <c r="C16" s="345">
        <v>56.1</v>
      </c>
      <c r="D16" s="345">
        <v>84.7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21.5</v>
      </c>
      <c r="C20" s="350">
        <v>59.3</v>
      </c>
      <c r="D20" s="350">
        <v>78.099999999999994</v>
      </c>
      <c r="E20" s="350">
        <v>37.5</v>
      </c>
      <c r="F20" s="350">
        <v>86</v>
      </c>
      <c r="G20" s="350">
        <v>114.5</v>
      </c>
    </row>
    <row r="21" spans="1:7" x14ac:dyDescent="0.25">
      <c r="A21" s="348">
        <v>2</v>
      </c>
      <c r="B21" s="350">
        <v>23.7</v>
      </c>
      <c r="C21" s="350">
        <v>60.5</v>
      </c>
      <c r="D21" s="350">
        <v>91.6</v>
      </c>
      <c r="E21" s="350">
        <v>32.5</v>
      </c>
      <c r="F21" s="350">
        <v>83.8</v>
      </c>
      <c r="G21" s="350">
        <v>114.8</v>
      </c>
    </row>
    <row r="22" spans="1:7" x14ac:dyDescent="0.25">
      <c r="A22" s="348">
        <v>3</v>
      </c>
      <c r="B22" s="350">
        <v>39.200000000000003</v>
      </c>
      <c r="C22" s="350">
        <v>59.4</v>
      </c>
      <c r="D22" s="350">
        <v>75</v>
      </c>
      <c r="E22" s="350">
        <v>56.2</v>
      </c>
      <c r="F22" s="350">
        <v>67.599999999999994</v>
      </c>
      <c r="G22" s="350">
        <v>119.9</v>
      </c>
    </row>
    <row r="23" spans="1:7" x14ac:dyDescent="0.25">
      <c r="A23" s="348">
        <v>4</v>
      </c>
      <c r="B23" s="350">
        <v>34.6</v>
      </c>
      <c r="C23" s="350">
        <v>59.6</v>
      </c>
      <c r="D23" s="350">
        <v>102.6</v>
      </c>
      <c r="E23" s="350">
        <v>54.8</v>
      </c>
      <c r="F23" s="350">
        <v>89</v>
      </c>
      <c r="G23" s="350">
        <v>96.5</v>
      </c>
    </row>
    <row r="24" spans="1:7" x14ac:dyDescent="0.25">
      <c r="A24" s="348">
        <v>5</v>
      </c>
      <c r="B24" s="350">
        <v>20.5</v>
      </c>
      <c r="C24" s="350">
        <v>67.900000000000006</v>
      </c>
      <c r="D24" s="350">
        <v>70.2</v>
      </c>
      <c r="E24" s="350"/>
      <c r="F24" s="350"/>
      <c r="G24" s="350"/>
    </row>
    <row r="25" spans="1:7" x14ac:dyDescent="0.25">
      <c r="A25" s="348">
        <v>6</v>
      </c>
      <c r="B25" s="350">
        <v>40.6</v>
      </c>
      <c r="C25" s="350">
        <v>67.400000000000006</v>
      </c>
      <c r="D25" s="350">
        <v>107.6</v>
      </c>
      <c r="E25" s="350"/>
      <c r="F25" s="350"/>
      <c r="G25" s="350"/>
    </row>
    <row r="26" spans="1:7" x14ac:dyDescent="0.25">
      <c r="A26" s="348">
        <v>7</v>
      </c>
      <c r="B26" s="350">
        <v>37.6</v>
      </c>
      <c r="C26" s="350">
        <v>56.5</v>
      </c>
      <c r="D26" s="350">
        <v>89.8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46.5</v>
      </c>
      <c r="C30" s="353">
        <v>52.9</v>
      </c>
      <c r="D30" s="353">
        <v>75.599999999999994</v>
      </c>
      <c r="E30" s="354">
        <v>54.3</v>
      </c>
      <c r="F30" s="354">
        <v>93.4</v>
      </c>
      <c r="G30" s="354">
        <v>115.3</v>
      </c>
    </row>
    <row r="31" spans="1:7" x14ac:dyDescent="0.25">
      <c r="A31" s="352">
        <v>2</v>
      </c>
      <c r="B31" s="353">
        <v>33.700000000000003</v>
      </c>
      <c r="C31" s="353">
        <v>59.2</v>
      </c>
      <c r="D31" s="353">
        <v>85.2</v>
      </c>
      <c r="E31" s="354">
        <v>45.8</v>
      </c>
      <c r="F31" s="354">
        <v>79.5</v>
      </c>
      <c r="G31" s="354">
        <v>109.6</v>
      </c>
    </row>
    <row r="32" spans="1:7" x14ac:dyDescent="0.25">
      <c r="A32" s="352">
        <v>3</v>
      </c>
      <c r="B32" s="353">
        <v>41</v>
      </c>
      <c r="C32" s="353">
        <v>53.2</v>
      </c>
      <c r="D32" s="353">
        <v>105.8</v>
      </c>
      <c r="E32" s="354">
        <v>36.299999999999997</v>
      </c>
      <c r="F32" s="354">
        <v>67.3</v>
      </c>
      <c r="G32" s="354">
        <v>112.9</v>
      </c>
    </row>
    <row r="33" spans="1:7" x14ac:dyDescent="0.25">
      <c r="A33" s="352">
        <v>4</v>
      </c>
      <c r="B33" s="353">
        <v>28.6</v>
      </c>
      <c r="C33" s="353">
        <v>64.400000000000006</v>
      </c>
      <c r="D33" s="353">
        <v>76.5</v>
      </c>
      <c r="E33" s="354">
        <v>40.1</v>
      </c>
      <c r="F33" s="354">
        <v>81.2</v>
      </c>
      <c r="G33" s="354">
        <v>99.8</v>
      </c>
    </row>
    <row r="34" spans="1:7" x14ac:dyDescent="0.25">
      <c r="A34" s="352">
        <v>5</v>
      </c>
      <c r="B34" s="353">
        <v>31.1</v>
      </c>
      <c r="C34" s="353">
        <v>51.6</v>
      </c>
      <c r="D34" s="353">
        <v>100.7</v>
      </c>
      <c r="E34" s="353"/>
      <c r="F34" s="353"/>
      <c r="G34" s="353"/>
    </row>
    <row r="35" spans="1:7" x14ac:dyDescent="0.25">
      <c r="A35" s="352">
        <v>6</v>
      </c>
      <c r="B35" s="353">
        <v>31.8</v>
      </c>
      <c r="C35" s="353">
        <v>63.6</v>
      </c>
      <c r="D35" s="353">
        <v>76.099999999999994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31.6</v>
      </c>
      <c r="C39" s="357">
        <v>54.2</v>
      </c>
      <c r="D39" s="357">
        <v>73.2</v>
      </c>
      <c r="E39" s="358">
        <v>61.4</v>
      </c>
      <c r="F39" s="358">
        <v>91.7</v>
      </c>
      <c r="G39" s="358">
        <v>107.2</v>
      </c>
    </row>
    <row r="40" spans="1:7" x14ac:dyDescent="0.25">
      <c r="A40" s="356">
        <v>2</v>
      </c>
      <c r="B40" s="357">
        <v>23.9</v>
      </c>
      <c r="C40" s="357">
        <v>52.8</v>
      </c>
      <c r="D40" s="357">
        <v>87.1</v>
      </c>
      <c r="E40" s="358">
        <v>56.5</v>
      </c>
      <c r="F40" s="358">
        <v>76.900000000000006</v>
      </c>
      <c r="G40" s="358">
        <v>103.6</v>
      </c>
    </row>
    <row r="41" spans="1:7" x14ac:dyDescent="0.25">
      <c r="A41" s="356">
        <v>3</v>
      </c>
      <c r="B41" s="357">
        <v>18.2</v>
      </c>
      <c r="C41" s="357">
        <v>62.9</v>
      </c>
      <c r="D41" s="357">
        <v>95.4</v>
      </c>
      <c r="E41" s="357"/>
      <c r="F41" s="358">
        <v>88.6</v>
      </c>
      <c r="G41" s="358">
        <v>118.7</v>
      </c>
    </row>
    <row r="42" spans="1:7" x14ac:dyDescent="0.25">
      <c r="A42" s="356">
        <v>4</v>
      </c>
      <c r="B42" s="357">
        <v>23.3</v>
      </c>
      <c r="C42" s="357">
        <v>63.4</v>
      </c>
      <c r="D42" s="357">
        <v>88.7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30.9</v>
      </c>
      <c r="C46" s="362">
        <v>69</v>
      </c>
      <c r="D46" s="362">
        <v>84.7</v>
      </c>
      <c r="E46" s="363">
        <v>61.4</v>
      </c>
      <c r="F46" s="363">
        <v>75.599999999999994</v>
      </c>
      <c r="G46" s="363">
        <v>104.5</v>
      </c>
    </row>
    <row r="47" spans="1:7" ht="14.5" x14ac:dyDescent="0.3">
      <c r="A47" s="360">
        <v>2</v>
      </c>
      <c r="B47" s="362">
        <v>21.7</v>
      </c>
      <c r="C47" s="362">
        <v>55</v>
      </c>
      <c r="D47" s="362">
        <v>87.8</v>
      </c>
      <c r="E47" s="363">
        <v>49.9</v>
      </c>
      <c r="F47" s="363">
        <v>70.099999999999994</v>
      </c>
      <c r="G47" s="363">
        <v>119</v>
      </c>
    </row>
    <row r="48" spans="1:7" ht="14.5" x14ac:dyDescent="0.3">
      <c r="A48" s="360">
        <v>3</v>
      </c>
      <c r="B48" s="362">
        <v>29.9</v>
      </c>
      <c r="C48" s="362">
        <v>64.3</v>
      </c>
      <c r="D48" s="362">
        <v>75.400000000000006</v>
      </c>
      <c r="E48" s="363">
        <v>36.799999999999997</v>
      </c>
      <c r="F48" s="363">
        <v>92.7</v>
      </c>
      <c r="G48" s="363">
        <v>115.7</v>
      </c>
    </row>
    <row r="49" spans="1:7" ht="14.5" x14ac:dyDescent="0.3">
      <c r="A49" s="360">
        <v>4</v>
      </c>
      <c r="B49" s="362">
        <v>25.7</v>
      </c>
      <c r="C49" s="362">
        <v>52.2</v>
      </c>
      <c r="D49" s="362">
        <v>76.400000000000006</v>
      </c>
      <c r="E49" s="363">
        <v>33.6</v>
      </c>
      <c r="F49" s="363">
        <v>83.3</v>
      </c>
      <c r="G49" s="363">
        <v>102.1</v>
      </c>
    </row>
    <row r="50" spans="1:7" ht="14.5" x14ac:dyDescent="0.3">
      <c r="A50" s="360">
        <v>5</v>
      </c>
      <c r="B50" s="362">
        <v>45.5</v>
      </c>
      <c r="C50" s="362">
        <v>69.3</v>
      </c>
      <c r="D50" s="362">
        <v>78.8</v>
      </c>
      <c r="E50" s="363">
        <v>50</v>
      </c>
      <c r="F50" s="363">
        <v>79.900000000000006</v>
      </c>
      <c r="G50" s="363">
        <v>110.1</v>
      </c>
    </row>
    <row r="51" spans="1:7" ht="14.5" x14ac:dyDescent="0.3">
      <c r="A51" s="360">
        <v>6</v>
      </c>
      <c r="B51" s="362">
        <v>33.5</v>
      </c>
      <c r="C51" s="362">
        <v>59.2</v>
      </c>
      <c r="D51" s="362">
        <v>91.6</v>
      </c>
      <c r="E51" s="363">
        <v>54.9</v>
      </c>
      <c r="F51" s="363">
        <v>65.099999999999994</v>
      </c>
      <c r="G51" s="363">
        <v>111.3</v>
      </c>
    </row>
    <row r="52" spans="1:7" ht="14.5" x14ac:dyDescent="0.3">
      <c r="A52" s="360">
        <v>7</v>
      </c>
      <c r="B52" s="362">
        <v>42.3</v>
      </c>
      <c r="C52" s="362">
        <v>63.7</v>
      </c>
      <c r="D52" s="362">
        <v>75.2</v>
      </c>
      <c r="E52" s="363">
        <v>44.1</v>
      </c>
      <c r="F52" s="363">
        <v>69.5</v>
      </c>
      <c r="G52" s="363">
        <v>102.7</v>
      </c>
    </row>
    <row r="53" spans="1:7" ht="14.5" x14ac:dyDescent="0.3">
      <c r="A53" s="360">
        <v>8</v>
      </c>
      <c r="B53" s="362">
        <v>19.899999999999999</v>
      </c>
      <c r="C53" s="362">
        <v>58.9</v>
      </c>
      <c r="D53" s="362">
        <v>85.3</v>
      </c>
      <c r="E53" s="363">
        <v>40.9</v>
      </c>
      <c r="F53" s="363">
        <v>74.400000000000006</v>
      </c>
      <c r="G53" s="363">
        <v>101.9</v>
      </c>
    </row>
    <row r="54" spans="1:7" ht="14.5" x14ac:dyDescent="0.3">
      <c r="A54" s="360">
        <v>9</v>
      </c>
      <c r="B54" s="362">
        <v>29.7</v>
      </c>
      <c r="C54" s="362">
        <v>63.8</v>
      </c>
      <c r="D54" s="362">
        <v>87.5</v>
      </c>
      <c r="E54" s="362"/>
      <c r="F54" s="362"/>
      <c r="G54" s="362"/>
    </row>
    <row r="55" spans="1:7" ht="14.5" x14ac:dyDescent="0.3">
      <c r="A55" s="360">
        <v>10</v>
      </c>
      <c r="B55" s="362">
        <v>25.6</v>
      </c>
      <c r="C55" s="362">
        <v>64.7</v>
      </c>
      <c r="D55" s="362">
        <v>106.5</v>
      </c>
      <c r="E55" s="364"/>
      <c r="F55" s="364"/>
      <c r="G55" s="364"/>
    </row>
    <row r="56" spans="1:7" ht="14.5" x14ac:dyDescent="0.3">
      <c r="A56" s="360">
        <v>11</v>
      </c>
      <c r="B56" s="362">
        <v>33.299999999999997</v>
      </c>
      <c r="C56" s="362">
        <v>56</v>
      </c>
      <c r="D56" s="362">
        <v>91.4</v>
      </c>
      <c r="E56" s="364"/>
      <c r="F56" s="364"/>
      <c r="G56" s="364"/>
    </row>
    <row r="57" spans="1:7" ht="14.5" x14ac:dyDescent="0.3">
      <c r="A57" s="360">
        <v>12</v>
      </c>
      <c r="B57" s="362">
        <v>38.799999999999997</v>
      </c>
      <c r="C57" s="362">
        <v>66.099999999999994</v>
      </c>
      <c r="D57" s="362">
        <v>98</v>
      </c>
      <c r="E57" s="364"/>
      <c r="F57" s="364"/>
      <c r="G57" s="364"/>
    </row>
    <row r="58" spans="1:7" ht="14.5" x14ac:dyDescent="0.3">
      <c r="A58" s="360">
        <v>13</v>
      </c>
      <c r="B58" s="362">
        <v>44</v>
      </c>
      <c r="C58" s="362">
        <v>60</v>
      </c>
      <c r="D58" s="362">
        <v>101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39.299999999999997</v>
      </c>
      <c r="C62" s="368">
        <v>54.3</v>
      </c>
      <c r="D62" s="368">
        <v>74.3</v>
      </c>
      <c r="E62" s="369">
        <v>43.6</v>
      </c>
      <c r="F62" s="369">
        <v>66.400000000000006</v>
      </c>
      <c r="G62" s="369">
        <v>108</v>
      </c>
    </row>
    <row r="63" spans="1:7" ht="14.5" x14ac:dyDescent="0.3">
      <c r="A63" s="366">
        <v>2</v>
      </c>
      <c r="B63" s="368">
        <v>27.6</v>
      </c>
      <c r="C63" s="368">
        <v>56.7</v>
      </c>
      <c r="D63" s="368">
        <v>101.7</v>
      </c>
      <c r="E63" s="369">
        <v>51.9</v>
      </c>
      <c r="F63" s="369">
        <v>75</v>
      </c>
      <c r="G63" s="369">
        <v>104</v>
      </c>
    </row>
    <row r="64" spans="1:7" ht="14.5" x14ac:dyDescent="0.3">
      <c r="A64" s="366">
        <v>3</v>
      </c>
      <c r="B64" s="368">
        <v>19</v>
      </c>
      <c r="C64" s="368">
        <v>66.2</v>
      </c>
      <c r="D64" s="368">
        <v>75.7</v>
      </c>
      <c r="E64" s="369">
        <v>44.2</v>
      </c>
      <c r="F64" s="369">
        <v>76.3</v>
      </c>
      <c r="G64" s="369">
        <v>108.9</v>
      </c>
    </row>
    <row r="65" spans="1:7" ht="14.5" x14ac:dyDescent="0.3">
      <c r="A65" s="366">
        <v>4</v>
      </c>
      <c r="B65" s="368">
        <v>24.3</v>
      </c>
      <c r="C65" s="368">
        <v>60.5</v>
      </c>
      <c r="D65" s="368">
        <v>70.400000000000006</v>
      </c>
      <c r="E65" s="369">
        <v>45.2</v>
      </c>
      <c r="F65" s="369">
        <v>76.5</v>
      </c>
      <c r="G65" s="369">
        <v>98.7</v>
      </c>
    </row>
    <row r="66" spans="1:7" ht="14.5" x14ac:dyDescent="0.3">
      <c r="A66" s="366">
        <v>5</v>
      </c>
      <c r="B66" s="368">
        <v>40</v>
      </c>
      <c r="C66" s="368">
        <v>59.9</v>
      </c>
      <c r="D66" s="368">
        <v>79.900000000000006</v>
      </c>
      <c r="E66" s="369">
        <v>54.8</v>
      </c>
      <c r="F66" s="369">
        <v>82.6</v>
      </c>
      <c r="G66" s="369">
        <v>99.4</v>
      </c>
    </row>
    <row r="67" spans="1:7" ht="14.5" x14ac:dyDescent="0.3">
      <c r="A67" s="366">
        <v>6</v>
      </c>
      <c r="B67" s="368">
        <v>36.200000000000003</v>
      </c>
      <c r="C67" s="368">
        <v>60.6</v>
      </c>
      <c r="D67" s="368">
        <v>88.7</v>
      </c>
      <c r="E67" s="369">
        <v>61.1</v>
      </c>
      <c r="F67" s="369">
        <v>74.7</v>
      </c>
      <c r="G67" s="369">
        <v>103.8</v>
      </c>
    </row>
    <row r="68" spans="1:7" ht="14.5" x14ac:dyDescent="0.3">
      <c r="A68" s="366">
        <v>7</v>
      </c>
      <c r="B68" s="368">
        <v>42.7</v>
      </c>
      <c r="C68" s="368">
        <v>63.7</v>
      </c>
      <c r="D68" s="368">
        <v>100.9</v>
      </c>
      <c r="E68" s="369">
        <v>34.200000000000003</v>
      </c>
      <c r="F68" s="369">
        <v>74.8</v>
      </c>
      <c r="G68" s="369">
        <v>115.1</v>
      </c>
    </row>
    <row r="69" spans="1:7" ht="14.5" x14ac:dyDescent="0.3">
      <c r="A69" s="366">
        <v>8</v>
      </c>
      <c r="B69" s="368">
        <v>27.5</v>
      </c>
      <c r="C69" s="368">
        <v>63.5</v>
      </c>
      <c r="D69" s="368">
        <v>93</v>
      </c>
      <c r="E69" s="369">
        <v>63.7</v>
      </c>
      <c r="F69" s="369">
        <v>92.5</v>
      </c>
      <c r="G69" s="369">
        <v>108.2</v>
      </c>
    </row>
    <row r="70" spans="1:7" ht="14.5" x14ac:dyDescent="0.3">
      <c r="A70" s="366">
        <v>9</v>
      </c>
      <c r="B70" s="368">
        <v>42.9</v>
      </c>
      <c r="C70" s="368">
        <v>57.1</v>
      </c>
      <c r="D70" s="368">
        <v>99.1</v>
      </c>
      <c r="E70" s="369">
        <v>46.9</v>
      </c>
      <c r="F70" s="369">
        <v>83.9</v>
      </c>
      <c r="G70" s="369">
        <v>114.9</v>
      </c>
    </row>
    <row r="71" spans="1:7" ht="14.5" x14ac:dyDescent="0.3">
      <c r="A71" s="366">
        <v>10</v>
      </c>
      <c r="B71" s="368">
        <v>28.1</v>
      </c>
      <c r="C71" s="368">
        <v>65.5</v>
      </c>
      <c r="D71" s="368">
        <v>80.599999999999994</v>
      </c>
      <c r="E71" s="369">
        <v>32</v>
      </c>
      <c r="F71" s="369">
        <v>86.4</v>
      </c>
      <c r="G71" s="369">
        <v>95.3</v>
      </c>
    </row>
    <row r="72" spans="1:7" ht="14.5" x14ac:dyDescent="0.3">
      <c r="A72" s="366">
        <v>11</v>
      </c>
      <c r="B72" s="368">
        <v>48</v>
      </c>
      <c r="C72" s="368">
        <v>58.3</v>
      </c>
      <c r="D72" s="368">
        <v>102.4</v>
      </c>
      <c r="E72" s="367"/>
      <c r="F72" s="367"/>
      <c r="G72" s="367"/>
    </row>
    <row r="73" spans="1:7" ht="14.5" x14ac:dyDescent="0.3">
      <c r="A73" s="366">
        <v>12</v>
      </c>
      <c r="B73" s="368">
        <v>30.6</v>
      </c>
      <c r="C73" s="368">
        <v>63.7</v>
      </c>
      <c r="D73" s="368">
        <v>79.7</v>
      </c>
      <c r="E73" s="367"/>
      <c r="F73" s="367"/>
      <c r="G73" s="367"/>
    </row>
    <row r="74" spans="1:7" ht="14.5" x14ac:dyDescent="0.3">
      <c r="A74" s="366">
        <v>13</v>
      </c>
      <c r="B74" s="368">
        <v>21.5</v>
      </c>
      <c r="C74" s="368">
        <v>69.2</v>
      </c>
      <c r="D74" s="368">
        <v>99.9</v>
      </c>
      <c r="E74" s="367"/>
      <c r="F74" s="367"/>
      <c r="G74" s="367"/>
    </row>
    <row r="75" spans="1:7" ht="14.5" x14ac:dyDescent="0.3">
      <c r="A75" s="366">
        <v>14</v>
      </c>
      <c r="B75" s="368">
        <v>43.2</v>
      </c>
      <c r="C75" s="368">
        <v>61.6</v>
      </c>
      <c r="D75" s="368">
        <v>93.2</v>
      </c>
      <c r="E75" s="367"/>
      <c r="F75" s="367"/>
      <c r="G75" s="367"/>
    </row>
    <row r="76" spans="1:7" ht="14.5" x14ac:dyDescent="0.3">
      <c r="A76" s="366">
        <v>15</v>
      </c>
      <c r="B76" s="368">
        <v>46</v>
      </c>
      <c r="C76" s="368">
        <v>64.3</v>
      </c>
      <c r="D76" s="368">
        <v>101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28.5</v>
      </c>
      <c r="C80" s="373">
        <v>65.8</v>
      </c>
      <c r="D80" s="373">
        <v>91.5</v>
      </c>
      <c r="E80" s="374">
        <v>37.200000000000003</v>
      </c>
      <c r="F80" s="374">
        <v>87.3</v>
      </c>
      <c r="G80" s="374">
        <v>101.2</v>
      </c>
    </row>
    <row r="81" spans="1:7" ht="14.5" x14ac:dyDescent="0.3">
      <c r="A81" s="371">
        <v>2</v>
      </c>
      <c r="B81" s="373">
        <v>31.3</v>
      </c>
      <c r="C81" s="373">
        <v>55</v>
      </c>
      <c r="D81" s="373">
        <v>97.1</v>
      </c>
      <c r="E81" s="374">
        <v>39</v>
      </c>
      <c r="F81" s="374">
        <v>80.3</v>
      </c>
      <c r="G81" s="374">
        <v>102.3</v>
      </c>
    </row>
    <row r="82" spans="1:7" ht="14.5" x14ac:dyDescent="0.3">
      <c r="A82" s="371">
        <v>3</v>
      </c>
      <c r="B82" s="373">
        <v>19.8</v>
      </c>
      <c r="C82" s="373">
        <v>60.7</v>
      </c>
      <c r="D82" s="373">
        <v>80.400000000000006</v>
      </c>
      <c r="E82" s="374">
        <v>46.1</v>
      </c>
      <c r="F82" s="374">
        <v>88.7</v>
      </c>
      <c r="G82" s="374">
        <v>107.4</v>
      </c>
    </row>
    <row r="83" spans="1:7" ht="14.5" x14ac:dyDescent="0.3">
      <c r="A83" s="371">
        <v>4</v>
      </c>
      <c r="B83" s="373">
        <v>49.8</v>
      </c>
      <c r="C83" s="373">
        <v>66.2</v>
      </c>
      <c r="D83" s="373">
        <v>103.2</v>
      </c>
      <c r="E83" s="374">
        <v>56.7</v>
      </c>
      <c r="F83" s="374">
        <v>80</v>
      </c>
      <c r="G83" s="374">
        <v>111.1</v>
      </c>
    </row>
    <row r="84" spans="1:7" ht="14.5" x14ac:dyDescent="0.3">
      <c r="A84" s="371">
        <v>5</v>
      </c>
      <c r="B84" s="373">
        <v>44.8</v>
      </c>
      <c r="C84" s="373">
        <v>62.7</v>
      </c>
      <c r="D84" s="373">
        <v>95.6</v>
      </c>
      <c r="E84" s="374">
        <v>42.7</v>
      </c>
      <c r="F84" s="374">
        <v>76.8</v>
      </c>
      <c r="G84" s="374">
        <v>101.1</v>
      </c>
    </row>
    <row r="85" spans="1:7" ht="14.5" x14ac:dyDescent="0.3">
      <c r="A85" s="371">
        <v>6</v>
      </c>
      <c r="B85" s="373">
        <v>24.1</v>
      </c>
      <c r="C85" s="373">
        <v>65.599999999999994</v>
      </c>
      <c r="D85" s="373">
        <v>100.1</v>
      </c>
      <c r="E85" s="374">
        <v>58.3</v>
      </c>
      <c r="F85" s="374">
        <v>84</v>
      </c>
      <c r="G85" s="374">
        <v>111</v>
      </c>
    </row>
    <row r="86" spans="1:7" ht="14.5" x14ac:dyDescent="0.3">
      <c r="A86" s="371">
        <v>7</v>
      </c>
      <c r="B86" s="373">
        <v>27.5</v>
      </c>
      <c r="C86" s="373">
        <v>55.1</v>
      </c>
      <c r="D86" s="373">
        <v>107.7</v>
      </c>
      <c r="E86" s="374">
        <v>50.4</v>
      </c>
      <c r="F86" s="374">
        <v>85.7</v>
      </c>
      <c r="G86" s="374">
        <v>112.8</v>
      </c>
    </row>
    <row r="87" spans="1:7" ht="14.5" x14ac:dyDescent="0.3">
      <c r="A87" s="371">
        <v>8</v>
      </c>
      <c r="B87" s="373">
        <v>43.3</v>
      </c>
      <c r="C87" s="373">
        <v>66</v>
      </c>
      <c r="D87" s="373">
        <v>99.1</v>
      </c>
      <c r="E87" s="374">
        <v>49.5</v>
      </c>
      <c r="F87" s="374">
        <v>69.8</v>
      </c>
      <c r="G87" s="374">
        <v>107.5</v>
      </c>
    </row>
    <row r="88" spans="1:7" ht="14.5" x14ac:dyDescent="0.3">
      <c r="A88" s="371">
        <v>9</v>
      </c>
      <c r="B88" s="373">
        <v>26</v>
      </c>
      <c r="C88" s="373">
        <v>58.1</v>
      </c>
      <c r="D88" s="373">
        <v>78.3</v>
      </c>
      <c r="E88" s="374">
        <v>35.1</v>
      </c>
      <c r="F88" s="374">
        <v>91</v>
      </c>
      <c r="G88" s="374">
        <v>110.1</v>
      </c>
    </row>
    <row r="89" spans="1:7" ht="14.5" x14ac:dyDescent="0.3">
      <c r="A89" s="371">
        <v>10</v>
      </c>
      <c r="B89" s="373">
        <v>42.9</v>
      </c>
      <c r="C89" s="373">
        <v>68</v>
      </c>
      <c r="D89" s="373">
        <v>75.400000000000006</v>
      </c>
      <c r="E89" s="374">
        <v>42.4</v>
      </c>
      <c r="F89" s="374">
        <v>75</v>
      </c>
      <c r="G89" s="374">
        <v>112.6</v>
      </c>
    </row>
    <row r="90" spans="1:7" ht="14.5" x14ac:dyDescent="0.3">
      <c r="A90" s="371">
        <v>11</v>
      </c>
      <c r="B90" s="373">
        <v>48.8</v>
      </c>
      <c r="C90" s="373">
        <v>50.1</v>
      </c>
      <c r="D90" s="373">
        <v>107.7</v>
      </c>
      <c r="E90" s="374">
        <v>40.9</v>
      </c>
      <c r="F90" s="374">
        <v>91.5</v>
      </c>
      <c r="G90" s="374">
        <v>98.5</v>
      </c>
    </row>
    <row r="91" spans="1:7" ht="14.5" x14ac:dyDescent="0.3">
      <c r="A91" s="371">
        <v>12</v>
      </c>
      <c r="B91" s="373">
        <v>46.4</v>
      </c>
      <c r="C91" s="373">
        <v>65.7</v>
      </c>
      <c r="D91" s="373">
        <v>78.099999999999994</v>
      </c>
      <c r="E91" s="374">
        <v>44.3</v>
      </c>
      <c r="F91" s="374">
        <v>65.2</v>
      </c>
      <c r="G91" s="374">
        <v>96.6</v>
      </c>
    </row>
    <row r="92" spans="1:7" ht="14.5" x14ac:dyDescent="0.3">
      <c r="A92" s="371">
        <v>13</v>
      </c>
      <c r="B92" s="373">
        <v>23.6</v>
      </c>
      <c r="C92" s="373">
        <v>55</v>
      </c>
      <c r="D92" s="373">
        <v>108.6</v>
      </c>
      <c r="E92" s="375"/>
      <c r="F92" s="375"/>
      <c r="G92" s="375"/>
    </row>
    <row r="93" spans="1:7" ht="14.5" x14ac:dyDescent="0.3">
      <c r="A93" s="371">
        <v>14</v>
      </c>
      <c r="B93" s="373">
        <v>34</v>
      </c>
      <c r="C93" s="373">
        <v>68.400000000000006</v>
      </c>
      <c r="D93" s="373">
        <v>104.9</v>
      </c>
      <c r="E93" s="375"/>
      <c r="F93" s="375"/>
      <c r="G93" s="375"/>
    </row>
    <row r="94" spans="1:7" ht="14.5" x14ac:dyDescent="0.3">
      <c r="A94" s="371">
        <v>15</v>
      </c>
      <c r="B94" s="373">
        <v>42.6</v>
      </c>
      <c r="C94" s="373">
        <v>62.7</v>
      </c>
      <c r="D94" s="373">
        <v>91.7</v>
      </c>
      <c r="E94" s="375"/>
      <c r="F94" s="375"/>
      <c r="G94" s="375"/>
    </row>
    <row r="95" spans="1:7" ht="14.5" x14ac:dyDescent="0.3">
      <c r="A95" s="371">
        <v>16</v>
      </c>
      <c r="B95" s="373">
        <v>44.3</v>
      </c>
      <c r="C95" s="373">
        <v>64.900000000000006</v>
      </c>
      <c r="D95" s="373">
        <v>101.1</v>
      </c>
      <c r="E95" s="375"/>
      <c r="F95" s="375"/>
      <c r="G95" s="375"/>
    </row>
    <row r="96" spans="1:7" ht="14.5" x14ac:dyDescent="0.3">
      <c r="A96" s="371">
        <v>17</v>
      </c>
      <c r="B96" s="373">
        <v>26</v>
      </c>
      <c r="C96" s="373">
        <v>63.3</v>
      </c>
      <c r="D96" s="373">
        <v>73.8</v>
      </c>
      <c r="E96" s="375"/>
      <c r="F96" s="375"/>
      <c r="G96" s="375"/>
    </row>
    <row r="97" spans="1:7" ht="14.5" x14ac:dyDescent="0.3">
      <c r="A97" s="371">
        <v>18</v>
      </c>
      <c r="B97" s="373">
        <v>42.1</v>
      </c>
      <c r="C97" s="373">
        <v>56.7</v>
      </c>
      <c r="D97" s="373">
        <v>82.8</v>
      </c>
      <c r="E97" s="376"/>
      <c r="F97" s="376"/>
      <c r="G97" s="376"/>
    </row>
    <row r="98" spans="1:7" ht="14.5" x14ac:dyDescent="0.3">
      <c r="A98" s="371">
        <v>19</v>
      </c>
      <c r="B98" s="373">
        <v>26.9</v>
      </c>
      <c r="C98" s="373">
        <v>52.9</v>
      </c>
      <c r="D98" s="373">
        <v>92.7</v>
      </c>
      <c r="E98" s="376"/>
      <c r="F98" s="376"/>
      <c r="G98" s="376"/>
    </row>
    <row r="99" spans="1:7" ht="14.5" x14ac:dyDescent="0.3">
      <c r="A99" s="371">
        <v>20</v>
      </c>
      <c r="B99" s="373">
        <v>32.799999999999997</v>
      </c>
      <c r="C99" s="373">
        <v>68.599999999999994</v>
      </c>
      <c r="D99" s="373">
        <v>106.7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30.4</v>
      </c>
      <c r="C103" s="367">
        <v>67.2</v>
      </c>
      <c r="D103" s="367">
        <v>81.7</v>
      </c>
      <c r="E103" s="369">
        <v>43.4</v>
      </c>
      <c r="F103" s="369">
        <v>84</v>
      </c>
      <c r="G103" s="369">
        <v>118.6</v>
      </c>
    </row>
    <row r="104" spans="1:7" x14ac:dyDescent="0.25">
      <c r="A104" s="366">
        <v>2</v>
      </c>
      <c r="B104" s="367">
        <v>44.9</v>
      </c>
      <c r="C104" s="367">
        <v>59.7</v>
      </c>
      <c r="D104" s="367">
        <v>104</v>
      </c>
      <c r="E104" s="369">
        <v>50</v>
      </c>
      <c r="F104" s="369">
        <v>77.2</v>
      </c>
      <c r="G104" s="369">
        <v>112.7</v>
      </c>
    </row>
    <row r="105" spans="1:7" x14ac:dyDescent="0.25">
      <c r="A105" s="366">
        <v>3</v>
      </c>
      <c r="B105" s="367">
        <v>19</v>
      </c>
      <c r="C105" s="367">
        <v>53.1</v>
      </c>
      <c r="D105" s="367">
        <v>104</v>
      </c>
      <c r="E105" s="369">
        <v>51.7</v>
      </c>
      <c r="F105" s="369">
        <v>92.7</v>
      </c>
      <c r="G105" s="369">
        <v>112.2</v>
      </c>
    </row>
    <row r="106" spans="1:7" x14ac:dyDescent="0.25">
      <c r="A106" s="366">
        <v>4</v>
      </c>
      <c r="B106" s="367">
        <v>18</v>
      </c>
      <c r="C106" s="367">
        <v>50.8</v>
      </c>
      <c r="D106" s="367">
        <v>70.400000000000006</v>
      </c>
      <c r="E106" s="369">
        <v>60.4</v>
      </c>
      <c r="F106" s="369">
        <v>92.9</v>
      </c>
      <c r="G106" s="369">
        <v>105.3</v>
      </c>
    </row>
    <row r="107" spans="1:7" x14ac:dyDescent="0.25">
      <c r="A107" s="366">
        <v>5</v>
      </c>
      <c r="B107" s="367">
        <v>48.5</v>
      </c>
      <c r="C107" s="367">
        <v>50.6</v>
      </c>
      <c r="D107" s="367">
        <v>94.5</v>
      </c>
      <c r="E107" s="369">
        <v>58.4</v>
      </c>
      <c r="F107" s="369">
        <v>65.8</v>
      </c>
      <c r="G107" s="369">
        <v>110.8</v>
      </c>
    </row>
    <row r="108" spans="1:7" x14ac:dyDescent="0.25">
      <c r="A108" s="366">
        <v>6</v>
      </c>
      <c r="B108" s="367">
        <v>38.299999999999997</v>
      </c>
      <c r="C108" s="367">
        <v>67.599999999999994</v>
      </c>
      <c r="D108" s="367">
        <v>80</v>
      </c>
      <c r="E108" s="369">
        <v>58.9</v>
      </c>
      <c r="F108" s="369">
        <v>88.4</v>
      </c>
      <c r="G108" s="369">
        <v>105.1</v>
      </c>
    </row>
    <row r="109" spans="1:7" x14ac:dyDescent="0.25">
      <c r="A109" s="366">
        <v>7</v>
      </c>
      <c r="B109" s="367">
        <v>40.700000000000003</v>
      </c>
      <c r="C109" s="367">
        <v>63.8</v>
      </c>
      <c r="D109" s="367">
        <v>78.900000000000006</v>
      </c>
      <c r="E109" s="367"/>
      <c r="F109" s="367"/>
      <c r="G109" s="367"/>
    </row>
    <row r="110" spans="1:7" x14ac:dyDescent="0.25">
      <c r="A110" s="366">
        <v>8</v>
      </c>
      <c r="B110" s="367">
        <v>38.200000000000003</v>
      </c>
      <c r="C110" s="367">
        <v>65.099999999999994</v>
      </c>
      <c r="D110" s="367">
        <v>107.8</v>
      </c>
      <c r="E110" s="367"/>
      <c r="F110" s="367"/>
      <c r="G110" s="367"/>
    </row>
    <row r="111" spans="1:7" x14ac:dyDescent="0.25">
      <c r="A111" s="366">
        <v>9</v>
      </c>
      <c r="B111" s="367">
        <v>25.9</v>
      </c>
      <c r="C111" s="367">
        <v>65.900000000000006</v>
      </c>
      <c r="D111" s="367">
        <v>83.8</v>
      </c>
      <c r="E111" s="367"/>
      <c r="F111" s="367"/>
      <c r="G111" s="367"/>
    </row>
    <row r="112" spans="1:7" x14ac:dyDescent="0.25">
      <c r="A112" s="366">
        <v>10</v>
      </c>
      <c r="B112" s="367">
        <v>23.9</v>
      </c>
      <c r="C112" s="367">
        <v>52.4</v>
      </c>
      <c r="D112" s="367">
        <v>90.3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91.4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36.799999999999997</v>
      </c>
      <c r="C117" s="357">
        <v>67.5</v>
      </c>
      <c r="D117" s="357">
        <v>87.5</v>
      </c>
      <c r="E117" s="357"/>
      <c r="F117" s="357"/>
      <c r="G117" s="357"/>
    </row>
    <row r="118" spans="1:7" x14ac:dyDescent="0.25">
      <c r="A118" s="356">
        <v>2</v>
      </c>
      <c r="B118" s="357">
        <v>33.1</v>
      </c>
      <c r="C118" s="357">
        <v>62.7</v>
      </c>
      <c r="D118" s="357">
        <v>95</v>
      </c>
      <c r="E118" s="357"/>
      <c r="F118" s="357"/>
      <c r="G118" s="357"/>
    </row>
    <row r="119" spans="1:7" x14ac:dyDescent="0.25">
      <c r="A119" s="356">
        <v>3</v>
      </c>
      <c r="B119" s="357">
        <v>22.5</v>
      </c>
      <c r="C119" s="357">
        <v>55.7</v>
      </c>
      <c r="D119" s="357">
        <v>99.2</v>
      </c>
      <c r="E119" s="357"/>
      <c r="F119" s="357"/>
      <c r="G119" s="357"/>
    </row>
    <row r="120" spans="1:7" x14ac:dyDescent="0.25">
      <c r="A120" s="356">
        <v>4</v>
      </c>
      <c r="B120" s="357">
        <v>30</v>
      </c>
      <c r="C120" s="357">
        <v>58.8</v>
      </c>
      <c r="D120" s="357">
        <v>92.1</v>
      </c>
      <c r="E120" s="357"/>
      <c r="F120" s="357"/>
      <c r="G120" s="357"/>
    </row>
    <row r="121" spans="1:7" x14ac:dyDescent="0.25">
      <c r="A121" s="356">
        <v>5</v>
      </c>
      <c r="B121" s="357">
        <v>44.1</v>
      </c>
      <c r="C121" s="357">
        <v>53.7</v>
      </c>
      <c r="D121" s="357">
        <v>87</v>
      </c>
      <c r="E121" s="357"/>
      <c r="F121" s="357"/>
      <c r="G121" s="357"/>
    </row>
    <row r="122" spans="1:7" x14ac:dyDescent="0.25">
      <c r="A122" s="356">
        <v>6</v>
      </c>
      <c r="B122" s="357">
        <v>28.1</v>
      </c>
      <c r="C122" s="357">
        <v>55.5</v>
      </c>
      <c r="D122" s="357">
        <v>87.8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60.8</v>
      </c>
      <c r="C127" s="380">
        <f>ROUNDDOWN(AVERAGE(E5:G12),1)</f>
        <v>77.099999999999994</v>
      </c>
      <c r="D127" s="378">
        <v>19899</v>
      </c>
      <c r="E127" s="378">
        <v>12568</v>
      </c>
      <c r="F127" s="378">
        <f>B127*D127</f>
        <v>1209859.2</v>
      </c>
      <c r="G127" s="378">
        <f>C127*E127</f>
        <v>968992.79999999993</v>
      </c>
    </row>
    <row r="128" spans="1:7" x14ac:dyDescent="0.25">
      <c r="A128" s="379" t="str">
        <f>A17</f>
        <v>Chongzuo Zuozhou swine Farm</v>
      </c>
      <c r="B128" s="380">
        <f>ROUNDDOWN(AVERAGE(B20:D26),1)</f>
        <v>60.1</v>
      </c>
      <c r="C128" s="380">
        <f>ROUNDDOWN(AVERAGE(E20:G23),1)</f>
        <v>79.400000000000006</v>
      </c>
      <c r="D128" s="378">
        <v>10998</v>
      </c>
      <c r="E128" s="378">
        <v>6989</v>
      </c>
      <c r="F128" s="378">
        <f t="shared" ref="F128:G135" si="0">B128*D128</f>
        <v>660979.80000000005</v>
      </c>
      <c r="G128" s="378">
        <f>C128*E128</f>
        <v>554926.60000000009</v>
      </c>
    </row>
    <row r="129" spans="1:7" x14ac:dyDescent="0.25">
      <c r="A129" s="379" t="str">
        <f>A27</f>
        <v>Tianyang Wucun swine Farm</v>
      </c>
      <c r="B129" s="380">
        <f>ROUNDDOWN(AVERAGE(B30:D35),1)</f>
        <v>59.8</v>
      </c>
      <c r="C129" s="380">
        <f>ROUNDDOWN(AVERAGE(E30:G35),1)</f>
        <v>77.900000000000006</v>
      </c>
      <c r="D129" s="378">
        <v>9501</v>
      </c>
      <c r="E129" s="378">
        <v>6016</v>
      </c>
      <c r="F129" s="378">
        <f t="shared" si="0"/>
        <v>568159.79999999993</v>
      </c>
      <c r="G129" s="378">
        <f>C129*E129</f>
        <v>468646.40000000002</v>
      </c>
    </row>
    <row r="130" spans="1:7" x14ac:dyDescent="0.25">
      <c r="A130" s="379" t="str">
        <f>A36</f>
        <v>Quanzhou Dengjiabu swine Farm</v>
      </c>
      <c r="B130" s="380">
        <f>ROUNDDOWN(AVERAGE(B39:D42),1)</f>
        <v>56.2</v>
      </c>
      <c r="C130" s="380">
        <f>ROUNDDOWN(AVERAGE(E39:G42),1)</f>
        <v>88</v>
      </c>
      <c r="D130" s="378">
        <v>5446</v>
      </c>
      <c r="E130" s="378">
        <v>3357</v>
      </c>
      <c r="F130" s="378">
        <f t="shared" si="0"/>
        <v>306065.2</v>
      </c>
      <c r="G130" s="378">
        <f t="shared" si="0"/>
        <v>295416</v>
      </c>
    </row>
    <row r="131" spans="1:7" x14ac:dyDescent="0.25">
      <c r="A131" s="379" t="str">
        <f>A43</f>
        <v>Chongzuo Quming swine Farm</v>
      </c>
      <c r="B131" s="380">
        <f>ROUNDDOWN(AVERAGE(B46:D58),1)</f>
        <v>60.5</v>
      </c>
      <c r="C131" s="380">
        <f>ROUNDDOWN(AVERAGE(E46:G53),1)</f>
        <v>77</v>
      </c>
      <c r="D131" s="378">
        <v>22352</v>
      </c>
      <c r="E131" s="378">
        <v>13965</v>
      </c>
      <c r="F131" s="378">
        <f t="shared" si="0"/>
        <v>1352296</v>
      </c>
      <c r="G131" s="378">
        <f t="shared" si="0"/>
        <v>1075305</v>
      </c>
    </row>
    <row r="132" spans="1:7" x14ac:dyDescent="0.25">
      <c r="A132" s="379" t="str">
        <f>A59</f>
        <v>Jingxi swine Farm</v>
      </c>
      <c r="B132" s="380">
        <f>ROUNDDOWN(AVERAGE(B62:D76),1)</f>
        <v>61.8</v>
      </c>
      <c r="C132" s="380">
        <f>ROUNDDOWN(AVERAGE(E62:G71),1)</f>
        <v>77.400000000000006</v>
      </c>
      <c r="D132" s="378">
        <v>26116</v>
      </c>
      <c r="E132" s="378">
        <v>15924</v>
      </c>
      <c r="F132" s="378">
        <f t="shared" si="0"/>
        <v>1613968.7999999998</v>
      </c>
      <c r="G132" s="378">
        <f t="shared" si="0"/>
        <v>1232517.6000000001</v>
      </c>
    </row>
    <row r="133" spans="1:7" x14ac:dyDescent="0.25">
      <c r="A133" s="379" t="str">
        <f>A77</f>
        <v>Liucheng Mashan swine Farm</v>
      </c>
      <c r="B133" s="380">
        <f>ROUNDDOWN(AVERAGE(B80:D99),1)</f>
        <v>63.5</v>
      </c>
      <c r="C133" s="378">
        <f>ROUNDDOWN(AVERAGE(E80:G91),1)</f>
        <v>77.5</v>
      </c>
      <c r="D133" s="378">
        <v>33500</v>
      </c>
      <c r="E133" s="378">
        <v>20594</v>
      </c>
      <c r="F133" s="378">
        <f t="shared" si="0"/>
        <v>2127250</v>
      </c>
      <c r="G133" s="378">
        <f t="shared" si="0"/>
        <v>1596035</v>
      </c>
    </row>
    <row r="134" spans="1:7" x14ac:dyDescent="0.25">
      <c r="A134" s="379" t="str">
        <f>A100</f>
        <v>Tengxian Tianping swine Farm</v>
      </c>
      <c r="B134" s="380">
        <f>ROUNDDOWN(AVERAGE(B103:D113),1)</f>
        <v>61.6</v>
      </c>
      <c r="C134" s="378">
        <f>ROUNDDOWN(AVERAGE(E103:G108),1)</f>
        <v>82.6</v>
      </c>
      <c r="D134" s="378">
        <v>16255</v>
      </c>
      <c r="E134" s="378">
        <v>10396</v>
      </c>
      <c r="F134" s="378">
        <f t="shared" si="0"/>
        <v>1001308</v>
      </c>
      <c r="G134" s="378">
        <f t="shared" si="0"/>
        <v>858709.6</v>
      </c>
    </row>
    <row r="135" spans="1:7" x14ac:dyDescent="0.25">
      <c r="A135" s="379" t="str">
        <f>A114</f>
        <v>Debao Chengguan swine Farm</v>
      </c>
      <c r="B135" s="380">
        <f>ROUNDDOWN(AVERAGE(B117:D122),1)</f>
        <v>60.9</v>
      </c>
      <c r="C135" s="378">
        <v>0</v>
      </c>
      <c r="D135" s="378">
        <v>8758</v>
      </c>
      <c r="E135" s="378">
        <v>0</v>
      </c>
      <c r="F135" s="378">
        <f t="shared" si="0"/>
        <v>533362.19999999995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89809</v>
      </c>
      <c r="F136" s="378">
        <f>SUM(F127:F135)</f>
        <v>9373249</v>
      </c>
      <c r="G136" s="378">
        <f>SUM(G127:G134)</f>
        <v>7050549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61.3</v>
      </c>
      <c r="D140" s="381">
        <f>ROUNDDOWN(G136/E136,1)</f>
        <v>78.5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3A3A-5B62-4542-961A-DD1CF7853B81}">
  <dimension ref="A1:G140"/>
  <sheetViews>
    <sheetView topLeftCell="A34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38.9</v>
      </c>
      <c r="C5" s="345">
        <v>55.7</v>
      </c>
      <c r="D5" s="345">
        <v>90.6</v>
      </c>
      <c r="E5" s="346">
        <v>43.5</v>
      </c>
      <c r="F5" s="346">
        <v>73</v>
      </c>
      <c r="G5" s="346">
        <v>117.5</v>
      </c>
    </row>
    <row r="6" spans="1:7" x14ac:dyDescent="0.25">
      <c r="A6" s="343">
        <v>2</v>
      </c>
      <c r="B6" s="345">
        <v>42.6</v>
      </c>
      <c r="C6" s="345">
        <v>55.1</v>
      </c>
      <c r="D6" s="345">
        <v>104.6</v>
      </c>
      <c r="E6" s="346">
        <v>38.6</v>
      </c>
      <c r="F6" s="346">
        <v>87</v>
      </c>
      <c r="G6" s="346">
        <v>100.6</v>
      </c>
    </row>
    <row r="7" spans="1:7" x14ac:dyDescent="0.25">
      <c r="A7" s="343">
        <v>3</v>
      </c>
      <c r="B7" s="345">
        <v>18.100000000000001</v>
      </c>
      <c r="C7" s="345">
        <v>52.3</v>
      </c>
      <c r="D7" s="345">
        <v>97.1</v>
      </c>
      <c r="E7" s="346">
        <v>33.200000000000003</v>
      </c>
      <c r="F7" s="346">
        <v>94.7</v>
      </c>
      <c r="G7" s="346">
        <v>100.6</v>
      </c>
    </row>
    <row r="8" spans="1:7" x14ac:dyDescent="0.25">
      <c r="A8" s="343">
        <v>4</v>
      </c>
      <c r="B8" s="345">
        <v>25</v>
      </c>
      <c r="C8" s="345">
        <v>57.2</v>
      </c>
      <c r="D8" s="345">
        <v>89.7</v>
      </c>
      <c r="E8" s="346">
        <v>62.7</v>
      </c>
      <c r="F8" s="346">
        <v>82</v>
      </c>
      <c r="G8" s="346">
        <v>106.6</v>
      </c>
    </row>
    <row r="9" spans="1:7" x14ac:dyDescent="0.25">
      <c r="A9" s="343">
        <v>5</v>
      </c>
      <c r="B9" s="345">
        <v>36.200000000000003</v>
      </c>
      <c r="C9" s="345">
        <v>51.4</v>
      </c>
      <c r="D9" s="345">
        <v>101.3</v>
      </c>
      <c r="E9" s="346">
        <v>46.1</v>
      </c>
      <c r="F9" s="346">
        <v>72</v>
      </c>
      <c r="G9" s="346">
        <v>108.2</v>
      </c>
    </row>
    <row r="10" spans="1:7" x14ac:dyDescent="0.25">
      <c r="A10" s="343">
        <v>6</v>
      </c>
      <c r="B10" s="345">
        <v>33.9</v>
      </c>
      <c r="C10" s="345">
        <v>53.8</v>
      </c>
      <c r="D10" s="345">
        <v>101.8</v>
      </c>
      <c r="E10" s="346">
        <v>61.5</v>
      </c>
      <c r="F10" s="346">
        <v>81</v>
      </c>
      <c r="G10" s="346">
        <v>101.5</v>
      </c>
    </row>
    <row r="11" spans="1:7" x14ac:dyDescent="0.25">
      <c r="A11" s="343">
        <v>7</v>
      </c>
      <c r="B11" s="345">
        <v>23.5</v>
      </c>
      <c r="C11" s="345">
        <v>60.9</v>
      </c>
      <c r="D11" s="345">
        <v>92.6</v>
      </c>
      <c r="E11" s="346">
        <v>43.8</v>
      </c>
      <c r="F11" s="346">
        <v>71.8</v>
      </c>
      <c r="G11" s="346">
        <v>96.4</v>
      </c>
    </row>
    <row r="12" spans="1:7" x14ac:dyDescent="0.25">
      <c r="A12" s="343">
        <v>8</v>
      </c>
      <c r="B12" s="345">
        <v>21.7</v>
      </c>
      <c r="C12" s="345">
        <v>53.3</v>
      </c>
      <c r="D12" s="345">
        <v>92.3</v>
      </c>
      <c r="E12" s="346">
        <v>57.2</v>
      </c>
      <c r="F12" s="346">
        <v>83.6</v>
      </c>
      <c r="G12" s="346">
        <v>111.5</v>
      </c>
    </row>
    <row r="13" spans="1:7" x14ac:dyDescent="0.25">
      <c r="A13" s="343">
        <v>9</v>
      </c>
      <c r="B13" s="345">
        <v>48.7</v>
      </c>
      <c r="C13" s="345">
        <v>68.400000000000006</v>
      </c>
      <c r="D13" s="345">
        <v>75.7</v>
      </c>
      <c r="E13" s="345"/>
      <c r="F13" s="345"/>
      <c r="G13" s="345"/>
    </row>
    <row r="14" spans="1:7" x14ac:dyDescent="0.25">
      <c r="A14" s="343">
        <v>10</v>
      </c>
      <c r="B14" s="345">
        <v>34.9</v>
      </c>
      <c r="C14" s="345">
        <v>51.3</v>
      </c>
      <c r="D14" s="345">
        <v>109.8</v>
      </c>
      <c r="E14" s="345"/>
      <c r="F14" s="345"/>
      <c r="G14" s="345"/>
    </row>
    <row r="15" spans="1:7" x14ac:dyDescent="0.25">
      <c r="A15" s="343">
        <v>11</v>
      </c>
      <c r="B15" s="345">
        <v>48.8</v>
      </c>
      <c r="C15" s="345">
        <v>66.8</v>
      </c>
      <c r="D15" s="345">
        <v>104.4</v>
      </c>
      <c r="E15" s="345"/>
      <c r="F15" s="345"/>
      <c r="G15" s="345"/>
    </row>
    <row r="16" spans="1:7" x14ac:dyDescent="0.25">
      <c r="A16" s="343">
        <v>12</v>
      </c>
      <c r="B16" s="345">
        <v>25.1</v>
      </c>
      <c r="C16" s="345">
        <v>68.8</v>
      </c>
      <c r="D16" s="345">
        <v>101.8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33.6</v>
      </c>
      <c r="C20" s="350">
        <v>60.2</v>
      </c>
      <c r="D20" s="350">
        <v>93.1</v>
      </c>
      <c r="E20" s="350">
        <v>30.8</v>
      </c>
      <c r="F20" s="350">
        <v>71.7</v>
      </c>
      <c r="G20" s="350">
        <v>110.9</v>
      </c>
    </row>
    <row r="21" spans="1:7" x14ac:dyDescent="0.25">
      <c r="A21" s="348">
        <v>2</v>
      </c>
      <c r="B21" s="350">
        <v>31.9</v>
      </c>
      <c r="C21" s="350">
        <v>55.1</v>
      </c>
      <c r="D21" s="350">
        <v>72.3</v>
      </c>
      <c r="E21" s="350">
        <v>41.1</v>
      </c>
      <c r="F21" s="350">
        <v>77.3</v>
      </c>
      <c r="G21" s="350">
        <v>98</v>
      </c>
    </row>
    <row r="22" spans="1:7" x14ac:dyDescent="0.25">
      <c r="A22" s="348">
        <v>3</v>
      </c>
      <c r="B22" s="350">
        <v>47.4</v>
      </c>
      <c r="C22" s="350">
        <v>56.9</v>
      </c>
      <c r="D22" s="350">
        <v>73.3</v>
      </c>
      <c r="E22" s="350">
        <v>48.1</v>
      </c>
      <c r="F22" s="350">
        <v>84.8</v>
      </c>
      <c r="G22" s="350">
        <v>96.4</v>
      </c>
    </row>
    <row r="23" spans="1:7" x14ac:dyDescent="0.25">
      <c r="A23" s="348">
        <v>4</v>
      </c>
      <c r="B23" s="350">
        <v>42.9</v>
      </c>
      <c r="C23" s="350">
        <v>60.7</v>
      </c>
      <c r="D23" s="350">
        <v>109.1</v>
      </c>
      <c r="E23" s="350">
        <v>57.4</v>
      </c>
      <c r="F23" s="350">
        <v>91.4</v>
      </c>
      <c r="G23" s="350">
        <v>113.4</v>
      </c>
    </row>
    <row r="24" spans="1:7" x14ac:dyDescent="0.25">
      <c r="A24" s="348">
        <v>5</v>
      </c>
      <c r="B24" s="350">
        <v>38.299999999999997</v>
      </c>
      <c r="C24" s="350">
        <v>50.5</v>
      </c>
      <c r="D24" s="350">
        <v>104.1</v>
      </c>
      <c r="E24" s="350"/>
      <c r="F24" s="350"/>
      <c r="G24" s="350"/>
    </row>
    <row r="25" spans="1:7" x14ac:dyDescent="0.25">
      <c r="A25" s="348">
        <v>6</v>
      </c>
      <c r="B25" s="350">
        <v>31.9</v>
      </c>
      <c r="C25" s="350">
        <v>56.7</v>
      </c>
      <c r="D25" s="350">
        <v>79.099999999999994</v>
      </c>
      <c r="E25" s="350"/>
      <c r="F25" s="350"/>
      <c r="G25" s="350"/>
    </row>
    <row r="26" spans="1:7" x14ac:dyDescent="0.25">
      <c r="A26" s="348">
        <v>7</v>
      </c>
      <c r="B26" s="350">
        <v>38.799999999999997</v>
      </c>
      <c r="C26" s="350">
        <v>69.400000000000006</v>
      </c>
      <c r="D26" s="350">
        <v>87.3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21.7</v>
      </c>
      <c r="C30" s="353">
        <v>59.8</v>
      </c>
      <c r="D30" s="353">
        <v>88.8</v>
      </c>
      <c r="E30" s="354">
        <v>54.5</v>
      </c>
      <c r="F30" s="354">
        <v>93.2</v>
      </c>
      <c r="G30" s="354">
        <v>110.9</v>
      </c>
    </row>
    <row r="31" spans="1:7" x14ac:dyDescent="0.25">
      <c r="A31" s="352">
        <v>2</v>
      </c>
      <c r="B31" s="353">
        <v>36</v>
      </c>
      <c r="C31" s="353">
        <v>57.8</v>
      </c>
      <c r="D31" s="353">
        <v>75.900000000000006</v>
      </c>
      <c r="E31" s="354">
        <v>36.700000000000003</v>
      </c>
      <c r="F31" s="354">
        <v>76.400000000000006</v>
      </c>
      <c r="G31" s="354">
        <v>115</v>
      </c>
    </row>
    <row r="32" spans="1:7" x14ac:dyDescent="0.25">
      <c r="A32" s="352">
        <v>3</v>
      </c>
      <c r="B32" s="353">
        <v>49.2</v>
      </c>
      <c r="C32" s="353">
        <v>60.1</v>
      </c>
      <c r="D32" s="353">
        <v>100</v>
      </c>
      <c r="E32" s="354">
        <v>56.5</v>
      </c>
      <c r="F32" s="354">
        <v>71.5</v>
      </c>
      <c r="G32" s="354">
        <v>106.3</v>
      </c>
    </row>
    <row r="33" spans="1:7" x14ac:dyDescent="0.25">
      <c r="A33" s="352">
        <v>4</v>
      </c>
      <c r="B33" s="353">
        <v>34.200000000000003</v>
      </c>
      <c r="C33" s="353">
        <v>68.2</v>
      </c>
      <c r="D33" s="353">
        <v>91.2</v>
      </c>
      <c r="E33" s="354">
        <v>42</v>
      </c>
      <c r="F33" s="354">
        <v>65.3</v>
      </c>
      <c r="G33" s="354">
        <v>109.6</v>
      </c>
    </row>
    <row r="34" spans="1:7" x14ac:dyDescent="0.25">
      <c r="A34" s="352">
        <v>5</v>
      </c>
      <c r="B34" s="353">
        <v>23.2</v>
      </c>
      <c r="C34" s="353">
        <v>66.900000000000006</v>
      </c>
      <c r="D34" s="353">
        <v>83</v>
      </c>
      <c r="E34" s="353"/>
      <c r="F34" s="353"/>
      <c r="G34" s="353"/>
    </row>
    <row r="35" spans="1:7" x14ac:dyDescent="0.25">
      <c r="A35" s="352">
        <v>6</v>
      </c>
      <c r="B35" s="353">
        <v>19.899999999999999</v>
      </c>
      <c r="C35" s="353">
        <v>64.5</v>
      </c>
      <c r="D35" s="353">
        <v>102.3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43.4</v>
      </c>
      <c r="C39" s="357">
        <v>62.3</v>
      </c>
      <c r="D39" s="357">
        <v>82.8</v>
      </c>
      <c r="E39" s="358">
        <v>60.6</v>
      </c>
      <c r="F39" s="358">
        <v>70.400000000000006</v>
      </c>
      <c r="G39" s="358">
        <v>110.5</v>
      </c>
    </row>
    <row r="40" spans="1:7" x14ac:dyDescent="0.25">
      <c r="A40" s="356">
        <v>2</v>
      </c>
      <c r="B40" s="357">
        <v>32.9</v>
      </c>
      <c r="C40" s="357">
        <v>59.5</v>
      </c>
      <c r="D40" s="357">
        <v>77.3</v>
      </c>
      <c r="E40" s="358">
        <v>56.2</v>
      </c>
      <c r="F40" s="358">
        <v>81.900000000000006</v>
      </c>
      <c r="G40" s="358">
        <v>104</v>
      </c>
    </row>
    <row r="41" spans="1:7" x14ac:dyDescent="0.25">
      <c r="A41" s="356">
        <v>3</v>
      </c>
      <c r="B41" s="357">
        <v>29.9</v>
      </c>
      <c r="C41" s="357">
        <v>52.4</v>
      </c>
      <c r="D41" s="357">
        <v>75.400000000000006</v>
      </c>
      <c r="E41" s="357"/>
      <c r="F41" s="358">
        <v>86.2</v>
      </c>
      <c r="G41" s="358">
        <v>107</v>
      </c>
    </row>
    <row r="42" spans="1:7" x14ac:dyDescent="0.25">
      <c r="A42" s="356">
        <v>4</v>
      </c>
      <c r="B42" s="357">
        <v>41.5</v>
      </c>
      <c r="C42" s="357">
        <v>50.9</v>
      </c>
      <c r="D42" s="357">
        <v>81.099999999999994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37.799999999999997</v>
      </c>
      <c r="C46" s="362">
        <v>67</v>
      </c>
      <c r="D46" s="362">
        <v>94.5</v>
      </c>
      <c r="E46" s="363">
        <v>60.3</v>
      </c>
      <c r="F46" s="363">
        <v>86.5</v>
      </c>
      <c r="G46" s="363">
        <v>109.3</v>
      </c>
    </row>
    <row r="47" spans="1:7" ht="14.5" x14ac:dyDescent="0.3">
      <c r="A47" s="360">
        <v>2</v>
      </c>
      <c r="B47" s="362">
        <v>22.8</v>
      </c>
      <c r="C47" s="362">
        <v>68.3</v>
      </c>
      <c r="D47" s="362">
        <v>108.3</v>
      </c>
      <c r="E47" s="363">
        <v>32.799999999999997</v>
      </c>
      <c r="F47" s="363">
        <v>70.099999999999994</v>
      </c>
      <c r="G47" s="363">
        <v>107</v>
      </c>
    </row>
    <row r="48" spans="1:7" ht="14.5" x14ac:dyDescent="0.3">
      <c r="A48" s="360">
        <v>3</v>
      </c>
      <c r="B48" s="362">
        <v>21.8</v>
      </c>
      <c r="C48" s="362">
        <v>65.2</v>
      </c>
      <c r="D48" s="362">
        <v>92.4</v>
      </c>
      <c r="E48" s="363">
        <v>60</v>
      </c>
      <c r="F48" s="363">
        <v>72.900000000000006</v>
      </c>
      <c r="G48" s="363">
        <v>114.8</v>
      </c>
    </row>
    <row r="49" spans="1:7" ht="14.5" x14ac:dyDescent="0.3">
      <c r="A49" s="360">
        <v>4</v>
      </c>
      <c r="B49" s="362">
        <v>24.5</v>
      </c>
      <c r="C49" s="362">
        <v>55.3</v>
      </c>
      <c r="D49" s="362">
        <v>107.4</v>
      </c>
      <c r="E49" s="363">
        <v>37.299999999999997</v>
      </c>
      <c r="F49" s="363">
        <v>71.3</v>
      </c>
      <c r="G49" s="363">
        <v>96.2</v>
      </c>
    </row>
    <row r="50" spans="1:7" ht="14.5" x14ac:dyDescent="0.3">
      <c r="A50" s="360">
        <v>5</v>
      </c>
      <c r="B50" s="362">
        <v>26.6</v>
      </c>
      <c r="C50" s="362">
        <v>67.599999999999994</v>
      </c>
      <c r="D50" s="362">
        <v>93.9</v>
      </c>
      <c r="E50" s="363">
        <v>46.3</v>
      </c>
      <c r="F50" s="363">
        <v>65.599999999999994</v>
      </c>
      <c r="G50" s="363">
        <v>120</v>
      </c>
    </row>
    <row r="51" spans="1:7" ht="14.5" x14ac:dyDescent="0.3">
      <c r="A51" s="360">
        <v>6</v>
      </c>
      <c r="B51" s="362">
        <v>47</v>
      </c>
      <c r="C51" s="362">
        <v>50.3</v>
      </c>
      <c r="D51" s="362">
        <v>95.8</v>
      </c>
      <c r="E51" s="363">
        <v>37.1</v>
      </c>
      <c r="F51" s="363">
        <v>87.7</v>
      </c>
      <c r="G51" s="363">
        <v>103.5</v>
      </c>
    </row>
    <row r="52" spans="1:7" ht="14.5" x14ac:dyDescent="0.3">
      <c r="A52" s="360">
        <v>7</v>
      </c>
      <c r="B52" s="362">
        <v>45.3</v>
      </c>
      <c r="C52" s="362">
        <v>65.5</v>
      </c>
      <c r="D52" s="362">
        <v>102.1</v>
      </c>
      <c r="E52" s="363">
        <v>50.5</v>
      </c>
      <c r="F52" s="363">
        <v>86.5</v>
      </c>
      <c r="G52" s="363">
        <v>105.3</v>
      </c>
    </row>
    <row r="53" spans="1:7" ht="14.5" x14ac:dyDescent="0.3">
      <c r="A53" s="360">
        <v>8</v>
      </c>
      <c r="B53" s="362">
        <v>19.600000000000001</v>
      </c>
      <c r="C53" s="362">
        <v>61.2</v>
      </c>
      <c r="D53" s="362">
        <v>107.6</v>
      </c>
      <c r="E53" s="363">
        <v>45</v>
      </c>
      <c r="F53" s="363">
        <v>94</v>
      </c>
      <c r="G53" s="363">
        <v>99.3</v>
      </c>
    </row>
    <row r="54" spans="1:7" ht="14.5" x14ac:dyDescent="0.3">
      <c r="A54" s="360">
        <v>9</v>
      </c>
      <c r="B54" s="362">
        <v>44</v>
      </c>
      <c r="C54" s="362">
        <v>54.4</v>
      </c>
      <c r="D54" s="362">
        <v>77.3</v>
      </c>
      <c r="E54" s="362"/>
      <c r="F54" s="362"/>
      <c r="G54" s="362"/>
    </row>
    <row r="55" spans="1:7" ht="14.5" x14ac:dyDescent="0.3">
      <c r="A55" s="360">
        <v>10</v>
      </c>
      <c r="B55" s="362">
        <v>44.9</v>
      </c>
      <c r="C55" s="362">
        <v>53.3</v>
      </c>
      <c r="D55" s="362">
        <v>86.2</v>
      </c>
      <c r="E55" s="364"/>
      <c r="F55" s="364"/>
      <c r="G55" s="364"/>
    </row>
    <row r="56" spans="1:7" ht="14.5" x14ac:dyDescent="0.3">
      <c r="A56" s="360">
        <v>11</v>
      </c>
      <c r="B56" s="362">
        <v>26.3</v>
      </c>
      <c r="C56" s="362">
        <v>56.5</v>
      </c>
      <c r="D56" s="362">
        <v>72.3</v>
      </c>
      <c r="E56" s="364"/>
      <c r="F56" s="364"/>
      <c r="G56" s="364"/>
    </row>
    <row r="57" spans="1:7" ht="14.5" x14ac:dyDescent="0.3">
      <c r="A57" s="360">
        <v>12</v>
      </c>
      <c r="B57" s="362">
        <v>45.4</v>
      </c>
      <c r="C57" s="362">
        <v>56.5</v>
      </c>
      <c r="D57" s="362">
        <v>82.3</v>
      </c>
      <c r="E57" s="364"/>
      <c r="F57" s="364"/>
      <c r="G57" s="364"/>
    </row>
    <row r="58" spans="1:7" ht="14.5" x14ac:dyDescent="0.3">
      <c r="A58" s="360">
        <v>13</v>
      </c>
      <c r="B58" s="362">
        <v>30.3</v>
      </c>
      <c r="C58" s="362">
        <v>59.3</v>
      </c>
      <c r="D58" s="362">
        <v>94.4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40.200000000000003</v>
      </c>
      <c r="C62" s="368">
        <v>64.3</v>
      </c>
      <c r="D62" s="368">
        <v>70.2</v>
      </c>
      <c r="E62" s="369">
        <v>45.3</v>
      </c>
      <c r="F62" s="369">
        <v>90.7</v>
      </c>
      <c r="G62" s="369">
        <v>104</v>
      </c>
    </row>
    <row r="63" spans="1:7" ht="14.5" x14ac:dyDescent="0.3">
      <c r="A63" s="366">
        <v>2</v>
      </c>
      <c r="B63" s="368">
        <v>29.3</v>
      </c>
      <c r="C63" s="368">
        <v>67</v>
      </c>
      <c r="D63" s="368">
        <v>99.7</v>
      </c>
      <c r="E63" s="369">
        <v>35.200000000000003</v>
      </c>
      <c r="F63" s="369">
        <v>72.7</v>
      </c>
      <c r="G63" s="369">
        <v>100.7</v>
      </c>
    </row>
    <row r="64" spans="1:7" ht="14.5" x14ac:dyDescent="0.3">
      <c r="A64" s="366">
        <v>3</v>
      </c>
      <c r="B64" s="368">
        <v>19</v>
      </c>
      <c r="C64" s="368">
        <v>64.3</v>
      </c>
      <c r="D64" s="368">
        <v>89.5</v>
      </c>
      <c r="E64" s="369">
        <v>53.1</v>
      </c>
      <c r="F64" s="369">
        <v>71.599999999999994</v>
      </c>
      <c r="G64" s="369">
        <v>95.4</v>
      </c>
    </row>
    <row r="65" spans="1:7" ht="14.5" x14ac:dyDescent="0.3">
      <c r="A65" s="366">
        <v>4</v>
      </c>
      <c r="B65" s="368">
        <v>27.7</v>
      </c>
      <c r="C65" s="368">
        <v>59</v>
      </c>
      <c r="D65" s="368">
        <v>100.8</v>
      </c>
      <c r="E65" s="369">
        <v>63</v>
      </c>
      <c r="F65" s="369">
        <v>66.900000000000006</v>
      </c>
      <c r="G65" s="369">
        <v>111.4</v>
      </c>
    </row>
    <row r="66" spans="1:7" ht="14.5" x14ac:dyDescent="0.3">
      <c r="A66" s="366">
        <v>5</v>
      </c>
      <c r="B66" s="368">
        <v>29</v>
      </c>
      <c r="C66" s="368">
        <v>52.7</v>
      </c>
      <c r="D66" s="368">
        <v>90.7</v>
      </c>
      <c r="E66" s="369">
        <v>64.7</v>
      </c>
      <c r="F66" s="369">
        <v>79.900000000000006</v>
      </c>
      <c r="G66" s="369">
        <v>95.3</v>
      </c>
    </row>
    <row r="67" spans="1:7" ht="14.5" x14ac:dyDescent="0.3">
      <c r="A67" s="366">
        <v>6</v>
      </c>
      <c r="B67" s="368">
        <v>28.1</v>
      </c>
      <c r="C67" s="368">
        <v>58.9</v>
      </c>
      <c r="D67" s="368">
        <v>89.6</v>
      </c>
      <c r="E67" s="369">
        <v>62.9</v>
      </c>
      <c r="F67" s="369">
        <v>72.099999999999994</v>
      </c>
      <c r="G67" s="369">
        <v>106.5</v>
      </c>
    </row>
    <row r="68" spans="1:7" ht="14.5" x14ac:dyDescent="0.3">
      <c r="A68" s="366">
        <v>7</v>
      </c>
      <c r="B68" s="368">
        <v>33.1</v>
      </c>
      <c r="C68" s="368">
        <v>65.400000000000006</v>
      </c>
      <c r="D68" s="368">
        <v>76.3</v>
      </c>
      <c r="E68" s="369">
        <v>43.8</v>
      </c>
      <c r="F68" s="369">
        <v>72.3</v>
      </c>
      <c r="G68" s="369">
        <v>110.8</v>
      </c>
    </row>
    <row r="69" spans="1:7" ht="14.5" x14ac:dyDescent="0.3">
      <c r="A69" s="366">
        <v>8</v>
      </c>
      <c r="B69" s="368">
        <v>38.700000000000003</v>
      </c>
      <c r="C69" s="368">
        <v>64.599999999999994</v>
      </c>
      <c r="D69" s="368">
        <v>104.9</v>
      </c>
      <c r="E69" s="369">
        <v>54.2</v>
      </c>
      <c r="F69" s="369">
        <v>68.099999999999994</v>
      </c>
      <c r="G69" s="369">
        <v>119.9</v>
      </c>
    </row>
    <row r="70" spans="1:7" ht="14.5" x14ac:dyDescent="0.3">
      <c r="A70" s="366">
        <v>9</v>
      </c>
      <c r="B70" s="368">
        <v>18.8</v>
      </c>
      <c r="C70" s="368">
        <v>58.5</v>
      </c>
      <c r="D70" s="368">
        <v>91.1</v>
      </c>
      <c r="E70" s="369">
        <v>42.6</v>
      </c>
      <c r="F70" s="369">
        <v>85.2</v>
      </c>
      <c r="G70" s="369">
        <v>116.4</v>
      </c>
    </row>
    <row r="71" spans="1:7" ht="14.5" x14ac:dyDescent="0.3">
      <c r="A71" s="366">
        <v>10</v>
      </c>
      <c r="B71" s="368">
        <v>48.5</v>
      </c>
      <c r="C71" s="368">
        <v>65.8</v>
      </c>
      <c r="D71" s="368">
        <v>91.8</v>
      </c>
      <c r="E71" s="369">
        <v>53.7</v>
      </c>
      <c r="F71" s="369">
        <v>68.2</v>
      </c>
      <c r="G71" s="369">
        <v>105.2</v>
      </c>
    </row>
    <row r="72" spans="1:7" ht="14.5" x14ac:dyDescent="0.3">
      <c r="A72" s="366">
        <v>11</v>
      </c>
      <c r="B72" s="368">
        <v>26.5</v>
      </c>
      <c r="C72" s="368">
        <v>64.3</v>
      </c>
      <c r="D72" s="368">
        <v>98.4</v>
      </c>
      <c r="E72" s="367"/>
      <c r="F72" s="367"/>
      <c r="G72" s="367"/>
    </row>
    <row r="73" spans="1:7" ht="14.5" x14ac:dyDescent="0.3">
      <c r="A73" s="366">
        <v>12</v>
      </c>
      <c r="B73" s="368">
        <v>22.5</v>
      </c>
      <c r="C73" s="368">
        <v>52</v>
      </c>
      <c r="D73" s="368">
        <v>101.4</v>
      </c>
      <c r="E73" s="367"/>
      <c r="F73" s="367"/>
      <c r="G73" s="367"/>
    </row>
    <row r="74" spans="1:7" ht="14.5" x14ac:dyDescent="0.3">
      <c r="A74" s="366">
        <v>13</v>
      </c>
      <c r="B74" s="368">
        <v>47</v>
      </c>
      <c r="C74" s="368">
        <v>68.900000000000006</v>
      </c>
      <c r="D74" s="368">
        <v>80.8</v>
      </c>
      <c r="E74" s="367"/>
      <c r="F74" s="367"/>
      <c r="G74" s="367"/>
    </row>
    <row r="75" spans="1:7" ht="14.5" x14ac:dyDescent="0.3">
      <c r="A75" s="366">
        <v>14</v>
      </c>
      <c r="B75" s="368">
        <v>19.100000000000001</v>
      </c>
      <c r="C75" s="368">
        <v>60.7</v>
      </c>
      <c r="D75" s="368">
        <v>74</v>
      </c>
      <c r="E75" s="367"/>
      <c r="F75" s="367"/>
      <c r="G75" s="367"/>
    </row>
    <row r="76" spans="1:7" ht="14.5" x14ac:dyDescent="0.3">
      <c r="A76" s="366">
        <v>15</v>
      </c>
      <c r="B76" s="368">
        <v>22.1</v>
      </c>
      <c r="C76" s="368">
        <v>54</v>
      </c>
      <c r="D76" s="368">
        <v>91.2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42.2</v>
      </c>
      <c r="C80" s="373">
        <v>57.6</v>
      </c>
      <c r="D80" s="373">
        <v>78.400000000000006</v>
      </c>
      <c r="E80" s="374">
        <v>59.5</v>
      </c>
      <c r="F80" s="374">
        <v>93.6</v>
      </c>
      <c r="G80" s="374">
        <v>118.8</v>
      </c>
    </row>
    <row r="81" spans="1:7" ht="14.5" x14ac:dyDescent="0.3">
      <c r="A81" s="371">
        <v>2</v>
      </c>
      <c r="B81" s="373">
        <v>37.200000000000003</v>
      </c>
      <c r="C81" s="373">
        <v>56.1</v>
      </c>
      <c r="D81" s="373">
        <v>90.6</v>
      </c>
      <c r="E81" s="374">
        <v>38.299999999999997</v>
      </c>
      <c r="F81" s="374">
        <v>91.4</v>
      </c>
      <c r="G81" s="374">
        <v>112</v>
      </c>
    </row>
    <row r="82" spans="1:7" ht="14.5" x14ac:dyDescent="0.3">
      <c r="A82" s="371">
        <v>3</v>
      </c>
      <c r="B82" s="373">
        <v>33.200000000000003</v>
      </c>
      <c r="C82" s="373">
        <v>67</v>
      </c>
      <c r="D82" s="373">
        <v>107.8</v>
      </c>
      <c r="E82" s="374">
        <v>36.9</v>
      </c>
      <c r="F82" s="374">
        <v>70.7</v>
      </c>
      <c r="G82" s="374">
        <v>107.6</v>
      </c>
    </row>
    <row r="83" spans="1:7" ht="14.5" x14ac:dyDescent="0.3">
      <c r="A83" s="371">
        <v>4</v>
      </c>
      <c r="B83" s="373">
        <v>19.399999999999999</v>
      </c>
      <c r="C83" s="373">
        <v>62.2</v>
      </c>
      <c r="D83" s="373">
        <v>71.2</v>
      </c>
      <c r="E83" s="374">
        <v>58.4</v>
      </c>
      <c r="F83" s="374">
        <v>89.6</v>
      </c>
      <c r="G83" s="374">
        <v>118.2</v>
      </c>
    </row>
    <row r="84" spans="1:7" ht="14.5" x14ac:dyDescent="0.3">
      <c r="A84" s="371">
        <v>5</v>
      </c>
      <c r="B84" s="373">
        <v>48.2</v>
      </c>
      <c r="C84" s="373">
        <v>58.1</v>
      </c>
      <c r="D84" s="373">
        <v>79.599999999999994</v>
      </c>
      <c r="E84" s="374">
        <v>48.3</v>
      </c>
      <c r="F84" s="374">
        <v>66.7</v>
      </c>
      <c r="G84" s="374">
        <v>103</v>
      </c>
    </row>
    <row r="85" spans="1:7" ht="14.5" x14ac:dyDescent="0.3">
      <c r="A85" s="371">
        <v>6</v>
      </c>
      <c r="B85" s="373">
        <v>19.7</v>
      </c>
      <c r="C85" s="373">
        <v>55.6</v>
      </c>
      <c r="D85" s="373">
        <v>95.5</v>
      </c>
      <c r="E85" s="374">
        <v>50.9</v>
      </c>
      <c r="F85" s="374">
        <v>87.7</v>
      </c>
      <c r="G85" s="374">
        <v>99.1</v>
      </c>
    </row>
    <row r="86" spans="1:7" ht="14.5" x14ac:dyDescent="0.3">
      <c r="A86" s="371">
        <v>7</v>
      </c>
      <c r="B86" s="373">
        <v>42.1</v>
      </c>
      <c r="C86" s="373">
        <v>65.2</v>
      </c>
      <c r="D86" s="373">
        <v>103.3</v>
      </c>
      <c r="E86" s="374">
        <v>57.2</v>
      </c>
      <c r="F86" s="374">
        <v>84.5</v>
      </c>
      <c r="G86" s="374">
        <v>118.9</v>
      </c>
    </row>
    <row r="87" spans="1:7" ht="14.5" x14ac:dyDescent="0.3">
      <c r="A87" s="371">
        <v>8</v>
      </c>
      <c r="B87" s="373">
        <v>30.3</v>
      </c>
      <c r="C87" s="373">
        <v>65.099999999999994</v>
      </c>
      <c r="D87" s="373">
        <v>87.5</v>
      </c>
      <c r="E87" s="374">
        <v>38.9</v>
      </c>
      <c r="F87" s="374">
        <v>70.599999999999994</v>
      </c>
      <c r="G87" s="374">
        <v>111.4</v>
      </c>
    </row>
    <row r="88" spans="1:7" ht="14.5" x14ac:dyDescent="0.3">
      <c r="A88" s="371">
        <v>9</v>
      </c>
      <c r="B88" s="373">
        <v>43.7</v>
      </c>
      <c r="C88" s="373">
        <v>67</v>
      </c>
      <c r="D88" s="373">
        <v>74.2</v>
      </c>
      <c r="E88" s="374">
        <v>30</v>
      </c>
      <c r="F88" s="374">
        <v>86.7</v>
      </c>
      <c r="G88" s="374">
        <v>110</v>
      </c>
    </row>
    <row r="89" spans="1:7" ht="14.5" x14ac:dyDescent="0.3">
      <c r="A89" s="371">
        <v>10</v>
      </c>
      <c r="B89" s="373">
        <v>30.3</v>
      </c>
      <c r="C89" s="373">
        <v>55</v>
      </c>
      <c r="D89" s="373">
        <v>81</v>
      </c>
      <c r="E89" s="374">
        <v>39.299999999999997</v>
      </c>
      <c r="F89" s="374">
        <v>69.599999999999994</v>
      </c>
      <c r="G89" s="374">
        <v>109.7</v>
      </c>
    </row>
    <row r="90" spans="1:7" ht="14.5" x14ac:dyDescent="0.3">
      <c r="A90" s="371">
        <v>11</v>
      </c>
      <c r="B90" s="373">
        <v>33.1</v>
      </c>
      <c r="C90" s="373">
        <v>68.599999999999994</v>
      </c>
      <c r="D90" s="373">
        <v>96.8</v>
      </c>
      <c r="E90" s="374">
        <v>42.9</v>
      </c>
      <c r="F90" s="374">
        <v>72.5</v>
      </c>
      <c r="G90" s="374">
        <v>112.9</v>
      </c>
    </row>
    <row r="91" spans="1:7" ht="14.5" x14ac:dyDescent="0.3">
      <c r="A91" s="371">
        <v>12</v>
      </c>
      <c r="B91" s="373">
        <v>47.7</v>
      </c>
      <c r="C91" s="373">
        <v>60.6</v>
      </c>
      <c r="D91" s="373">
        <v>103.2</v>
      </c>
      <c r="E91" s="374">
        <v>37.799999999999997</v>
      </c>
      <c r="F91" s="374">
        <v>80.2</v>
      </c>
      <c r="G91" s="374">
        <v>101.3</v>
      </c>
    </row>
    <row r="92" spans="1:7" ht="14.5" x14ac:dyDescent="0.3">
      <c r="A92" s="371">
        <v>13</v>
      </c>
      <c r="B92" s="373">
        <v>36.200000000000003</v>
      </c>
      <c r="C92" s="373">
        <v>63.7</v>
      </c>
      <c r="D92" s="373">
        <v>71.599999999999994</v>
      </c>
      <c r="E92" s="375"/>
      <c r="F92" s="375"/>
      <c r="G92" s="375"/>
    </row>
    <row r="93" spans="1:7" ht="14.5" x14ac:dyDescent="0.3">
      <c r="A93" s="371">
        <v>14</v>
      </c>
      <c r="B93" s="373">
        <v>45.5</v>
      </c>
      <c r="C93" s="373">
        <v>60.5</v>
      </c>
      <c r="D93" s="373">
        <v>85.9</v>
      </c>
      <c r="E93" s="375"/>
      <c r="F93" s="375"/>
      <c r="G93" s="375"/>
    </row>
    <row r="94" spans="1:7" ht="14.5" x14ac:dyDescent="0.3">
      <c r="A94" s="371">
        <v>15</v>
      </c>
      <c r="B94" s="373">
        <v>45.9</v>
      </c>
      <c r="C94" s="373">
        <v>59</v>
      </c>
      <c r="D94" s="373">
        <v>83</v>
      </c>
      <c r="E94" s="375"/>
      <c r="F94" s="375"/>
      <c r="G94" s="375"/>
    </row>
    <row r="95" spans="1:7" ht="14.5" x14ac:dyDescent="0.3">
      <c r="A95" s="371">
        <v>16</v>
      </c>
      <c r="B95" s="373">
        <v>19.5</v>
      </c>
      <c r="C95" s="373">
        <v>64.5</v>
      </c>
      <c r="D95" s="373">
        <v>82.6</v>
      </c>
      <c r="E95" s="375"/>
      <c r="F95" s="375"/>
      <c r="G95" s="375"/>
    </row>
    <row r="96" spans="1:7" ht="14.5" x14ac:dyDescent="0.3">
      <c r="A96" s="371">
        <v>17</v>
      </c>
      <c r="B96" s="373">
        <v>35.6</v>
      </c>
      <c r="C96" s="373">
        <v>53.1</v>
      </c>
      <c r="D96" s="373">
        <v>105.2</v>
      </c>
      <c r="E96" s="375"/>
      <c r="F96" s="375"/>
      <c r="G96" s="375"/>
    </row>
    <row r="97" spans="1:7" ht="14.5" x14ac:dyDescent="0.3">
      <c r="A97" s="371">
        <v>18</v>
      </c>
      <c r="B97" s="373">
        <v>37</v>
      </c>
      <c r="C97" s="373">
        <v>65.3</v>
      </c>
      <c r="D97" s="373">
        <v>73.2</v>
      </c>
      <c r="E97" s="376"/>
      <c r="F97" s="376"/>
      <c r="G97" s="376"/>
    </row>
    <row r="98" spans="1:7" ht="14.5" x14ac:dyDescent="0.3">
      <c r="A98" s="371">
        <v>19</v>
      </c>
      <c r="B98" s="373">
        <v>25.3</v>
      </c>
      <c r="C98" s="373">
        <v>52.1</v>
      </c>
      <c r="D98" s="373">
        <v>90.5</v>
      </c>
      <c r="E98" s="376"/>
      <c r="F98" s="376"/>
      <c r="G98" s="376"/>
    </row>
    <row r="99" spans="1:7" ht="14.5" x14ac:dyDescent="0.3">
      <c r="A99" s="371">
        <v>20</v>
      </c>
      <c r="B99" s="373">
        <v>29.4</v>
      </c>
      <c r="C99" s="373">
        <v>70</v>
      </c>
      <c r="D99" s="373">
        <v>97.2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34.200000000000003</v>
      </c>
      <c r="C103" s="367">
        <v>51.7</v>
      </c>
      <c r="D103" s="367">
        <v>73.7</v>
      </c>
      <c r="E103" s="369">
        <v>37.6</v>
      </c>
      <c r="F103" s="369">
        <v>66.099999999999994</v>
      </c>
      <c r="G103" s="369">
        <v>107.5</v>
      </c>
    </row>
    <row r="104" spans="1:7" x14ac:dyDescent="0.25">
      <c r="A104" s="366">
        <v>2</v>
      </c>
      <c r="B104" s="367">
        <v>28.9</v>
      </c>
      <c r="C104" s="367">
        <v>67.099999999999994</v>
      </c>
      <c r="D104" s="367">
        <v>75</v>
      </c>
      <c r="E104" s="369">
        <v>43</v>
      </c>
      <c r="F104" s="369">
        <v>89.3</v>
      </c>
      <c r="G104" s="369">
        <v>99.2</v>
      </c>
    </row>
    <row r="105" spans="1:7" x14ac:dyDescent="0.25">
      <c r="A105" s="366">
        <v>3</v>
      </c>
      <c r="B105" s="367">
        <v>27.1</v>
      </c>
      <c r="C105" s="367">
        <v>62.4</v>
      </c>
      <c r="D105" s="367">
        <v>71</v>
      </c>
      <c r="E105" s="369">
        <v>36.799999999999997</v>
      </c>
      <c r="F105" s="369">
        <v>84.1</v>
      </c>
      <c r="G105" s="369">
        <v>117.3</v>
      </c>
    </row>
    <row r="106" spans="1:7" x14ac:dyDescent="0.25">
      <c r="A106" s="366">
        <v>4</v>
      </c>
      <c r="B106" s="367">
        <v>45.3</v>
      </c>
      <c r="C106" s="367">
        <v>50.2</v>
      </c>
      <c r="D106" s="367">
        <v>84.7</v>
      </c>
      <c r="E106" s="369">
        <v>48.2</v>
      </c>
      <c r="F106" s="369">
        <v>79</v>
      </c>
      <c r="G106" s="369">
        <v>101.9</v>
      </c>
    </row>
    <row r="107" spans="1:7" x14ac:dyDescent="0.25">
      <c r="A107" s="366">
        <v>5</v>
      </c>
      <c r="B107" s="367">
        <v>25.8</v>
      </c>
      <c r="C107" s="367">
        <v>65</v>
      </c>
      <c r="D107" s="367">
        <v>108.8</v>
      </c>
      <c r="E107" s="369">
        <v>42.2</v>
      </c>
      <c r="F107" s="369">
        <v>94</v>
      </c>
      <c r="G107" s="369">
        <v>95.9</v>
      </c>
    </row>
    <row r="108" spans="1:7" x14ac:dyDescent="0.25">
      <c r="A108" s="366">
        <v>6</v>
      </c>
      <c r="B108" s="367">
        <v>41.2</v>
      </c>
      <c r="C108" s="367">
        <v>58.1</v>
      </c>
      <c r="D108" s="367">
        <v>74.7</v>
      </c>
      <c r="E108" s="369">
        <v>39.200000000000003</v>
      </c>
      <c r="F108" s="369">
        <v>81.2</v>
      </c>
      <c r="G108" s="369">
        <v>99.6</v>
      </c>
    </row>
    <row r="109" spans="1:7" x14ac:dyDescent="0.25">
      <c r="A109" s="366">
        <v>7</v>
      </c>
      <c r="B109" s="367">
        <v>40.299999999999997</v>
      </c>
      <c r="C109" s="367">
        <v>67.099999999999994</v>
      </c>
      <c r="D109" s="367">
        <v>107</v>
      </c>
      <c r="E109" s="367"/>
      <c r="F109" s="367"/>
      <c r="G109" s="367"/>
    </row>
    <row r="110" spans="1:7" x14ac:dyDescent="0.25">
      <c r="A110" s="366">
        <v>8</v>
      </c>
      <c r="B110" s="367">
        <v>21.4</v>
      </c>
      <c r="C110" s="367">
        <v>58.4</v>
      </c>
      <c r="D110" s="367">
        <v>108.6</v>
      </c>
      <c r="E110" s="367"/>
      <c r="F110" s="367"/>
      <c r="G110" s="367"/>
    </row>
    <row r="111" spans="1:7" x14ac:dyDescent="0.25">
      <c r="A111" s="366">
        <v>9</v>
      </c>
      <c r="B111" s="367">
        <v>24.1</v>
      </c>
      <c r="C111" s="367">
        <v>50.2</v>
      </c>
      <c r="D111" s="367">
        <v>88.3</v>
      </c>
      <c r="E111" s="367"/>
      <c r="F111" s="367"/>
      <c r="G111" s="367"/>
    </row>
    <row r="112" spans="1:7" x14ac:dyDescent="0.25">
      <c r="A112" s="366">
        <v>10</v>
      </c>
      <c r="B112" s="367">
        <v>21.8</v>
      </c>
      <c r="C112" s="367">
        <v>50</v>
      </c>
      <c r="D112" s="367">
        <v>75.2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95.4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32.1</v>
      </c>
      <c r="C117" s="357">
        <v>63</v>
      </c>
      <c r="D117" s="357">
        <v>109.4</v>
      </c>
      <c r="E117" s="357"/>
      <c r="F117" s="357"/>
      <c r="G117" s="357"/>
    </row>
    <row r="118" spans="1:7" x14ac:dyDescent="0.25">
      <c r="A118" s="356">
        <v>2</v>
      </c>
      <c r="B118" s="357">
        <v>25.7</v>
      </c>
      <c r="C118" s="357">
        <v>63.2</v>
      </c>
      <c r="D118" s="357">
        <v>75.400000000000006</v>
      </c>
      <c r="E118" s="357"/>
      <c r="F118" s="357"/>
      <c r="G118" s="357"/>
    </row>
    <row r="119" spans="1:7" x14ac:dyDescent="0.25">
      <c r="A119" s="356">
        <v>3</v>
      </c>
      <c r="B119" s="357">
        <v>45.5</v>
      </c>
      <c r="C119" s="357">
        <v>69.400000000000006</v>
      </c>
      <c r="D119" s="357">
        <v>93.4</v>
      </c>
      <c r="E119" s="357"/>
      <c r="F119" s="357"/>
      <c r="G119" s="357"/>
    </row>
    <row r="120" spans="1:7" x14ac:dyDescent="0.25">
      <c r="A120" s="356">
        <v>4</v>
      </c>
      <c r="B120" s="357">
        <v>34.4</v>
      </c>
      <c r="C120" s="357">
        <v>67.8</v>
      </c>
      <c r="D120" s="357">
        <v>73.5</v>
      </c>
      <c r="E120" s="357"/>
      <c r="F120" s="357"/>
      <c r="G120" s="357"/>
    </row>
    <row r="121" spans="1:7" x14ac:dyDescent="0.25">
      <c r="A121" s="356">
        <v>5</v>
      </c>
      <c r="B121" s="357">
        <v>45.5</v>
      </c>
      <c r="C121" s="357">
        <v>52</v>
      </c>
      <c r="D121" s="357">
        <v>84.3</v>
      </c>
      <c r="E121" s="357"/>
      <c r="F121" s="357"/>
      <c r="G121" s="357"/>
    </row>
    <row r="122" spans="1:7" x14ac:dyDescent="0.25">
      <c r="A122" s="356">
        <v>6</v>
      </c>
      <c r="B122" s="357">
        <v>44.7</v>
      </c>
      <c r="C122" s="357">
        <v>66.900000000000006</v>
      </c>
      <c r="D122" s="357">
        <v>97.4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62.6</v>
      </c>
      <c r="C127" s="380">
        <f>ROUNDDOWN(AVERAGE(E5:G12),1)</f>
        <v>78.099999999999994</v>
      </c>
      <c r="D127" s="378">
        <v>19899</v>
      </c>
      <c r="E127" s="378">
        <v>12594</v>
      </c>
      <c r="F127" s="378">
        <f>B127*D127</f>
        <v>1245677.4000000001</v>
      </c>
      <c r="G127" s="378">
        <f>C127*E127</f>
        <v>983591.39999999991</v>
      </c>
    </row>
    <row r="128" spans="1:7" x14ac:dyDescent="0.25">
      <c r="A128" s="379" t="str">
        <f>A17</f>
        <v>Chongzuo Zuozhou swine Farm</v>
      </c>
      <c r="B128" s="380">
        <f>ROUNDDOWN(AVERAGE(B20:D26),1)</f>
        <v>61.5</v>
      </c>
      <c r="C128" s="380">
        <f>ROUNDDOWN(AVERAGE(E20:G23),1)</f>
        <v>76.7</v>
      </c>
      <c r="D128" s="378">
        <v>10998</v>
      </c>
      <c r="E128" s="378">
        <v>6975</v>
      </c>
      <c r="F128" s="378">
        <f t="shared" ref="F128:G135" si="0">B128*D128</f>
        <v>676377</v>
      </c>
      <c r="G128" s="378">
        <f>C128*E128</f>
        <v>534982.5</v>
      </c>
    </row>
    <row r="129" spans="1:7" x14ac:dyDescent="0.25">
      <c r="A129" s="379" t="str">
        <f>A27</f>
        <v>Tianyang Wucun swine Farm</v>
      </c>
      <c r="B129" s="380">
        <f>ROUNDDOWN(AVERAGE(B30:D35),1)</f>
        <v>61.2</v>
      </c>
      <c r="C129" s="380">
        <f>ROUNDDOWN(AVERAGE(E30:G35),1)</f>
        <v>78.099999999999994</v>
      </c>
      <c r="D129" s="378">
        <v>9501</v>
      </c>
      <c r="E129" s="378">
        <v>6010</v>
      </c>
      <c r="F129" s="378">
        <f t="shared" si="0"/>
        <v>581461.20000000007</v>
      </c>
      <c r="G129" s="378">
        <f>C129*E129</f>
        <v>469380.99999999994</v>
      </c>
    </row>
    <row r="130" spans="1:7" x14ac:dyDescent="0.25">
      <c r="A130" s="379" t="str">
        <f>A36</f>
        <v>Quanzhou Dengjiabu swine Farm</v>
      </c>
      <c r="B130" s="380">
        <f>ROUNDDOWN(AVERAGE(B39:D42),1)</f>
        <v>57.4</v>
      </c>
      <c r="C130" s="380">
        <f>ROUNDDOWN(AVERAGE(E39:G42),1)</f>
        <v>84.6</v>
      </c>
      <c r="D130" s="378">
        <v>5446</v>
      </c>
      <c r="E130" s="378">
        <v>3364</v>
      </c>
      <c r="F130" s="378">
        <f t="shared" si="0"/>
        <v>312600.39999999997</v>
      </c>
      <c r="G130" s="378">
        <f t="shared" si="0"/>
        <v>284594.39999999997</v>
      </c>
    </row>
    <row r="131" spans="1:7" x14ac:dyDescent="0.25">
      <c r="A131" s="379" t="str">
        <f>A43</f>
        <v>Chongzuo Quming swine Farm</v>
      </c>
      <c r="B131" s="380">
        <f>ROUNDDOWN(AVERAGE(B46:D58),1)</f>
        <v>62.3</v>
      </c>
      <c r="C131" s="380">
        <f>ROUNDDOWN(AVERAGE(E46:G53),1)</f>
        <v>77.400000000000006</v>
      </c>
      <c r="D131" s="378">
        <v>22352</v>
      </c>
      <c r="E131" s="378">
        <v>13979</v>
      </c>
      <c r="F131" s="378">
        <f t="shared" si="0"/>
        <v>1392529.5999999999</v>
      </c>
      <c r="G131" s="378">
        <f t="shared" si="0"/>
        <v>1081974.6000000001</v>
      </c>
    </row>
    <row r="132" spans="1:7" x14ac:dyDescent="0.25">
      <c r="A132" s="379" t="str">
        <f>A59</f>
        <v>Jingxi swine Farm</v>
      </c>
      <c r="B132" s="380">
        <f>ROUNDDOWN(AVERAGE(B62:D76),1)</f>
        <v>60.4</v>
      </c>
      <c r="C132" s="380">
        <f>ROUNDDOWN(AVERAGE(E62:G71),1)</f>
        <v>77.7</v>
      </c>
      <c r="D132" s="378">
        <v>26116</v>
      </c>
      <c r="E132" s="378">
        <v>15941</v>
      </c>
      <c r="F132" s="378">
        <f t="shared" si="0"/>
        <v>1577406.4</v>
      </c>
      <c r="G132" s="378">
        <f t="shared" si="0"/>
        <v>1238615.7</v>
      </c>
    </row>
    <row r="133" spans="1:7" x14ac:dyDescent="0.25">
      <c r="A133" s="379" t="str">
        <f>A77</f>
        <v>Liucheng Mashan swine Farm</v>
      </c>
      <c r="B133" s="380">
        <f>ROUNDDOWN(AVERAGE(B80:D99),1)</f>
        <v>61.4</v>
      </c>
      <c r="C133" s="378">
        <f>ROUNDDOWN(AVERAGE(E80:G91),1)</f>
        <v>78.400000000000006</v>
      </c>
      <c r="D133" s="378">
        <v>33500</v>
      </c>
      <c r="E133" s="378">
        <v>20506</v>
      </c>
      <c r="F133" s="378">
        <f t="shared" si="0"/>
        <v>2056900</v>
      </c>
      <c r="G133" s="378">
        <f t="shared" si="0"/>
        <v>1607670.4000000001</v>
      </c>
    </row>
    <row r="134" spans="1:7" x14ac:dyDescent="0.25">
      <c r="A134" s="379" t="str">
        <f>A100</f>
        <v>Tengxian Tianping swine Farm</v>
      </c>
      <c r="B134" s="380">
        <f>ROUNDDOWN(AVERAGE(B103:D113),1)</f>
        <v>59.7</v>
      </c>
      <c r="C134" s="378">
        <f>ROUNDDOWN(AVERAGE(E103:G108),1)</f>
        <v>75.599999999999994</v>
      </c>
      <c r="D134" s="378">
        <v>16255</v>
      </c>
      <c r="E134" s="378">
        <v>10385</v>
      </c>
      <c r="F134" s="378">
        <f t="shared" si="0"/>
        <v>970423.5</v>
      </c>
      <c r="G134" s="378">
        <f t="shared" si="0"/>
        <v>785105.99999999988</v>
      </c>
    </row>
    <row r="135" spans="1:7" x14ac:dyDescent="0.25">
      <c r="A135" s="379" t="str">
        <f>A114</f>
        <v>Debao Chengguan swine Farm</v>
      </c>
      <c r="B135" s="380">
        <f>ROUNDDOWN(AVERAGE(B117:D122),1)</f>
        <v>63.5</v>
      </c>
      <c r="C135" s="378">
        <v>0</v>
      </c>
      <c r="D135" s="378">
        <v>8758</v>
      </c>
      <c r="E135" s="378">
        <v>0</v>
      </c>
      <c r="F135" s="378">
        <f t="shared" si="0"/>
        <v>556133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89754</v>
      </c>
      <c r="F136" s="378">
        <f>SUM(F127:F135)</f>
        <v>9369508.5</v>
      </c>
      <c r="G136" s="378">
        <f>SUM(G127:G134)</f>
        <v>6985916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61.3</v>
      </c>
      <c r="D140" s="381">
        <f>ROUNDDOWN(G136/E136,1)</f>
        <v>77.8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0CE0-C341-46B7-8E2A-C0AF64029517}">
  <dimension ref="A1:G140"/>
  <sheetViews>
    <sheetView topLeftCell="A31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18.399999999999999</v>
      </c>
      <c r="C5" s="345">
        <v>53.9</v>
      </c>
      <c r="D5" s="345">
        <v>101.2</v>
      </c>
      <c r="E5" s="346">
        <v>50</v>
      </c>
      <c r="F5" s="346">
        <v>65.400000000000006</v>
      </c>
      <c r="G5" s="346">
        <v>103.8</v>
      </c>
    </row>
    <row r="6" spans="1:7" x14ac:dyDescent="0.25">
      <c r="A6" s="343">
        <v>2</v>
      </c>
      <c r="B6" s="345">
        <v>43.2</v>
      </c>
      <c r="C6" s="345">
        <v>55.9</v>
      </c>
      <c r="D6" s="345">
        <v>107.7</v>
      </c>
      <c r="E6" s="346">
        <v>52.8</v>
      </c>
      <c r="F6" s="346">
        <v>94.3</v>
      </c>
      <c r="G6" s="346">
        <v>118</v>
      </c>
    </row>
    <row r="7" spans="1:7" x14ac:dyDescent="0.25">
      <c r="A7" s="343">
        <v>3</v>
      </c>
      <c r="B7" s="345">
        <v>26.3</v>
      </c>
      <c r="C7" s="345">
        <v>56.3</v>
      </c>
      <c r="D7" s="345">
        <v>90.7</v>
      </c>
      <c r="E7" s="346">
        <v>42.6</v>
      </c>
      <c r="F7" s="346">
        <v>93.5</v>
      </c>
      <c r="G7" s="346">
        <v>99.7</v>
      </c>
    </row>
    <row r="8" spans="1:7" x14ac:dyDescent="0.25">
      <c r="A8" s="343">
        <v>4</v>
      </c>
      <c r="B8" s="345">
        <v>45</v>
      </c>
      <c r="C8" s="345">
        <v>64.900000000000006</v>
      </c>
      <c r="D8" s="345">
        <v>97.1</v>
      </c>
      <c r="E8" s="346">
        <v>47</v>
      </c>
      <c r="F8" s="346">
        <v>80.5</v>
      </c>
      <c r="G8" s="346">
        <v>103.4</v>
      </c>
    </row>
    <row r="9" spans="1:7" x14ac:dyDescent="0.25">
      <c r="A9" s="343">
        <v>5</v>
      </c>
      <c r="B9" s="345">
        <v>43.1</v>
      </c>
      <c r="C9" s="345">
        <v>70</v>
      </c>
      <c r="D9" s="345">
        <v>102.1</v>
      </c>
      <c r="E9" s="346">
        <v>40</v>
      </c>
      <c r="F9" s="346">
        <v>82.6</v>
      </c>
      <c r="G9" s="346">
        <v>95.7</v>
      </c>
    </row>
    <row r="10" spans="1:7" x14ac:dyDescent="0.25">
      <c r="A10" s="343">
        <v>6</v>
      </c>
      <c r="B10" s="345">
        <v>28.5</v>
      </c>
      <c r="C10" s="345">
        <v>65.7</v>
      </c>
      <c r="D10" s="345">
        <v>88.4</v>
      </c>
      <c r="E10" s="346">
        <v>45.1</v>
      </c>
      <c r="F10" s="346">
        <v>91.6</v>
      </c>
      <c r="G10" s="346">
        <v>115.7</v>
      </c>
    </row>
    <row r="11" spans="1:7" x14ac:dyDescent="0.25">
      <c r="A11" s="343">
        <v>7</v>
      </c>
      <c r="B11" s="345">
        <v>18.3</v>
      </c>
      <c r="C11" s="345">
        <v>57.3</v>
      </c>
      <c r="D11" s="345">
        <v>89.5</v>
      </c>
      <c r="E11" s="346">
        <v>34.799999999999997</v>
      </c>
      <c r="F11" s="346">
        <v>88.1</v>
      </c>
      <c r="G11" s="346">
        <v>115.2</v>
      </c>
    </row>
    <row r="12" spans="1:7" x14ac:dyDescent="0.25">
      <c r="A12" s="343">
        <v>8</v>
      </c>
      <c r="B12" s="345">
        <v>38.9</v>
      </c>
      <c r="C12" s="345">
        <v>62.1</v>
      </c>
      <c r="D12" s="345">
        <v>86.5</v>
      </c>
      <c r="E12" s="346">
        <v>53.5</v>
      </c>
      <c r="F12" s="346">
        <v>86.6</v>
      </c>
      <c r="G12" s="346">
        <v>102.7</v>
      </c>
    </row>
    <row r="13" spans="1:7" x14ac:dyDescent="0.25">
      <c r="A13" s="343">
        <v>9</v>
      </c>
      <c r="B13" s="345">
        <v>33.700000000000003</v>
      </c>
      <c r="C13" s="345">
        <v>54.5</v>
      </c>
      <c r="D13" s="345">
        <v>91.2</v>
      </c>
      <c r="E13" s="345"/>
      <c r="F13" s="345"/>
      <c r="G13" s="345"/>
    </row>
    <row r="14" spans="1:7" x14ac:dyDescent="0.25">
      <c r="A14" s="343">
        <v>10</v>
      </c>
      <c r="B14" s="345">
        <v>39.9</v>
      </c>
      <c r="C14" s="345">
        <v>54.9</v>
      </c>
      <c r="D14" s="345">
        <v>106.8</v>
      </c>
      <c r="E14" s="345"/>
      <c r="F14" s="345"/>
      <c r="G14" s="345"/>
    </row>
    <row r="15" spans="1:7" x14ac:dyDescent="0.25">
      <c r="A15" s="343">
        <v>11</v>
      </c>
      <c r="B15" s="345">
        <v>44.1</v>
      </c>
      <c r="C15" s="345">
        <v>58.1</v>
      </c>
      <c r="D15" s="345">
        <v>101.8</v>
      </c>
      <c r="E15" s="345"/>
      <c r="F15" s="345"/>
      <c r="G15" s="345"/>
    </row>
    <row r="16" spans="1:7" x14ac:dyDescent="0.25">
      <c r="A16" s="343">
        <v>12</v>
      </c>
      <c r="B16" s="345">
        <v>24.9</v>
      </c>
      <c r="C16" s="345">
        <v>63.6</v>
      </c>
      <c r="D16" s="345">
        <v>73.3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45.9</v>
      </c>
      <c r="C20" s="350">
        <v>52.8</v>
      </c>
      <c r="D20" s="350">
        <v>82.8</v>
      </c>
      <c r="E20" s="350">
        <v>41.2</v>
      </c>
      <c r="F20" s="350">
        <v>66.3</v>
      </c>
      <c r="G20" s="350">
        <v>107.3</v>
      </c>
    </row>
    <row r="21" spans="1:7" x14ac:dyDescent="0.25">
      <c r="A21" s="348">
        <v>2</v>
      </c>
      <c r="B21" s="350">
        <v>18.399999999999999</v>
      </c>
      <c r="C21" s="350">
        <v>56.5</v>
      </c>
      <c r="D21" s="350">
        <v>87.2</v>
      </c>
      <c r="E21" s="350">
        <v>35.9</v>
      </c>
      <c r="F21" s="350">
        <v>84.9</v>
      </c>
      <c r="G21" s="350">
        <v>120</v>
      </c>
    </row>
    <row r="22" spans="1:7" x14ac:dyDescent="0.25">
      <c r="A22" s="348">
        <v>3</v>
      </c>
      <c r="B22" s="350">
        <v>43.9</v>
      </c>
      <c r="C22" s="350">
        <v>61.9</v>
      </c>
      <c r="D22" s="350">
        <v>82.3</v>
      </c>
      <c r="E22" s="350">
        <v>37.4</v>
      </c>
      <c r="F22" s="350">
        <v>84.3</v>
      </c>
      <c r="G22" s="350">
        <v>112.4</v>
      </c>
    </row>
    <row r="23" spans="1:7" x14ac:dyDescent="0.25">
      <c r="A23" s="348">
        <v>4</v>
      </c>
      <c r="B23" s="350">
        <v>32.1</v>
      </c>
      <c r="C23" s="350">
        <v>55.3</v>
      </c>
      <c r="D23" s="350">
        <v>103</v>
      </c>
      <c r="E23" s="350">
        <v>41.6</v>
      </c>
      <c r="F23" s="350">
        <v>68.3</v>
      </c>
      <c r="G23" s="350">
        <v>109.2</v>
      </c>
    </row>
    <row r="24" spans="1:7" x14ac:dyDescent="0.25">
      <c r="A24" s="348">
        <v>5</v>
      </c>
      <c r="B24" s="350">
        <v>21.3</v>
      </c>
      <c r="C24" s="350">
        <v>66.3</v>
      </c>
      <c r="D24" s="350">
        <v>98.4</v>
      </c>
      <c r="E24" s="350"/>
      <c r="F24" s="350"/>
      <c r="G24" s="350"/>
    </row>
    <row r="25" spans="1:7" x14ac:dyDescent="0.25">
      <c r="A25" s="348">
        <v>6</v>
      </c>
      <c r="B25" s="350">
        <v>42.5</v>
      </c>
      <c r="C25" s="350">
        <v>65.400000000000006</v>
      </c>
      <c r="D25" s="350">
        <v>101.8</v>
      </c>
      <c r="E25" s="350"/>
      <c r="F25" s="350"/>
      <c r="G25" s="350"/>
    </row>
    <row r="26" spans="1:7" x14ac:dyDescent="0.25">
      <c r="A26" s="348">
        <v>7</v>
      </c>
      <c r="B26" s="350">
        <v>18.100000000000001</v>
      </c>
      <c r="C26" s="350">
        <v>64.099999999999994</v>
      </c>
      <c r="D26" s="350">
        <v>72.900000000000006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39.700000000000003</v>
      </c>
      <c r="C30" s="353">
        <v>57</v>
      </c>
      <c r="D30" s="353">
        <v>76.400000000000006</v>
      </c>
      <c r="E30" s="354">
        <v>63.4</v>
      </c>
      <c r="F30" s="354">
        <v>87.7</v>
      </c>
      <c r="G30" s="354">
        <v>115.8</v>
      </c>
    </row>
    <row r="31" spans="1:7" x14ac:dyDescent="0.25">
      <c r="A31" s="352">
        <v>2</v>
      </c>
      <c r="B31" s="353">
        <v>27.8</v>
      </c>
      <c r="C31" s="353">
        <v>68</v>
      </c>
      <c r="D31" s="353">
        <v>89.9</v>
      </c>
      <c r="E31" s="354">
        <v>32.299999999999997</v>
      </c>
      <c r="F31" s="354">
        <v>91.9</v>
      </c>
      <c r="G31" s="354">
        <v>102.2</v>
      </c>
    </row>
    <row r="32" spans="1:7" x14ac:dyDescent="0.25">
      <c r="A32" s="352">
        <v>3</v>
      </c>
      <c r="B32" s="353">
        <v>40.700000000000003</v>
      </c>
      <c r="C32" s="353">
        <v>62.7</v>
      </c>
      <c r="D32" s="353">
        <v>94.2</v>
      </c>
      <c r="E32" s="354">
        <v>37.299999999999997</v>
      </c>
      <c r="F32" s="354">
        <v>67.5</v>
      </c>
      <c r="G32" s="354">
        <v>109.9</v>
      </c>
    </row>
    <row r="33" spans="1:7" x14ac:dyDescent="0.25">
      <c r="A33" s="352">
        <v>4</v>
      </c>
      <c r="B33" s="353">
        <v>46.8</v>
      </c>
      <c r="C33" s="353">
        <v>56.3</v>
      </c>
      <c r="D33" s="353">
        <v>76.5</v>
      </c>
      <c r="E33" s="354">
        <v>43.6</v>
      </c>
      <c r="F33" s="354">
        <v>80.099999999999994</v>
      </c>
      <c r="G33" s="354">
        <v>105.3</v>
      </c>
    </row>
    <row r="34" spans="1:7" x14ac:dyDescent="0.25">
      <c r="A34" s="352">
        <v>5</v>
      </c>
      <c r="B34" s="353">
        <v>33.5</v>
      </c>
      <c r="C34" s="353">
        <v>57.4</v>
      </c>
      <c r="D34" s="353">
        <v>99.6</v>
      </c>
      <c r="E34" s="353"/>
      <c r="F34" s="353"/>
      <c r="G34" s="353"/>
    </row>
    <row r="35" spans="1:7" x14ac:dyDescent="0.25">
      <c r="A35" s="352">
        <v>6</v>
      </c>
      <c r="B35" s="353">
        <v>22.6</v>
      </c>
      <c r="C35" s="353">
        <v>52.7</v>
      </c>
      <c r="D35" s="353">
        <v>98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47.4</v>
      </c>
      <c r="C39" s="357">
        <v>57.3</v>
      </c>
      <c r="D39" s="357">
        <v>84.5</v>
      </c>
      <c r="E39" s="358">
        <v>37.299999999999997</v>
      </c>
      <c r="F39" s="358">
        <v>66.599999999999994</v>
      </c>
      <c r="G39" s="358">
        <v>116.5</v>
      </c>
    </row>
    <row r="40" spans="1:7" x14ac:dyDescent="0.25">
      <c r="A40" s="356">
        <v>2</v>
      </c>
      <c r="B40" s="357">
        <v>18.8</v>
      </c>
      <c r="C40" s="357">
        <v>63.8</v>
      </c>
      <c r="D40" s="357">
        <v>100</v>
      </c>
      <c r="E40" s="358">
        <v>62.1</v>
      </c>
      <c r="F40" s="358">
        <v>80.400000000000006</v>
      </c>
      <c r="G40" s="358">
        <v>117.9</v>
      </c>
    </row>
    <row r="41" spans="1:7" x14ac:dyDescent="0.25">
      <c r="A41" s="356">
        <v>3</v>
      </c>
      <c r="B41" s="357">
        <v>18.600000000000001</v>
      </c>
      <c r="C41" s="357">
        <v>55</v>
      </c>
      <c r="D41" s="357">
        <v>80.8</v>
      </c>
      <c r="E41" s="357"/>
      <c r="F41" s="358">
        <v>89.1</v>
      </c>
      <c r="G41" s="358">
        <v>103.8</v>
      </c>
    </row>
    <row r="42" spans="1:7" x14ac:dyDescent="0.25">
      <c r="A42" s="356">
        <v>4</v>
      </c>
      <c r="B42" s="357">
        <v>18.100000000000001</v>
      </c>
      <c r="C42" s="357">
        <v>51.7</v>
      </c>
      <c r="D42" s="357">
        <v>76.900000000000006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32.799999999999997</v>
      </c>
      <c r="C46" s="362">
        <v>65.3</v>
      </c>
      <c r="D46" s="362">
        <v>100.4</v>
      </c>
      <c r="E46" s="363">
        <v>30.2</v>
      </c>
      <c r="F46" s="363">
        <v>78.400000000000006</v>
      </c>
      <c r="G46" s="363">
        <v>104.4</v>
      </c>
    </row>
    <row r="47" spans="1:7" ht="14.5" x14ac:dyDescent="0.3">
      <c r="A47" s="360">
        <v>2</v>
      </c>
      <c r="B47" s="362">
        <v>30.6</v>
      </c>
      <c r="C47" s="362">
        <v>62.5</v>
      </c>
      <c r="D47" s="362">
        <v>93.2</v>
      </c>
      <c r="E47" s="363">
        <v>39.1</v>
      </c>
      <c r="F47" s="363">
        <v>74.8</v>
      </c>
      <c r="G47" s="363">
        <v>117.2</v>
      </c>
    </row>
    <row r="48" spans="1:7" ht="14.5" x14ac:dyDescent="0.3">
      <c r="A48" s="360">
        <v>3</v>
      </c>
      <c r="B48" s="362">
        <v>31.2</v>
      </c>
      <c r="C48" s="362">
        <v>51</v>
      </c>
      <c r="D48" s="362">
        <v>92.8</v>
      </c>
      <c r="E48" s="363">
        <v>48.6</v>
      </c>
      <c r="F48" s="363">
        <v>68.099999999999994</v>
      </c>
      <c r="G48" s="363">
        <v>115</v>
      </c>
    </row>
    <row r="49" spans="1:7" ht="14.5" x14ac:dyDescent="0.3">
      <c r="A49" s="360">
        <v>4</v>
      </c>
      <c r="B49" s="362">
        <v>33.5</v>
      </c>
      <c r="C49" s="362">
        <v>61.7</v>
      </c>
      <c r="D49" s="362">
        <v>86.4</v>
      </c>
      <c r="E49" s="363">
        <v>59.9</v>
      </c>
      <c r="F49" s="363">
        <v>91.1</v>
      </c>
      <c r="G49" s="363">
        <v>107.3</v>
      </c>
    </row>
    <row r="50" spans="1:7" ht="14.5" x14ac:dyDescent="0.3">
      <c r="A50" s="360">
        <v>5</v>
      </c>
      <c r="B50" s="362">
        <v>39.700000000000003</v>
      </c>
      <c r="C50" s="362">
        <v>60.4</v>
      </c>
      <c r="D50" s="362">
        <v>97.9</v>
      </c>
      <c r="E50" s="363">
        <v>38.700000000000003</v>
      </c>
      <c r="F50" s="363">
        <v>94</v>
      </c>
      <c r="G50" s="363">
        <v>115.7</v>
      </c>
    </row>
    <row r="51" spans="1:7" ht="14.5" x14ac:dyDescent="0.3">
      <c r="A51" s="360">
        <v>6</v>
      </c>
      <c r="B51" s="362">
        <v>48.3</v>
      </c>
      <c r="C51" s="362">
        <v>63.2</v>
      </c>
      <c r="D51" s="362">
        <v>109.4</v>
      </c>
      <c r="E51" s="363">
        <v>62.5</v>
      </c>
      <c r="F51" s="363">
        <v>82.7</v>
      </c>
      <c r="G51" s="363">
        <v>110.6</v>
      </c>
    </row>
    <row r="52" spans="1:7" ht="14.5" x14ac:dyDescent="0.3">
      <c r="A52" s="360">
        <v>7</v>
      </c>
      <c r="B52" s="362">
        <v>35.9</v>
      </c>
      <c r="C52" s="362">
        <v>51.3</v>
      </c>
      <c r="D52" s="362">
        <v>77.599999999999994</v>
      </c>
      <c r="E52" s="363">
        <v>53</v>
      </c>
      <c r="F52" s="363">
        <v>86</v>
      </c>
      <c r="G52" s="363">
        <v>115</v>
      </c>
    </row>
    <row r="53" spans="1:7" ht="14.5" x14ac:dyDescent="0.3">
      <c r="A53" s="360">
        <v>8</v>
      </c>
      <c r="B53" s="362">
        <v>40</v>
      </c>
      <c r="C53" s="362">
        <v>67</v>
      </c>
      <c r="D53" s="362">
        <v>94.5</v>
      </c>
      <c r="E53" s="363">
        <v>42.4</v>
      </c>
      <c r="F53" s="363">
        <v>85.1</v>
      </c>
      <c r="G53" s="363">
        <v>99.3</v>
      </c>
    </row>
    <row r="54" spans="1:7" ht="14.5" x14ac:dyDescent="0.3">
      <c r="A54" s="360">
        <v>9</v>
      </c>
      <c r="B54" s="362">
        <v>41.2</v>
      </c>
      <c r="C54" s="362">
        <v>65</v>
      </c>
      <c r="D54" s="362">
        <v>91.3</v>
      </c>
      <c r="E54" s="362"/>
      <c r="F54" s="362"/>
      <c r="G54" s="362"/>
    </row>
    <row r="55" spans="1:7" ht="14.5" x14ac:dyDescent="0.3">
      <c r="A55" s="360">
        <v>10</v>
      </c>
      <c r="B55" s="362">
        <v>41.6</v>
      </c>
      <c r="C55" s="362">
        <v>60.1</v>
      </c>
      <c r="D55" s="362">
        <v>75</v>
      </c>
      <c r="E55" s="364"/>
      <c r="F55" s="364"/>
      <c r="G55" s="364"/>
    </row>
    <row r="56" spans="1:7" ht="14.5" x14ac:dyDescent="0.3">
      <c r="A56" s="360">
        <v>11</v>
      </c>
      <c r="B56" s="362">
        <v>26.3</v>
      </c>
      <c r="C56" s="362">
        <v>62.1</v>
      </c>
      <c r="D56" s="362">
        <v>84.8</v>
      </c>
      <c r="E56" s="364"/>
      <c r="F56" s="364"/>
      <c r="G56" s="364"/>
    </row>
    <row r="57" spans="1:7" ht="14.5" x14ac:dyDescent="0.3">
      <c r="A57" s="360">
        <v>12</v>
      </c>
      <c r="B57" s="362">
        <v>43</v>
      </c>
      <c r="C57" s="362">
        <v>60.8</v>
      </c>
      <c r="D57" s="362">
        <v>90.5</v>
      </c>
      <c r="E57" s="364"/>
      <c r="F57" s="364"/>
      <c r="G57" s="364"/>
    </row>
    <row r="58" spans="1:7" ht="14.5" x14ac:dyDescent="0.3">
      <c r="A58" s="360">
        <v>13</v>
      </c>
      <c r="B58" s="362">
        <v>21.2</v>
      </c>
      <c r="C58" s="362">
        <v>68.599999999999994</v>
      </c>
      <c r="D58" s="362">
        <v>84.3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37.299999999999997</v>
      </c>
      <c r="C62" s="368">
        <v>65.400000000000006</v>
      </c>
      <c r="D62" s="368">
        <v>94.1</v>
      </c>
      <c r="E62" s="369">
        <v>41.7</v>
      </c>
      <c r="F62" s="369">
        <v>79</v>
      </c>
      <c r="G62" s="369">
        <v>101.8</v>
      </c>
    </row>
    <row r="63" spans="1:7" ht="14.5" x14ac:dyDescent="0.3">
      <c r="A63" s="366">
        <v>2</v>
      </c>
      <c r="B63" s="368">
        <v>19.5</v>
      </c>
      <c r="C63" s="368">
        <v>61.1</v>
      </c>
      <c r="D63" s="368">
        <v>105.2</v>
      </c>
      <c r="E63" s="369">
        <v>58.2</v>
      </c>
      <c r="F63" s="369">
        <v>87.4</v>
      </c>
      <c r="G63" s="369">
        <v>101.9</v>
      </c>
    </row>
    <row r="64" spans="1:7" ht="14.5" x14ac:dyDescent="0.3">
      <c r="A64" s="366">
        <v>3</v>
      </c>
      <c r="B64" s="368">
        <v>30.3</v>
      </c>
      <c r="C64" s="368">
        <v>52.4</v>
      </c>
      <c r="D64" s="368">
        <v>105.7</v>
      </c>
      <c r="E64" s="369">
        <v>60.4</v>
      </c>
      <c r="F64" s="369">
        <v>92.6</v>
      </c>
      <c r="G64" s="369">
        <v>105.9</v>
      </c>
    </row>
    <row r="65" spans="1:7" ht="14.5" x14ac:dyDescent="0.3">
      <c r="A65" s="366">
        <v>4</v>
      </c>
      <c r="B65" s="368">
        <v>43.9</v>
      </c>
      <c r="C65" s="368">
        <v>67.8</v>
      </c>
      <c r="D65" s="368">
        <v>94.1</v>
      </c>
      <c r="E65" s="369">
        <v>48.2</v>
      </c>
      <c r="F65" s="369">
        <v>70.5</v>
      </c>
      <c r="G65" s="369">
        <v>116.6</v>
      </c>
    </row>
    <row r="66" spans="1:7" ht="14.5" x14ac:dyDescent="0.3">
      <c r="A66" s="366">
        <v>5</v>
      </c>
      <c r="B66" s="368">
        <v>40.6</v>
      </c>
      <c r="C66" s="368">
        <v>61.1</v>
      </c>
      <c r="D66" s="368">
        <v>82.5</v>
      </c>
      <c r="E66" s="369">
        <v>54.1</v>
      </c>
      <c r="F66" s="369">
        <v>72.900000000000006</v>
      </c>
      <c r="G66" s="369">
        <v>102.5</v>
      </c>
    </row>
    <row r="67" spans="1:7" ht="14.5" x14ac:dyDescent="0.3">
      <c r="A67" s="366">
        <v>6</v>
      </c>
      <c r="B67" s="368">
        <v>20.2</v>
      </c>
      <c r="C67" s="368">
        <v>53.8</v>
      </c>
      <c r="D67" s="368">
        <v>95.8</v>
      </c>
      <c r="E67" s="369">
        <v>32.799999999999997</v>
      </c>
      <c r="F67" s="369">
        <v>78.900000000000006</v>
      </c>
      <c r="G67" s="369">
        <v>97.2</v>
      </c>
    </row>
    <row r="68" spans="1:7" ht="14.5" x14ac:dyDescent="0.3">
      <c r="A68" s="366">
        <v>7</v>
      </c>
      <c r="B68" s="368">
        <v>26.4</v>
      </c>
      <c r="C68" s="368">
        <v>66.2</v>
      </c>
      <c r="D68" s="368">
        <v>78.5</v>
      </c>
      <c r="E68" s="369">
        <v>36.299999999999997</v>
      </c>
      <c r="F68" s="369">
        <v>87.9</v>
      </c>
      <c r="G68" s="369">
        <v>96.3</v>
      </c>
    </row>
    <row r="69" spans="1:7" ht="14.5" x14ac:dyDescent="0.3">
      <c r="A69" s="366">
        <v>8</v>
      </c>
      <c r="B69" s="368">
        <v>38.700000000000003</v>
      </c>
      <c r="C69" s="368">
        <v>58.8</v>
      </c>
      <c r="D69" s="368">
        <v>88.1</v>
      </c>
      <c r="E69" s="369">
        <v>36.5</v>
      </c>
      <c r="F69" s="369">
        <v>71.599999999999994</v>
      </c>
      <c r="G69" s="369">
        <v>99.6</v>
      </c>
    </row>
    <row r="70" spans="1:7" ht="14.5" x14ac:dyDescent="0.3">
      <c r="A70" s="366">
        <v>9</v>
      </c>
      <c r="B70" s="368">
        <v>27.7</v>
      </c>
      <c r="C70" s="368">
        <v>51.9</v>
      </c>
      <c r="D70" s="368">
        <v>101.3</v>
      </c>
      <c r="E70" s="369">
        <v>41.7</v>
      </c>
      <c r="F70" s="369">
        <v>86.5</v>
      </c>
      <c r="G70" s="369">
        <v>103.5</v>
      </c>
    </row>
    <row r="71" spans="1:7" ht="14.5" x14ac:dyDescent="0.3">
      <c r="A71" s="366">
        <v>10</v>
      </c>
      <c r="B71" s="368">
        <v>48.6</v>
      </c>
      <c r="C71" s="368">
        <v>57.4</v>
      </c>
      <c r="D71" s="368">
        <v>95.7</v>
      </c>
      <c r="E71" s="369">
        <v>45.5</v>
      </c>
      <c r="F71" s="369">
        <v>88.2</v>
      </c>
      <c r="G71" s="369">
        <v>111.2</v>
      </c>
    </row>
    <row r="72" spans="1:7" ht="14.5" x14ac:dyDescent="0.3">
      <c r="A72" s="366">
        <v>11</v>
      </c>
      <c r="B72" s="368">
        <v>34.4</v>
      </c>
      <c r="C72" s="368">
        <v>63.9</v>
      </c>
      <c r="D72" s="368">
        <v>86.6</v>
      </c>
      <c r="E72" s="367"/>
      <c r="F72" s="367"/>
      <c r="G72" s="367"/>
    </row>
    <row r="73" spans="1:7" ht="14.5" x14ac:dyDescent="0.3">
      <c r="A73" s="366">
        <v>12</v>
      </c>
      <c r="B73" s="368">
        <v>45.9</v>
      </c>
      <c r="C73" s="368">
        <v>54.6</v>
      </c>
      <c r="D73" s="368">
        <v>105.4</v>
      </c>
      <c r="E73" s="367"/>
      <c r="F73" s="367"/>
      <c r="G73" s="367"/>
    </row>
    <row r="74" spans="1:7" ht="14.5" x14ac:dyDescent="0.3">
      <c r="A74" s="366">
        <v>13</v>
      </c>
      <c r="B74" s="368">
        <v>24.5</v>
      </c>
      <c r="C74" s="368">
        <v>57</v>
      </c>
      <c r="D74" s="368">
        <v>97.2</v>
      </c>
      <c r="E74" s="367"/>
      <c r="F74" s="367"/>
      <c r="G74" s="367"/>
    </row>
    <row r="75" spans="1:7" ht="14.5" x14ac:dyDescent="0.3">
      <c r="A75" s="366">
        <v>14</v>
      </c>
      <c r="B75" s="368">
        <v>45.1</v>
      </c>
      <c r="C75" s="368">
        <v>66.099999999999994</v>
      </c>
      <c r="D75" s="368">
        <v>80.400000000000006</v>
      </c>
      <c r="E75" s="367"/>
      <c r="F75" s="367"/>
      <c r="G75" s="367"/>
    </row>
    <row r="76" spans="1:7" ht="14.5" x14ac:dyDescent="0.3">
      <c r="A76" s="366">
        <v>15</v>
      </c>
      <c r="B76" s="368">
        <v>45.3</v>
      </c>
      <c r="C76" s="368">
        <v>66.2</v>
      </c>
      <c r="D76" s="368">
        <v>70.599999999999994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27.3</v>
      </c>
      <c r="C80" s="373">
        <v>59.1</v>
      </c>
      <c r="D80" s="373">
        <v>105.7</v>
      </c>
      <c r="E80" s="374">
        <v>30.1</v>
      </c>
      <c r="F80" s="374">
        <v>80.599999999999994</v>
      </c>
      <c r="G80" s="374">
        <v>109.9</v>
      </c>
    </row>
    <row r="81" spans="1:7" ht="14.5" x14ac:dyDescent="0.3">
      <c r="A81" s="371">
        <v>2</v>
      </c>
      <c r="B81" s="373">
        <v>31.2</v>
      </c>
      <c r="C81" s="373">
        <v>61.5</v>
      </c>
      <c r="D81" s="373">
        <v>80.900000000000006</v>
      </c>
      <c r="E81" s="374">
        <v>54.8</v>
      </c>
      <c r="F81" s="374">
        <v>74.400000000000006</v>
      </c>
      <c r="G81" s="374">
        <v>99.4</v>
      </c>
    </row>
    <row r="82" spans="1:7" ht="14.5" x14ac:dyDescent="0.3">
      <c r="A82" s="371">
        <v>3</v>
      </c>
      <c r="B82" s="373">
        <v>23.9</v>
      </c>
      <c r="C82" s="373">
        <v>50</v>
      </c>
      <c r="D82" s="373">
        <v>109</v>
      </c>
      <c r="E82" s="374">
        <v>54.4</v>
      </c>
      <c r="F82" s="374">
        <v>77.3</v>
      </c>
      <c r="G82" s="374">
        <v>119</v>
      </c>
    </row>
    <row r="83" spans="1:7" ht="14.5" x14ac:dyDescent="0.3">
      <c r="A83" s="371">
        <v>4</v>
      </c>
      <c r="B83" s="373">
        <v>24.5</v>
      </c>
      <c r="C83" s="373">
        <v>57.5</v>
      </c>
      <c r="D83" s="373">
        <v>106.9</v>
      </c>
      <c r="E83" s="374">
        <v>37.299999999999997</v>
      </c>
      <c r="F83" s="374">
        <v>78.900000000000006</v>
      </c>
      <c r="G83" s="374">
        <v>118.4</v>
      </c>
    </row>
    <row r="84" spans="1:7" ht="14.5" x14ac:dyDescent="0.3">
      <c r="A84" s="371">
        <v>5</v>
      </c>
      <c r="B84" s="373">
        <v>42.3</v>
      </c>
      <c r="C84" s="373">
        <v>67.099999999999994</v>
      </c>
      <c r="D84" s="373">
        <v>99.9</v>
      </c>
      <c r="E84" s="374">
        <v>48.1</v>
      </c>
      <c r="F84" s="374">
        <v>82.4</v>
      </c>
      <c r="G84" s="374">
        <v>98.4</v>
      </c>
    </row>
    <row r="85" spans="1:7" ht="14.5" x14ac:dyDescent="0.3">
      <c r="A85" s="371">
        <v>6</v>
      </c>
      <c r="B85" s="373">
        <v>24.8</v>
      </c>
      <c r="C85" s="373">
        <v>61.7</v>
      </c>
      <c r="D85" s="373">
        <v>79.900000000000006</v>
      </c>
      <c r="E85" s="374">
        <v>55.6</v>
      </c>
      <c r="F85" s="374">
        <v>88.5</v>
      </c>
      <c r="G85" s="374">
        <v>115.2</v>
      </c>
    </row>
    <row r="86" spans="1:7" ht="14.5" x14ac:dyDescent="0.3">
      <c r="A86" s="371">
        <v>7</v>
      </c>
      <c r="B86" s="373">
        <v>22.4</v>
      </c>
      <c r="C86" s="373">
        <v>68.8</v>
      </c>
      <c r="D86" s="373">
        <v>77.2</v>
      </c>
      <c r="E86" s="374">
        <v>35.1</v>
      </c>
      <c r="F86" s="374">
        <v>76.900000000000006</v>
      </c>
      <c r="G86" s="374">
        <v>106.4</v>
      </c>
    </row>
    <row r="87" spans="1:7" ht="14.5" x14ac:dyDescent="0.3">
      <c r="A87" s="371">
        <v>8</v>
      </c>
      <c r="B87" s="373">
        <v>24.3</v>
      </c>
      <c r="C87" s="373">
        <v>53.4</v>
      </c>
      <c r="D87" s="373">
        <v>88.4</v>
      </c>
      <c r="E87" s="374">
        <v>30</v>
      </c>
      <c r="F87" s="374">
        <v>67.599999999999994</v>
      </c>
      <c r="G87" s="374">
        <v>106.1</v>
      </c>
    </row>
    <row r="88" spans="1:7" ht="14.5" x14ac:dyDescent="0.3">
      <c r="A88" s="371">
        <v>9</v>
      </c>
      <c r="B88" s="373">
        <v>47.1</v>
      </c>
      <c r="C88" s="373">
        <v>63.9</v>
      </c>
      <c r="D88" s="373">
        <v>100.4</v>
      </c>
      <c r="E88" s="374">
        <v>55</v>
      </c>
      <c r="F88" s="374">
        <v>78.400000000000006</v>
      </c>
      <c r="G88" s="374">
        <v>107.7</v>
      </c>
    </row>
    <row r="89" spans="1:7" ht="14.5" x14ac:dyDescent="0.3">
      <c r="A89" s="371">
        <v>10</v>
      </c>
      <c r="B89" s="373">
        <v>21.2</v>
      </c>
      <c r="C89" s="373">
        <v>58.8</v>
      </c>
      <c r="D89" s="373">
        <v>72.7</v>
      </c>
      <c r="E89" s="374">
        <v>33.9</v>
      </c>
      <c r="F89" s="374">
        <v>72.2</v>
      </c>
      <c r="G89" s="374">
        <v>102</v>
      </c>
    </row>
    <row r="90" spans="1:7" ht="14.5" x14ac:dyDescent="0.3">
      <c r="A90" s="371">
        <v>11</v>
      </c>
      <c r="B90" s="373">
        <v>49.1</v>
      </c>
      <c r="C90" s="373">
        <v>50.2</v>
      </c>
      <c r="D90" s="373">
        <v>76.599999999999994</v>
      </c>
      <c r="E90" s="374">
        <v>38.6</v>
      </c>
      <c r="F90" s="374">
        <v>76.3</v>
      </c>
      <c r="G90" s="374">
        <v>119.5</v>
      </c>
    </row>
    <row r="91" spans="1:7" ht="14.5" x14ac:dyDescent="0.3">
      <c r="A91" s="371">
        <v>12</v>
      </c>
      <c r="B91" s="373">
        <v>19.2</v>
      </c>
      <c r="C91" s="373">
        <v>53.1</v>
      </c>
      <c r="D91" s="373">
        <v>87.8</v>
      </c>
      <c r="E91" s="374">
        <v>59.4</v>
      </c>
      <c r="F91" s="374">
        <v>87.6</v>
      </c>
      <c r="G91" s="374">
        <v>101.7</v>
      </c>
    </row>
    <row r="92" spans="1:7" ht="14.5" x14ac:dyDescent="0.3">
      <c r="A92" s="371">
        <v>13</v>
      </c>
      <c r="B92" s="373">
        <v>44.2</v>
      </c>
      <c r="C92" s="373">
        <v>52.2</v>
      </c>
      <c r="D92" s="373">
        <v>72.900000000000006</v>
      </c>
      <c r="E92" s="375"/>
      <c r="F92" s="375"/>
      <c r="G92" s="375"/>
    </row>
    <row r="93" spans="1:7" ht="14.5" x14ac:dyDescent="0.3">
      <c r="A93" s="371">
        <v>14</v>
      </c>
      <c r="B93" s="373">
        <v>46.6</v>
      </c>
      <c r="C93" s="373">
        <v>59.9</v>
      </c>
      <c r="D93" s="373">
        <v>78</v>
      </c>
      <c r="E93" s="375"/>
      <c r="F93" s="375"/>
      <c r="G93" s="375"/>
    </row>
    <row r="94" spans="1:7" ht="14.5" x14ac:dyDescent="0.3">
      <c r="A94" s="371">
        <v>15</v>
      </c>
      <c r="B94" s="373">
        <v>47.8</v>
      </c>
      <c r="C94" s="373">
        <v>58</v>
      </c>
      <c r="D94" s="373">
        <v>87.7</v>
      </c>
      <c r="E94" s="375"/>
      <c r="F94" s="375"/>
      <c r="G94" s="375"/>
    </row>
    <row r="95" spans="1:7" ht="14.5" x14ac:dyDescent="0.3">
      <c r="A95" s="371">
        <v>16</v>
      </c>
      <c r="B95" s="373">
        <v>31</v>
      </c>
      <c r="C95" s="373">
        <v>62</v>
      </c>
      <c r="D95" s="373">
        <v>99.7</v>
      </c>
      <c r="E95" s="375"/>
      <c r="F95" s="375"/>
      <c r="G95" s="375"/>
    </row>
    <row r="96" spans="1:7" ht="14.5" x14ac:dyDescent="0.3">
      <c r="A96" s="371">
        <v>17</v>
      </c>
      <c r="B96" s="373">
        <v>24.2</v>
      </c>
      <c r="C96" s="373">
        <v>65.5</v>
      </c>
      <c r="D96" s="373">
        <v>98.1</v>
      </c>
      <c r="E96" s="375"/>
      <c r="F96" s="375"/>
      <c r="G96" s="375"/>
    </row>
    <row r="97" spans="1:7" ht="14.5" x14ac:dyDescent="0.3">
      <c r="A97" s="371">
        <v>18</v>
      </c>
      <c r="B97" s="373">
        <v>44.6</v>
      </c>
      <c r="C97" s="373">
        <v>59.1</v>
      </c>
      <c r="D97" s="373">
        <v>83.9</v>
      </c>
      <c r="E97" s="376"/>
      <c r="F97" s="376"/>
      <c r="G97" s="376"/>
    </row>
    <row r="98" spans="1:7" ht="14.5" x14ac:dyDescent="0.3">
      <c r="A98" s="371">
        <v>19</v>
      </c>
      <c r="B98" s="373">
        <v>23.7</v>
      </c>
      <c r="C98" s="373">
        <v>62.6</v>
      </c>
      <c r="D98" s="373">
        <v>86</v>
      </c>
      <c r="E98" s="376"/>
      <c r="F98" s="376"/>
      <c r="G98" s="376"/>
    </row>
    <row r="99" spans="1:7" ht="14.5" x14ac:dyDescent="0.3">
      <c r="A99" s="371">
        <v>20</v>
      </c>
      <c r="B99" s="373">
        <v>25.6</v>
      </c>
      <c r="C99" s="373">
        <v>51.5</v>
      </c>
      <c r="D99" s="373">
        <v>102.1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29.1</v>
      </c>
      <c r="C103" s="367">
        <v>70</v>
      </c>
      <c r="D103" s="367">
        <v>77.7</v>
      </c>
      <c r="E103" s="369">
        <v>44.6</v>
      </c>
      <c r="F103" s="369">
        <v>88.7</v>
      </c>
      <c r="G103" s="369">
        <v>96.1</v>
      </c>
    </row>
    <row r="104" spans="1:7" x14ac:dyDescent="0.25">
      <c r="A104" s="366">
        <v>2</v>
      </c>
      <c r="B104" s="367">
        <v>19.2</v>
      </c>
      <c r="C104" s="367">
        <v>62.4</v>
      </c>
      <c r="D104" s="367">
        <v>95.6</v>
      </c>
      <c r="E104" s="369">
        <v>31.1</v>
      </c>
      <c r="F104" s="369">
        <v>84.7</v>
      </c>
      <c r="G104" s="369">
        <v>113.1</v>
      </c>
    </row>
    <row r="105" spans="1:7" x14ac:dyDescent="0.25">
      <c r="A105" s="366">
        <v>3</v>
      </c>
      <c r="B105" s="367">
        <v>21.7</v>
      </c>
      <c r="C105" s="367">
        <v>57.9</v>
      </c>
      <c r="D105" s="367">
        <v>71.2</v>
      </c>
      <c r="E105" s="369">
        <v>34.9</v>
      </c>
      <c r="F105" s="369">
        <v>78.2</v>
      </c>
      <c r="G105" s="369">
        <v>99.1</v>
      </c>
    </row>
    <row r="106" spans="1:7" x14ac:dyDescent="0.25">
      <c r="A106" s="366">
        <v>4</v>
      </c>
      <c r="B106" s="367">
        <v>29.3</v>
      </c>
      <c r="C106" s="367">
        <v>50.8</v>
      </c>
      <c r="D106" s="367">
        <v>84.7</v>
      </c>
      <c r="E106" s="369">
        <v>44.2</v>
      </c>
      <c r="F106" s="369">
        <v>73.8</v>
      </c>
      <c r="G106" s="369">
        <v>102.1</v>
      </c>
    </row>
    <row r="107" spans="1:7" x14ac:dyDescent="0.25">
      <c r="A107" s="366">
        <v>5</v>
      </c>
      <c r="B107" s="367">
        <v>36.299999999999997</v>
      </c>
      <c r="C107" s="367">
        <v>61.6</v>
      </c>
      <c r="D107" s="367">
        <v>76</v>
      </c>
      <c r="E107" s="369">
        <v>55</v>
      </c>
      <c r="F107" s="369">
        <v>70.8</v>
      </c>
      <c r="G107" s="369">
        <v>107.3</v>
      </c>
    </row>
    <row r="108" spans="1:7" x14ac:dyDescent="0.25">
      <c r="A108" s="366">
        <v>6</v>
      </c>
      <c r="B108" s="367">
        <v>25.5</v>
      </c>
      <c r="C108" s="367">
        <v>69.400000000000006</v>
      </c>
      <c r="D108" s="367">
        <v>80.099999999999994</v>
      </c>
      <c r="E108" s="369">
        <v>42.7</v>
      </c>
      <c r="F108" s="369">
        <v>95</v>
      </c>
      <c r="G108" s="369">
        <v>110.2</v>
      </c>
    </row>
    <row r="109" spans="1:7" x14ac:dyDescent="0.25">
      <c r="A109" s="366">
        <v>7</v>
      </c>
      <c r="B109" s="367">
        <v>33</v>
      </c>
      <c r="C109" s="367">
        <v>64.8</v>
      </c>
      <c r="D109" s="367">
        <v>101.1</v>
      </c>
      <c r="E109" s="367"/>
      <c r="F109" s="367"/>
      <c r="G109" s="367"/>
    </row>
    <row r="110" spans="1:7" x14ac:dyDescent="0.25">
      <c r="A110" s="366">
        <v>8</v>
      </c>
      <c r="B110" s="367">
        <v>39.700000000000003</v>
      </c>
      <c r="C110" s="367">
        <v>61.2</v>
      </c>
      <c r="D110" s="367">
        <v>88.7</v>
      </c>
      <c r="E110" s="367"/>
      <c r="F110" s="367"/>
      <c r="G110" s="367"/>
    </row>
    <row r="111" spans="1:7" x14ac:dyDescent="0.25">
      <c r="A111" s="366">
        <v>9</v>
      </c>
      <c r="B111" s="367">
        <v>40.4</v>
      </c>
      <c r="C111" s="367">
        <v>53.4</v>
      </c>
      <c r="D111" s="367">
        <v>98.7</v>
      </c>
      <c r="E111" s="367"/>
      <c r="F111" s="367"/>
      <c r="G111" s="367"/>
    </row>
    <row r="112" spans="1:7" x14ac:dyDescent="0.25">
      <c r="A112" s="366">
        <v>10</v>
      </c>
      <c r="B112" s="367">
        <v>33</v>
      </c>
      <c r="C112" s="367">
        <v>62.8</v>
      </c>
      <c r="D112" s="367">
        <v>97.6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102.7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39.6</v>
      </c>
      <c r="C117" s="357">
        <v>58.8</v>
      </c>
      <c r="D117" s="357">
        <v>77.3</v>
      </c>
      <c r="E117" s="357"/>
      <c r="F117" s="357"/>
      <c r="G117" s="357"/>
    </row>
    <row r="118" spans="1:7" x14ac:dyDescent="0.25">
      <c r="A118" s="356">
        <v>2</v>
      </c>
      <c r="B118" s="357">
        <v>40.4</v>
      </c>
      <c r="C118" s="357">
        <v>67.8</v>
      </c>
      <c r="D118" s="357">
        <v>72.900000000000006</v>
      </c>
      <c r="E118" s="357"/>
      <c r="F118" s="357"/>
      <c r="G118" s="357"/>
    </row>
    <row r="119" spans="1:7" x14ac:dyDescent="0.25">
      <c r="A119" s="356">
        <v>3</v>
      </c>
      <c r="B119" s="357">
        <v>27.2</v>
      </c>
      <c r="C119" s="357">
        <v>67.2</v>
      </c>
      <c r="D119" s="357">
        <v>73.2</v>
      </c>
      <c r="E119" s="357"/>
      <c r="F119" s="357"/>
      <c r="G119" s="357"/>
    </row>
    <row r="120" spans="1:7" x14ac:dyDescent="0.25">
      <c r="A120" s="356">
        <v>4</v>
      </c>
      <c r="B120" s="357">
        <v>30.8</v>
      </c>
      <c r="C120" s="357">
        <v>58.8</v>
      </c>
      <c r="D120" s="357">
        <v>93.5</v>
      </c>
      <c r="E120" s="357"/>
      <c r="F120" s="357"/>
      <c r="G120" s="357"/>
    </row>
    <row r="121" spans="1:7" x14ac:dyDescent="0.25">
      <c r="A121" s="356">
        <v>5</v>
      </c>
      <c r="B121" s="357">
        <v>45.9</v>
      </c>
      <c r="C121" s="357">
        <v>57.7</v>
      </c>
      <c r="D121" s="357">
        <v>96.9</v>
      </c>
      <c r="E121" s="357"/>
      <c r="F121" s="357"/>
      <c r="G121" s="357"/>
    </row>
    <row r="122" spans="1:7" x14ac:dyDescent="0.25">
      <c r="A122" s="356">
        <v>6</v>
      </c>
      <c r="B122" s="357">
        <v>35</v>
      </c>
      <c r="C122" s="357">
        <v>69.099999999999994</v>
      </c>
      <c r="D122" s="357">
        <v>75.400000000000006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62.7</v>
      </c>
      <c r="C127" s="380">
        <f>ROUNDDOWN(AVERAGE(E5:G12),1)</f>
        <v>79.2</v>
      </c>
      <c r="D127" s="378">
        <v>19899</v>
      </c>
      <c r="E127" s="378">
        <v>12621</v>
      </c>
      <c r="F127" s="378">
        <f>B127*D127</f>
        <v>1247667.3</v>
      </c>
      <c r="G127" s="378">
        <f>C127*E127</f>
        <v>999583.20000000007</v>
      </c>
    </row>
    <row r="128" spans="1:7" x14ac:dyDescent="0.25">
      <c r="A128" s="379" t="str">
        <f>A17</f>
        <v>Chongzuo Zuozhou swine Farm</v>
      </c>
      <c r="B128" s="380">
        <f>ROUNDDOWN(AVERAGE(B20:D26),1)</f>
        <v>60.6</v>
      </c>
      <c r="C128" s="380">
        <f>ROUNDDOWN(AVERAGE(E20:G23),1)</f>
        <v>75.7</v>
      </c>
      <c r="D128" s="378">
        <v>10998</v>
      </c>
      <c r="E128" s="378">
        <v>6945</v>
      </c>
      <c r="F128" s="378">
        <f t="shared" ref="F128:G135" si="0">B128*D128</f>
        <v>666478.80000000005</v>
      </c>
      <c r="G128" s="378">
        <f>C128*E128</f>
        <v>525736.5</v>
      </c>
    </row>
    <row r="129" spans="1:7" x14ac:dyDescent="0.25">
      <c r="A129" s="379" t="str">
        <f>A27</f>
        <v>Tianyang Wucun swine Farm</v>
      </c>
      <c r="B129" s="380">
        <f>ROUNDDOWN(AVERAGE(B30:D35),1)</f>
        <v>61.1</v>
      </c>
      <c r="C129" s="380">
        <f>ROUNDDOWN(AVERAGE(E30:G35),1)</f>
        <v>78</v>
      </c>
      <c r="D129" s="378">
        <v>9501</v>
      </c>
      <c r="E129" s="378">
        <v>6022</v>
      </c>
      <c r="F129" s="378">
        <f t="shared" si="0"/>
        <v>580511.1</v>
      </c>
      <c r="G129" s="378">
        <f>C129*E129</f>
        <v>469716</v>
      </c>
    </row>
    <row r="130" spans="1:7" x14ac:dyDescent="0.25">
      <c r="A130" s="379" t="str">
        <f>A36</f>
        <v>Quanzhou Dengjiabu swine Farm</v>
      </c>
      <c r="B130" s="380">
        <f>ROUNDDOWN(AVERAGE(B39:D42),1)</f>
        <v>56</v>
      </c>
      <c r="C130" s="380">
        <f>ROUNDDOWN(AVERAGE(E39:G42),1)</f>
        <v>84.2</v>
      </c>
      <c r="D130" s="378">
        <v>5446</v>
      </c>
      <c r="E130" s="378">
        <v>3371</v>
      </c>
      <c r="F130" s="378">
        <f t="shared" si="0"/>
        <v>304976</v>
      </c>
      <c r="G130" s="378">
        <f t="shared" si="0"/>
        <v>283838.2</v>
      </c>
    </row>
    <row r="131" spans="1:7" x14ac:dyDescent="0.25">
      <c r="A131" s="379" t="str">
        <f>A43</f>
        <v>Chongzuo Quming swine Farm</v>
      </c>
      <c r="B131" s="380">
        <f>ROUNDDOWN(AVERAGE(B46:D58),1)</f>
        <v>62.6</v>
      </c>
      <c r="C131" s="380">
        <f>ROUNDDOWN(AVERAGE(E46:G53),1)</f>
        <v>79.900000000000006</v>
      </c>
      <c r="D131" s="378">
        <v>22352</v>
      </c>
      <c r="E131" s="378">
        <v>13994</v>
      </c>
      <c r="F131" s="378">
        <f t="shared" si="0"/>
        <v>1399235.2</v>
      </c>
      <c r="G131" s="378">
        <f t="shared" si="0"/>
        <v>1118120.6000000001</v>
      </c>
    </row>
    <row r="132" spans="1:7" x14ac:dyDescent="0.25">
      <c r="A132" s="379" t="str">
        <f>A59</f>
        <v>Jingxi swine Farm</v>
      </c>
      <c r="B132" s="380">
        <f>ROUNDDOWN(AVERAGE(B62:D76),1)</f>
        <v>62.5</v>
      </c>
      <c r="C132" s="380">
        <f>ROUNDDOWN(AVERAGE(E62:G71),1)</f>
        <v>76.900000000000006</v>
      </c>
      <c r="D132" s="378">
        <v>26116</v>
      </c>
      <c r="E132" s="378">
        <v>15907</v>
      </c>
      <c r="F132" s="378">
        <f t="shared" si="0"/>
        <v>1632250</v>
      </c>
      <c r="G132" s="378">
        <f t="shared" si="0"/>
        <v>1223248.3</v>
      </c>
    </row>
    <row r="133" spans="1:7" x14ac:dyDescent="0.25">
      <c r="A133" s="379" t="str">
        <f>A77</f>
        <v>Liucheng Mashan swine Farm</v>
      </c>
      <c r="B133" s="380">
        <f>ROUNDDOWN(AVERAGE(B80:D99),1)</f>
        <v>60.2</v>
      </c>
      <c r="C133" s="378">
        <f>ROUNDDOWN(AVERAGE(E80:G91),1)</f>
        <v>77.099999999999994</v>
      </c>
      <c r="D133" s="378">
        <v>33500</v>
      </c>
      <c r="E133" s="378">
        <v>20660</v>
      </c>
      <c r="F133" s="378">
        <f t="shared" si="0"/>
        <v>2016700</v>
      </c>
      <c r="G133" s="378">
        <f t="shared" si="0"/>
        <v>1592885.9999999998</v>
      </c>
    </row>
    <row r="134" spans="1:7" x14ac:dyDescent="0.25">
      <c r="A134" s="379" t="str">
        <f>A100</f>
        <v>Tengxian Tianping swine Farm</v>
      </c>
      <c r="B134" s="380">
        <f>ROUNDDOWN(AVERAGE(B103:D113),1)</f>
        <v>61.1</v>
      </c>
      <c r="C134" s="378">
        <f>ROUNDDOWN(AVERAGE(E103:G108),1)</f>
        <v>76.2</v>
      </c>
      <c r="D134" s="378">
        <v>16255</v>
      </c>
      <c r="E134" s="378">
        <v>10385</v>
      </c>
      <c r="F134" s="378">
        <f t="shared" si="0"/>
        <v>993180.5</v>
      </c>
      <c r="G134" s="378">
        <f t="shared" si="0"/>
        <v>791337</v>
      </c>
    </row>
    <row r="135" spans="1:7" x14ac:dyDescent="0.25">
      <c r="A135" s="379" t="str">
        <f>A114</f>
        <v>Debao Chengguan swine Farm</v>
      </c>
      <c r="B135" s="380">
        <f>ROUNDDOWN(AVERAGE(B117:D122),1)</f>
        <v>60.4</v>
      </c>
      <c r="C135" s="378">
        <v>0</v>
      </c>
      <c r="D135" s="378">
        <v>8758</v>
      </c>
      <c r="E135" s="378">
        <v>0</v>
      </c>
      <c r="F135" s="378">
        <f t="shared" si="0"/>
        <v>528983.19999999995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89905</v>
      </c>
      <c r="F136" s="378">
        <f>SUM(F127:F135)</f>
        <v>9369982.0999999996</v>
      </c>
      <c r="G136" s="378">
        <f>SUM(G127:G134)</f>
        <v>7004465.8000000007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61.3</v>
      </c>
      <c r="D140" s="381">
        <f>ROUNDDOWN(G136/E136,1)</f>
        <v>77.900000000000006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88D3-1475-4647-89E9-6E96B3B7AC8B}">
  <dimension ref="A1:G140"/>
  <sheetViews>
    <sheetView topLeftCell="A34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44.3</v>
      </c>
      <c r="C5" s="345">
        <v>61.9</v>
      </c>
      <c r="D5" s="345">
        <v>75.7</v>
      </c>
      <c r="E5" s="346">
        <v>46.6</v>
      </c>
      <c r="F5" s="346">
        <v>88.4</v>
      </c>
      <c r="G5" s="346">
        <v>105.8</v>
      </c>
    </row>
    <row r="6" spans="1:7" x14ac:dyDescent="0.25">
      <c r="A6" s="343">
        <v>2</v>
      </c>
      <c r="B6" s="345">
        <v>26.2</v>
      </c>
      <c r="C6" s="345">
        <v>67</v>
      </c>
      <c r="D6" s="345">
        <v>86.8</v>
      </c>
      <c r="E6" s="346">
        <v>51.5</v>
      </c>
      <c r="F6" s="346">
        <v>80</v>
      </c>
      <c r="G6" s="346">
        <v>113.7</v>
      </c>
    </row>
    <row r="7" spans="1:7" x14ac:dyDescent="0.25">
      <c r="A7" s="343">
        <v>3</v>
      </c>
      <c r="B7" s="345">
        <v>22.8</v>
      </c>
      <c r="C7" s="345">
        <v>60.2</v>
      </c>
      <c r="D7" s="345">
        <v>91.6</v>
      </c>
      <c r="E7" s="346">
        <v>53.2</v>
      </c>
      <c r="F7" s="346">
        <v>66.099999999999994</v>
      </c>
      <c r="G7" s="346">
        <v>99.8</v>
      </c>
    </row>
    <row r="8" spans="1:7" x14ac:dyDescent="0.25">
      <c r="A8" s="343">
        <v>4</v>
      </c>
      <c r="B8" s="345">
        <v>37</v>
      </c>
      <c r="C8" s="345">
        <v>67.599999999999994</v>
      </c>
      <c r="D8" s="345">
        <v>97.2</v>
      </c>
      <c r="E8" s="346">
        <v>33.700000000000003</v>
      </c>
      <c r="F8" s="346">
        <v>73.5</v>
      </c>
      <c r="G8" s="346">
        <v>100.1</v>
      </c>
    </row>
    <row r="9" spans="1:7" x14ac:dyDescent="0.25">
      <c r="A9" s="343">
        <v>5</v>
      </c>
      <c r="B9" s="345">
        <v>48.2</v>
      </c>
      <c r="C9" s="345">
        <v>66.8</v>
      </c>
      <c r="D9" s="345">
        <v>97.6</v>
      </c>
      <c r="E9" s="346">
        <v>49.8</v>
      </c>
      <c r="F9" s="346">
        <v>74.8</v>
      </c>
      <c r="G9" s="346">
        <v>104.1</v>
      </c>
    </row>
    <row r="10" spans="1:7" x14ac:dyDescent="0.25">
      <c r="A10" s="343">
        <v>6</v>
      </c>
      <c r="B10" s="345">
        <v>37.1</v>
      </c>
      <c r="C10" s="345">
        <v>64.599999999999994</v>
      </c>
      <c r="D10" s="345">
        <v>93</v>
      </c>
      <c r="E10" s="346">
        <v>49.4</v>
      </c>
      <c r="F10" s="346">
        <v>84.8</v>
      </c>
      <c r="G10" s="346">
        <v>107.1</v>
      </c>
    </row>
    <row r="11" spans="1:7" x14ac:dyDescent="0.25">
      <c r="A11" s="343">
        <v>7</v>
      </c>
      <c r="B11" s="345">
        <v>48.7</v>
      </c>
      <c r="C11" s="345">
        <v>56</v>
      </c>
      <c r="D11" s="345">
        <v>83.7</v>
      </c>
      <c r="E11" s="346">
        <v>60.6</v>
      </c>
      <c r="F11" s="346">
        <v>88.3</v>
      </c>
      <c r="G11" s="346">
        <v>104</v>
      </c>
    </row>
    <row r="12" spans="1:7" x14ac:dyDescent="0.25">
      <c r="A12" s="343">
        <v>8</v>
      </c>
      <c r="B12" s="345">
        <v>48.2</v>
      </c>
      <c r="C12" s="345">
        <v>52.4</v>
      </c>
      <c r="D12" s="345">
        <v>83</v>
      </c>
      <c r="E12" s="346">
        <v>41.8</v>
      </c>
      <c r="F12" s="346">
        <v>92.2</v>
      </c>
      <c r="G12" s="346">
        <v>110.8</v>
      </c>
    </row>
    <row r="13" spans="1:7" x14ac:dyDescent="0.25">
      <c r="A13" s="343">
        <v>9</v>
      </c>
      <c r="B13" s="345">
        <v>30.6</v>
      </c>
      <c r="C13" s="345">
        <v>62.1</v>
      </c>
      <c r="D13" s="345">
        <v>88.9</v>
      </c>
      <c r="E13" s="345"/>
      <c r="F13" s="345"/>
      <c r="G13" s="345"/>
    </row>
    <row r="14" spans="1:7" x14ac:dyDescent="0.25">
      <c r="A14" s="343">
        <v>10</v>
      </c>
      <c r="B14" s="345">
        <v>48.2</v>
      </c>
      <c r="C14" s="345">
        <v>67.2</v>
      </c>
      <c r="D14" s="345">
        <v>98.4</v>
      </c>
      <c r="E14" s="345"/>
      <c r="F14" s="345"/>
      <c r="G14" s="345"/>
    </row>
    <row r="15" spans="1:7" x14ac:dyDescent="0.25">
      <c r="A15" s="343">
        <v>11</v>
      </c>
      <c r="B15" s="345">
        <v>49</v>
      </c>
      <c r="C15" s="345">
        <v>68.400000000000006</v>
      </c>
      <c r="D15" s="345">
        <v>89.9</v>
      </c>
      <c r="E15" s="345"/>
      <c r="F15" s="345"/>
      <c r="G15" s="345"/>
    </row>
    <row r="16" spans="1:7" x14ac:dyDescent="0.25">
      <c r="A16" s="343">
        <v>12</v>
      </c>
      <c r="B16" s="345">
        <v>31.3</v>
      </c>
      <c r="C16" s="345">
        <v>64.7</v>
      </c>
      <c r="D16" s="345">
        <v>98.8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31.3</v>
      </c>
      <c r="C20" s="350">
        <v>69.599999999999994</v>
      </c>
      <c r="D20" s="350">
        <v>89.2</v>
      </c>
      <c r="E20" s="350">
        <v>39.5</v>
      </c>
      <c r="F20" s="350">
        <v>86.4</v>
      </c>
      <c r="G20" s="350">
        <v>106</v>
      </c>
    </row>
    <row r="21" spans="1:7" x14ac:dyDescent="0.25">
      <c r="A21" s="348">
        <v>2</v>
      </c>
      <c r="B21" s="350">
        <v>47.3</v>
      </c>
      <c r="C21" s="350">
        <v>56.5</v>
      </c>
      <c r="D21" s="350">
        <v>95.7</v>
      </c>
      <c r="E21" s="350">
        <v>58.9</v>
      </c>
      <c r="F21" s="350">
        <v>84.9</v>
      </c>
      <c r="G21" s="350">
        <v>116.1</v>
      </c>
    </row>
    <row r="22" spans="1:7" x14ac:dyDescent="0.25">
      <c r="A22" s="348">
        <v>3</v>
      </c>
      <c r="B22" s="350">
        <v>33.1</v>
      </c>
      <c r="C22" s="350">
        <v>60.5</v>
      </c>
      <c r="D22" s="350">
        <v>106.5</v>
      </c>
      <c r="E22" s="350">
        <v>46.2</v>
      </c>
      <c r="F22" s="350">
        <v>77</v>
      </c>
      <c r="G22" s="350">
        <v>99.4</v>
      </c>
    </row>
    <row r="23" spans="1:7" x14ac:dyDescent="0.25">
      <c r="A23" s="348">
        <v>4</v>
      </c>
      <c r="B23" s="350">
        <v>38.799999999999997</v>
      </c>
      <c r="C23" s="350">
        <v>50.9</v>
      </c>
      <c r="D23" s="350">
        <v>109.4</v>
      </c>
      <c r="E23" s="350">
        <v>54.6</v>
      </c>
      <c r="F23" s="350">
        <v>84.1</v>
      </c>
      <c r="G23" s="350">
        <v>119.7</v>
      </c>
    </row>
    <row r="24" spans="1:7" x14ac:dyDescent="0.25">
      <c r="A24" s="348">
        <v>5</v>
      </c>
      <c r="B24" s="350">
        <v>24.5</v>
      </c>
      <c r="C24" s="350">
        <v>55.5</v>
      </c>
      <c r="D24" s="350">
        <v>92.1</v>
      </c>
      <c r="E24" s="350"/>
      <c r="F24" s="350"/>
      <c r="G24" s="350"/>
    </row>
    <row r="25" spans="1:7" x14ac:dyDescent="0.25">
      <c r="A25" s="348">
        <v>6</v>
      </c>
      <c r="B25" s="350">
        <v>24.5</v>
      </c>
      <c r="C25" s="350">
        <v>63.2</v>
      </c>
      <c r="D25" s="350">
        <v>97.5</v>
      </c>
      <c r="E25" s="350"/>
      <c r="F25" s="350"/>
      <c r="G25" s="350"/>
    </row>
    <row r="26" spans="1:7" x14ac:dyDescent="0.25">
      <c r="A26" s="348">
        <v>7</v>
      </c>
      <c r="B26" s="350">
        <v>21.5</v>
      </c>
      <c r="C26" s="350">
        <v>59</v>
      </c>
      <c r="D26" s="350">
        <v>85.8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46.7</v>
      </c>
      <c r="C30" s="353">
        <v>58.3</v>
      </c>
      <c r="D30" s="353">
        <v>104.8</v>
      </c>
      <c r="E30" s="354">
        <v>43.2</v>
      </c>
      <c r="F30" s="354">
        <v>88.5</v>
      </c>
      <c r="G30" s="354">
        <v>101.7</v>
      </c>
    </row>
    <row r="31" spans="1:7" x14ac:dyDescent="0.25">
      <c r="A31" s="352">
        <v>2</v>
      </c>
      <c r="B31" s="353">
        <v>40.9</v>
      </c>
      <c r="C31" s="353">
        <v>68.099999999999994</v>
      </c>
      <c r="D31" s="353">
        <v>106</v>
      </c>
      <c r="E31" s="354">
        <v>51.5</v>
      </c>
      <c r="F31" s="354">
        <v>80.8</v>
      </c>
      <c r="G31" s="354">
        <v>109.3</v>
      </c>
    </row>
    <row r="32" spans="1:7" x14ac:dyDescent="0.25">
      <c r="A32" s="352">
        <v>3</v>
      </c>
      <c r="B32" s="353">
        <v>42.2</v>
      </c>
      <c r="C32" s="353">
        <v>62.1</v>
      </c>
      <c r="D32" s="353">
        <v>75.2</v>
      </c>
      <c r="E32" s="354">
        <v>44.6</v>
      </c>
      <c r="F32" s="354">
        <v>94.1</v>
      </c>
      <c r="G32" s="354">
        <v>98.7</v>
      </c>
    </row>
    <row r="33" spans="1:7" x14ac:dyDescent="0.25">
      <c r="A33" s="352">
        <v>4</v>
      </c>
      <c r="B33" s="353">
        <v>40.6</v>
      </c>
      <c r="C33" s="353">
        <v>64.099999999999994</v>
      </c>
      <c r="D33" s="353">
        <v>90.4</v>
      </c>
      <c r="E33" s="354">
        <v>33.1</v>
      </c>
      <c r="F33" s="354">
        <v>94.3</v>
      </c>
      <c r="G33" s="354">
        <v>118.1</v>
      </c>
    </row>
    <row r="34" spans="1:7" x14ac:dyDescent="0.25">
      <c r="A34" s="352">
        <v>5</v>
      </c>
      <c r="B34" s="353">
        <v>44.8</v>
      </c>
      <c r="C34" s="353">
        <v>64.7</v>
      </c>
      <c r="D34" s="353">
        <v>78.8</v>
      </c>
      <c r="E34" s="353"/>
      <c r="F34" s="353"/>
      <c r="G34" s="353"/>
    </row>
    <row r="35" spans="1:7" x14ac:dyDescent="0.25">
      <c r="A35" s="352">
        <v>6</v>
      </c>
      <c r="B35" s="353">
        <v>19.899999999999999</v>
      </c>
      <c r="C35" s="353">
        <v>55.5</v>
      </c>
      <c r="D35" s="353">
        <v>85.8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35.6</v>
      </c>
      <c r="C39" s="357">
        <v>55.7</v>
      </c>
      <c r="D39" s="357">
        <v>74.400000000000006</v>
      </c>
      <c r="E39" s="358">
        <v>56.8</v>
      </c>
      <c r="F39" s="358">
        <v>72.5</v>
      </c>
      <c r="G39" s="358">
        <v>116.9</v>
      </c>
    </row>
    <row r="40" spans="1:7" x14ac:dyDescent="0.25">
      <c r="A40" s="356">
        <v>2</v>
      </c>
      <c r="B40" s="357">
        <v>23.4</v>
      </c>
      <c r="C40" s="357">
        <v>52.5</v>
      </c>
      <c r="D40" s="357">
        <v>96</v>
      </c>
      <c r="E40" s="358">
        <v>46.8</v>
      </c>
      <c r="F40" s="358">
        <v>87.4</v>
      </c>
      <c r="G40" s="358">
        <v>112.5</v>
      </c>
    </row>
    <row r="41" spans="1:7" x14ac:dyDescent="0.25">
      <c r="A41" s="356">
        <v>3</v>
      </c>
      <c r="B41" s="357">
        <v>40.6</v>
      </c>
      <c r="C41" s="357">
        <v>60.7</v>
      </c>
      <c r="D41" s="357">
        <v>101.1</v>
      </c>
      <c r="E41" s="357"/>
      <c r="F41" s="358">
        <v>80.900000000000006</v>
      </c>
      <c r="G41" s="358">
        <v>118.5</v>
      </c>
    </row>
    <row r="42" spans="1:7" x14ac:dyDescent="0.25">
      <c r="A42" s="356">
        <v>4</v>
      </c>
      <c r="B42" s="357">
        <v>44.9</v>
      </c>
      <c r="C42" s="357">
        <v>59.4</v>
      </c>
      <c r="D42" s="357">
        <v>102.3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40.6</v>
      </c>
      <c r="C46" s="362">
        <v>55</v>
      </c>
      <c r="D46" s="362">
        <v>83.8</v>
      </c>
      <c r="E46" s="363">
        <v>36.5</v>
      </c>
      <c r="F46" s="363">
        <v>74.099999999999994</v>
      </c>
      <c r="G46" s="363">
        <v>114.6</v>
      </c>
    </row>
    <row r="47" spans="1:7" ht="14.5" x14ac:dyDescent="0.3">
      <c r="A47" s="360">
        <v>2</v>
      </c>
      <c r="B47" s="362">
        <v>22.2</v>
      </c>
      <c r="C47" s="362">
        <v>69.099999999999994</v>
      </c>
      <c r="D47" s="362">
        <v>92</v>
      </c>
      <c r="E47" s="363">
        <v>39.9</v>
      </c>
      <c r="F47" s="363">
        <v>67.900000000000006</v>
      </c>
      <c r="G47" s="363">
        <v>108.3</v>
      </c>
    </row>
    <row r="48" spans="1:7" ht="14.5" x14ac:dyDescent="0.3">
      <c r="A48" s="360">
        <v>3</v>
      </c>
      <c r="B48" s="362">
        <v>19.100000000000001</v>
      </c>
      <c r="C48" s="362">
        <v>55.5</v>
      </c>
      <c r="D48" s="362">
        <v>84.1</v>
      </c>
      <c r="E48" s="363">
        <v>37.200000000000003</v>
      </c>
      <c r="F48" s="363">
        <v>68.2</v>
      </c>
      <c r="G48" s="363">
        <v>103.7</v>
      </c>
    </row>
    <row r="49" spans="1:7" ht="14.5" x14ac:dyDescent="0.3">
      <c r="A49" s="360">
        <v>4</v>
      </c>
      <c r="B49" s="362">
        <v>22.6</v>
      </c>
      <c r="C49" s="362">
        <v>67.7</v>
      </c>
      <c r="D49" s="362">
        <v>71.400000000000006</v>
      </c>
      <c r="E49" s="363">
        <v>53.9</v>
      </c>
      <c r="F49" s="363">
        <v>74.8</v>
      </c>
      <c r="G49" s="363">
        <v>113.8</v>
      </c>
    </row>
    <row r="50" spans="1:7" ht="14.5" x14ac:dyDescent="0.3">
      <c r="A50" s="360">
        <v>5</v>
      </c>
      <c r="B50" s="362">
        <v>43.3</v>
      </c>
      <c r="C50" s="362">
        <v>61.7</v>
      </c>
      <c r="D50" s="362">
        <v>102.4</v>
      </c>
      <c r="E50" s="363">
        <v>42</v>
      </c>
      <c r="F50" s="363">
        <v>91.4</v>
      </c>
      <c r="G50" s="363">
        <v>104</v>
      </c>
    </row>
    <row r="51" spans="1:7" ht="14.5" x14ac:dyDescent="0.3">
      <c r="A51" s="360">
        <v>6</v>
      </c>
      <c r="B51" s="362">
        <v>45.4</v>
      </c>
      <c r="C51" s="362">
        <v>55.1</v>
      </c>
      <c r="D51" s="362">
        <v>84.6</v>
      </c>
      <c r="E51" s="363">
        <v>44.1</v>
      </c>
      <c r="F51" s="363">
        <v>68.3</v>
      </c>
      <c r="G51" s="363">
        <v>97</v>
      </c>
    </row>
    <row r="52" spans="1:7" ht="14.5" x14ac:dyDescent="0.3">
      <c r="A52" s="360">
        <v>7</v>
      </c>
      <c r="B52" s="362">
        <v>29.4</v>
      </c>
      <c r="C52" s="362">
        <v>60.7</v>
      </c>
      <c r="D52" s="362">
        <v>99.8</v>
      </c>
      <c r="E52" s="363">
        <v>38.299999999999997</v>
      </c>
      <c r="F52" s="363">
        <v>92.3</v>
      </c>
      <c r="G52" s="363">
        <v>107.6</v>
      </c>
    </row>
    <row r="53" spans="1:7" ht="14.5" x14ac:dyDescent="0.3">
      <c r="A53" s="360">
        <v>8</v>
      </c>
      <c r="B53" s="362">
        <v>32.1</v>
      </c>
      <c r="C53" s="362">
        <v>64.8</v>
      </c>
      <c r="D53" s="362">
        <v>103.2</v>
      </c>
      <c r="E53" s="363">
        <v>43.6</v>
      </c>
      <c r="F53" s="363">
        <v>84.1</v>
      </c>
      <c r="G53" s="363">
        <v>105.5</v>
      </c>
    </row>
    <row r="54" spans="1:7" ht="14.5" x14ac:dyDescent="0.3">
      <c r="A54" s="360">
        <v>9</v>
      </c>
      <c r="B54" s="362">
        <v>32.1</v>
      </c>
      <c r="C54" s="362">
        <v>58.7</v>
      </c>
      <c r="D54" s="362">
        <v>94.6</v>
      </c>
      <c r="E54" s="362"/>
      <c r="F54" s="362"/>
      <c r="G54" s="362"/>
    </row>
    <row r="55" spans="1:7" ht="14.5" x14ac:dyDescent="0.3">
      <c r="A55" s="360">
        <v>10</v>
      </c>
      <c r="B55" s="362">
        <v>36.200000000000003</v>
      </c>
      <c r="C55" s="362">
        <v>61.8</v>
      </c>
      <c r="D55" s="362">
        <v>83.7</v>
      </c>
      <c r="E55" s="364"/>
      <c r="F55" s="364"/>
      <c r="G55" s="364"/>
    </row>
    <row r="56" spans="1:7" ht="14.5" x14ac:dyDescent="0.3">
      <c r="A56" s="360">
        <v>11</v>
      </c>
      <c r="B56" s="362">
        <v>23.8</v>
      </c>
      <c r="C56" s="362">
        <v>53.8</v>
      </c>
      <c r="D56" s="362">
        <v>98.8</v>
      </c>
      <c r="E56" s="364"/>
      <c r="F56" s="364"/>
      <c r="G56" s="364"/>
    </row>
    <row r="57" spans="1:7" ht="14.5" x14ac:dyDescent="0.3">
      <c r="A57" s="360">
        <v>12</v>
      </c>
      <c r="B57" s="362">
        <v>46.5</v>
      </c>
      <c r="C57" s="362">
        <v>57.2</v>
      </c>
      <c r="D57" s="362">
        <v>109.7</v>
      </c>
      <c r="E57" s="364"/>
      <c r="F57" s="364"/>
      <c r="G57" s="364"/>
    </row>
    <row r="58" spans="1:7" ht="14.5" x14ac:dyDescent="0.3">
      <c r="A58" s="360">
        <v>13</v>
      </c>
      <c r="B58" s="362">
        <v>38.299999999999997</v>
      </c>
      <c r="C58" s="362">
        <v>56.7</v>
      </c>
      <c r="D58" s="362">
        <v>94.6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37.4</v>
      </c>
      <c r="C62" s="368">
        <v>60.7</v>
      </c>
      <c r="D62" s="368">
        <v>72.3</v>
      </c>
      <c r="E62" s="369">
        <v>49.2</v>
      </c>
      <c r="F62" s="369">
        <v>94.7</v>
      </c>
      <c r="G62" s="369">
        <v>97.7</v>
      </c>
    </row>
    <row r="63" spans="1:7" ht="14.5" x14ac:dyDescent="0.3">
      <c r="A63" s="366">
        <v>2</v>
      </c>
      <c r="B63" s="368">
        <v>26.3</v>
      </c>
      <c r="C63" s="368">
        <v>62.8</v>
      </c>
      <c r="D63" s="368">
        <v>96.4</v>
      </c>
      <c r="E63" s="369">
        <v>31.8</v>
      </c>
      <c r="F63" s="369">
        <v>94.7</v>
      </c>
      <c r="G63" s="369">
        <v>113.2</v>
      </c>
    </row>
    <row r="64" spans="1:7" ht="14.5" x14ac:dyDescent="0.3">
      <c r="A64" s="366">
        <v>3</v>
      </c>
      <c r="B64" s="368">
        <v>22</v>
      </c>
      <c r="C64" s="368">
        <v>67.8</v>
      </c>
      <c r="D64" s="368">
        <v>86.9</v>
      </c>
      <c r="E64" s="369">
        <v>54.9</v>
      </c>
      <c r="F64" s="369">
        <v>69.2</v>
      </c>
      <c r="G64" s="369">
        <v>118.1</v>
      </c>
    </row>
    <row r="65" spans="1:7" ht="14.5" x14ac:dyDescent="0.3">
      <c r="A65" s="366">
        <v>4</v>
      </c>
      <c r="B65" s="368">
        <v>18.899999999999999</v>
      </c>
      <c r="C65" s="368">
        <v>50.7</v>
      </c>
      <c r="D65" s="368">
        <v>89</v>
      </c>
      <c r="E65" s="369">
        <v>35.1</v>
      </c>
      <c r="F65" s="369">
        <v>90.1</v>
      </c>
      <c r="G65" s="369">
        <v>103.6</v>
      </c>
    </row>
    <row r="66" spans="1:7" ht="14.5" x14ac:dyDescent="0.3">
      <c r="A66" s="366">
        <v>5</v>
      </c>
      <c r="B66" s="368">
        <v>22.6</v>
      </c>
      <c r="C66" s="368">
        <v>54.9</v>
      </c>
      <c r="D66" s="368">
        <v>98.5</v>
      </c>
      <c r="E66" s="369">
        <v>45.7</v>
      </c>
      <c r="F66" s="369">
        <v>90.5</v>
      </c>
      <c r="G66" s="369">
        <v>101.6</v>
      </c>
    </row>
    <row r="67" spans="1:7" ht="14.5" x14ac:dyDescent="0.3">
      <c r="A67" s="366">
        <v>6</v>
      </c>
      <c r="B67" s="368">
        <v>34.700000000000003</v>
      </c>
      <c r="C67" s="368">
        <v>57.2</v>
      </c>
      <c r="D67" s="368">
        <v>105.4</v>
      </c>
      <c r="E67" s="369">
        <v>60.7</v>
      </c>
      <c r="F67" s="369">
        <v>89.5</v>
      </c>
      <c r="G67" s="369">
        <v>114.3</v>
      </c>
    </row>
    <row r="68" spans="1:7" ht="14.5" x14ac:dyDescent="0.3">
      <c r="A68" s="366">
        <v>7</v>
      </c>
      <c r="B68" s="368">
        <v>37</v>
      </c>
      <c r="C68" s="368">
        <v>55.8</v>
      </c>
      <c r="D68" s="368">
        <v>102.7</v>
      </c>
      <c r="E68" s="369">
        <v>44.4</v>
      </c>
      <c r="F68" s="369">
        <v>78.7</v>
      </c>
      <c r="G68" s="369">
        <v>103.9</v>
      </c>
    </row>
    <row r="69" spans="1:7" ht="14.5" x14ac:dyDescent="0.3">
      <c r="A69" s="366">
        <v>8</v>
      </c>
      <c r="B69" s="368">
        <v>25.3</v>
      </c>
      <c r="C69" s="368">
        <v>58.6</v>
      </c>
      <c r="D69" s="368">
        <v>100</v>
      </c>
      <c r="E69" s="369">
        <v>57.5</v>
      </c>
      <c r="F69" s="369">
        <v>73.900000000000006</v>
      </c>
      <c r="G69" s="369">
        <v>99</v>
      </c>
    </row>
    <row r="70" spans="1:7" ht="14.5" x14ac:dyDescent="0.3">
      <c r="A70" s="366">
        <v>9</v>
      </c>
      <c r="B70" s="368">
        <v>37.4</v>
      </c>
      <c r="C70" s="368">
        <v>56.2</v>
      </c>
      <c r="D70" s="368">
        <v>106.8</v>
      </c>
      <c r="E70" s="369">
        <v>42.1</v>
      </c>
      <c r="F70" s="369">
        <v>66.3</v>
      </c>
      <c r="G70" s="369">
        <v>112.5</v>
      </c>
    </row>
    <row r="71" spans="1:7" ht="14.5" x14ac:dyDescent="0.3">
      <c r="A71" s="366">
        <v>10</v>
      </c>
      <c r="B71" s="368">
        <v>43.5</v>
      </c>
      <c r="C71" s="368">
        <v>54.4</v>
      </c>
      <c r="D71" s="368">
        <v>103.8</v>
      </c>
      <c r="E71" s="369">
        <v>41.8</v>
      </c>
      <c r="F71" s="369">
        <v>77.8</v>
      </c>
      <c r="G71" s="369">
        <v>97.9</v>
      </c>
    </row>
    <row r="72" spans="1:7" ht="14.5" x14ac:dyDescent="0.3">
      <c r="A72" s="366">
        <v>11</v>
      </c>
      <c r="B72" s="368">
        <v>42.5</v>
      </c>
      <c r="C72" s="368">
        <v>62.9</v>
      </c>
      <c r="D72" s="368">
        <v>73.900000000000006</v>
      </c>
      <c r="E72" s="367"/>
      <c r="F72" s="367"/>
      <c r="G72" s="367"/>
    </row>
    <row r="73" spans="1:7" ht="14.5" x14ac:dyDescent="0.3">
      <c r="A73" s="366">
        <v>12</v>
      </c>
      <c r="B73" s="368">
        <v>19.899999999999999</v>
      </c>
      <c r="C73" s="368">
        <v>64.5</v>
      </c>
      <c r="D73" s="368">
        <v>90</v>
      </c>
      <c r="E73" s="367"/>
      <c r="F73" s="367"/>
      <c r="G73" s="367"/>
    </row>
    <row r="74" spans="1:7" ht="14.5" x14ac:dyDescent="0.3">
      <c r="A74" s="366">
        <v>13</v>
      </c>
      <c r="B74" s="368">
        <v>36.700000000000003</v>
      </c>
      <c r="C74" s="368">
        <v>63</v>
      </c>
      <c r="D74" s="368">
        <v>82.3</v>
      </c>
      <c r="E74" s="367"/>
      <c r="F74" s="367"/>
      <c r="G74" s="367"/>
    </row>
    <row r="75" spans="1:7" ht="14.5" x14ac:dyDescent="0.3">
      <c r="A75" s="366">
        <v>14</v>
      </c>
      <c r="B75" s="368">
        <v>42.1</v>
      </c>
      <c r="C75" s="368">
        <v>59.1</v>
      </c>
      <c r="D75" s="368">
        <v>104.6</v>
      </c>
      <c r="E75" s="367"/>
      <c r="F75" s="367"/>
      <c r="G75" s="367"/>
    </row>
    <row r="76" spans="1:7" ht="14.5" x14ac:dyDescent="0.3">
      <c r="A76" s="366">
        <v>15</v>
      </c>
      <c r="B76" s="368">
        <v>31.8</v>
      </c>
      <c r="C76" s="368">
        <v>52.1</v>
      </c>
      <c r="D76" s="368">
        <v>102.3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49.2</v>
      </c>
      <c r="C80" s="373">
        <v>50.5</v>
      </c>
      <c r="D80" s="373">
        <v>70.3</v>
      </c>
      <c r="E80" s="374">
        <v>39.1</v>
      </c>
      <c r="F80" s="374">
        <v>77.5</v>
      </c>
      <c r="G80" s="374">
        <v>106.5</v>
      </c>
    </row>
    <row r="81" spans="1:7" ht="14.5" x14ac:dyDescent="0.3">
      <c r="A81" s="371">
        <v>2</v>
      </c>
      <c r="B81" s="373">
        <v>42.3</v>
      </c>
      <c r="C81" s="373">
        <v>58.4</v>
      </c>
      <c r="D81" s="373">
        <v>97</v>
      </c>
      <c r="E81" s="374">
        <v>53.3</v>
      </c>
      <c r="F81" s="374">
        <v>82.1</v>
      </c>
      <c r="G81" s="374">
        <v>102.4</v>
      </c>
    </row>
    <row r="82" spans="1:7" ht="14.5" x14ac:dyDescent="0.3">
      <c r="A82" s="371">
        <v>3</v>
      </c>
      <c r="B82" s="373">
        <v>44.3</v>
      </c>
      <c r="C82" s="373">
        <v>50.3</v>
      </c>
      <c r="D82" s="373">
        <v>92</v>
      </c>
      <c r="E82" s="374">
        <v>44.5</v>
      </c>
      <c r="F82" s="374">
        <v>71.2</v>
      </c>
      <c r="G82" s="374">
        <v>100.7</v>
      </c>
    </row>
    <row r="83" spans="1:7" ht="14.5" x14ac:dyDescent="0.3">
      <c r="A83" s="371">
        <v>4</v>
      </c>
      <c r="B83" s="373">
        <v>47.5</v>
      </c>
      <c r="C83" s="373">
        <v>58.9</v>
      </c>
      <c r="D83" s="373">
        <v>84.2</v>
      </c>
      <c r="E83" s="374">
        <v>30.5</v>
      </c>
      <c r="F83" s="374">
        <v>76.7</v>
      </c>
      <c r="G83" s="374">
        <v>103.1</v>
      </c>
    </row>
    <row r="84" spans="1:7" ht="14.5" x14ac:dyDescent="0.3">
      <c r="A84" s="371">
        <v>5</v>
      </c>
      <c r="B84" s="373">
        <v>31.4</v>
      </c>
      <c r="C84" s="373">
        <v>62.5</v>
      </c>
      <c r="D84" s="373">
        <v>74.3</v>
      </c>
      <c r="E84" s="374">
        <v>61.7</v>
      </c>
      <c r="F84" s="374">
        <v>65.900000000000006</v>
      </c>
      <c r="G84" s="374">
        <v>114.3</v>
      </c>
    </row>
    <row r="85" spans="1:7" ht="14.5" x14ac:dyDescent="0.3">
      <c r="A85" s="371">
        <v>6</v>
      </c>
      <c r="B85" s="373">
        <v>38.1</v>
      </c>
      <c r="C85" s="373">
        <v>62.9</v>
      </c>
      <c r="D85" s="373">
        <v>93.3</v>
      </c>
      <c r="E85" s="374">
        <v>39.200000000000003</v>
      </c>
      <c r="F85" s="374">
        <v>65.400000000000006</v>
      </c>
      <c r="G85" s="374">
        <v>98.9</v>
      </c>
    </row>
    <row r="86" spans="1:7" ht="14.5" x14ac:dyDescent="0.3">
      <c r="A86" s="371">
        <v>7</v>
      </c>
      <c r="B86" s="373">
        <v>22.5</v>
      </c>
      <c r="C86" s="373">
        <v>60.4</v>
      </c>
      <c r="D86" s="373">
        <v>98.4</v>
      </c>
      <c r="E86" s="374">
        <v>44.6</v>
      </c>
      <c r="F86" s="374">
        <v>77.099999999999994</v>
      </c>
      <c r="G86" s="374">
        <v>107.7</v>
      </c>
    </row>
    <row r="87" spans="1:7" ht="14.5" x14ac:dyDescent="0.3">
      <c r="A87" s="371">
        <v>8</v>
      </c>
      <c r="B87" s="373">
        <v>48.2</v>
      </c>
      <c r="C87" s="373">
        <v>60.1</v>
      </c>
      <c r="D87" s="373">
        <v>78.599999999999994</v>
      </c>
      <c r="E87" s="374">
        <v>31.3</v>
      </c>
      <c r="F87" s="374">
        <v>71.599999999999994</v>
      </c>
      <c r="G87" s="374">
        <v>118</v>
      </c>
    </row>
    <row r="88" spans="1:7" ht="14.5" x14ac:dyDescent="0.3">
      <c r="A88" s="371">
        <v>9</v>
      </c>
      <c r="B88" s="373">
        <v>25.6</v>
      </c>
      <c r="C88" s="373">
        <v>67.900000000000006</v>
      </c>
      <c r="D88" s="373">
        <v>105.4</v>
      </c>
      <c r="E88" s="374">
        <v>49.3</v>
      </c>
      <c r="F88" s="374">
        <v>93.4</v>
      </c>
      <c r="G88" s="374">
        <v>112.3</v>
      </c>
    </row>
    <row r="89" spans="1:7" ht="14.5" x14ac:dyDescent="0.3">
      <c r="A89" s="371">
        <v>10</v>
      </c>
      <c r="B89" s="373">
        <v>35.299999999999997</v>
      </c>
      <c r="C89" s="373">
        <v>66.3</v>
      </c>
      <c r="D89" s="373">
        <v>107.3</v>
      </c>
      <c r="E89" s="374">
        <v>55.5</v>
      </c>
      <c r="F89" s="374">
        <v>79.7</v>
      </c>
      <c r="G89" s="374">
        <v>116.8</v>
      </c>
    </row>
    <row r="90" spans="1:7" ht="14.5" x14ac:dyDescent="0.3">
      <c r="A90" s="371">
        <v>11</v>
      </c>
      <c r="B90" s="373">
        <v>46.4</v>
      </c>
      <c r="C90" s="373">
        <v>58</v>
      </c>
      <c r="D90" s="373">
        <v>87.6</v>
      </c>
      <c r="E90" s="374">
        <v>60.3</v>
      </c>
      <c r="F90" s="374">
        <v>85</v>
      </c>
      <c r="G90" s="374">
        <v>119.4</v>
      </c>
    </row>
    <row r="91" spans="1:7" ht="14.5" x14ac:dyDescent="0.3">
      <c r="A91" s="371">
        <v>12</v>
      </c>
      <c r="B91" s="373">
        <v>25.3</v>
      </c>
      <c r="C91" s="373">
        <v>67.7</v>
      </c>
      <c r="D91" s="373">
        <v>101.1</v>
      </c>
      <c r="E91" s="374">
        <v>35.6</v>
      </c>
      <c r="F91" s="374">
        <v>94.6</v>
      </c>
      <c r="G91" s="374">
        <v>118.3</v>
      </c>
    </row>
    <row r="92" spans="1:7" ht="14.5" x14ac:dyDescent="0.3">
      <c r="A92" s="371">
        <v>13</v>
      </c>
      <c r="B92" s="373">
        <v>30.1</v>
      </c>
      <c r="C92" s="373">
        <v>58.5</v>
      </c>
      <c r="D92" s="373">
        <v>83.3</v>
      </c>
      <c r="E92" s="375"/>
      <c r="F92" s="375"/>
      <c r="G92" s="375"/>
    </row>
    <row r="93" spans="1:7" ht="14.5" x14ac:dyDescent="0.3">
      <c r="A93" s="371">
        <v>14</v>
      </c>
      <c r="B93" s="373">
        <v>32.700000000000003</v>
      </c>
      <c r="C93" s="373">
        <v>53</v>
      </c>
      <c r="D93" s="373">
        <v>106</v>
      </c>
      <c r="E93" s="375"/>
      <c r="F93" s="375"/>
      <c r="G93" s="375"/>
    </row>
    <row r="94" spans="1:7" ht="14.5" x14ac:dyDescent="0.3">
      <c r="A94" s="371">
        <v>15</v>
      </c>
      <c r="B94" s="373">
        <v>33.200000000000003</v>
      </c>
      <c r="C94" s="373">
        <v>63.9</v>
      </c>
      <c r="D94" s="373">
        <v>102.2</v>
      </c>
      <c r="E94" s="375"/>
      <c r="F94" s="375"/>
      <c r="G94" s="375"/>
    </row>
    <row r="95" spans="1:7" ht="14.5" x14ac:dyDescent="0.3">
      <c r="A95" s="371">
        <v>16</v>
      </c>
      <c r="B95" s="373">
        <v>34.799999999999997</v>
      </c>
      <c r="C95" s="373">
        <v>67.3</v>
      </c>
      <c r="D95" s="373">
        <v>102.8</v>
      </c>
      <c r="E95" s="375"/>
      <c r="F95" s="375"/>
      <c r="G95" s="375"/>
    </row>
    <row r="96" spans="1:7" ht="14.5" x14ac:dyDescent="0.3">
      <c r="A96" s="371">
        <v>17</v>
      </c>
      <c r="B96" s="373">
        <v>25.5</v>
      </c>
      <c r="C96" s="373">
        <v>65.900000000000006</v>
      </c>
      <c r="D96" s="373">
        <v>83.8</v>
      </c>
      <c r="E96" s="375"/>
      <c r="F96" s="375"/>
      <c r="G96" s="375"/>
    </row>
    <row r="97" spans="1:7" ht="14.5" x14ac:dyDescent="0.3">
      <c r="A97" s="371">
        <v>18</v>
      </c>
      <c r="B97" s="373">
        <v>38</v>
      </c>
      <c r="C97" s="373">
        <v>59.6</v>
      </c>
      <c r="D97" s="373">
        <v>79.2</v>
      </c>
      <c r="E97" s="376"/>
      <c r="F97" s="376"/>
      <c r="G97" s="376"/>
    </row>
    <row r="98" spans="1:7" ht="14.5" x14ac:dyDescent="0.3">
      <c r="A98" s="371">
        <v>19</v>
      </c>
      <c r="B98" s="373">
        <v>40.799999999999997</v>
      </c>
      <c r="C98" s="373">
        <v>66.3</v>
      </c>
      <c r="D98" s="373">
        <v>95.5</v>
      </c>
      <c r="E98" s="376"/>
      <c r="F98" s="376"/>
      <c r="G98" s="376"/>
    </row>
    <row r="99" spans="1:7" ht="14.5" x14ac:dyDescent="0.3">
      <c r="A99" s="371">
        <v>20</v>
      </c>
      <c r="B99" s="373">
        <v>36.299999999999997</v>
      </c>
      <c r="C99" s="373">
        <v>69.599999999999994</v>
      </c>
      <c r="D99" s="373">
        <v>103.2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36.200000000000003</v>
      </c>
      <c r="C103" s="367">
        <v>55.6</v>
      </c>
      <c r="D103" s="367">
        <v>102.4</v>
      </c>
      <c r="E103" s="369">
        <v>45.5</v>
      </c>
      <c r="F103" s="369">
        <v>81.2</v>
      </c>
      <c r="G103" s="369">
        <v>105.7</v>
      </c>
    </row>
    <row r="104" spans="1:7" x14ac:dyDescent="0.25">
      <c r="A104" s="366">
        <v>2</v>
      </c>
      <c r="B104" s="367">
        <v>27.5</v>
      </c>
      <c r="C104" s="367">
        <v>69.5</v>
      </c>
      <c r="D104" s="367">
        <v>71.099999999999994</v>
      </c>
      <c r="E104" s="369">
        <v>55</v>
      </c>
      <c r="F104" s="369">
        <v>86</v>
      </c>
      <c r="G104" s="369">
        <v>106.9</v>
      </c>
    </row>
    <row r="105" spans="1:7" x14ac:dyDescent="0.25">
      <c r="A105" s="366">
        <v>3</v>
      </c>
      <c r="B105" s="367">
        <v>33</v>
      </c>
      <c r="C105" s="367">
        <v>61.8</v>
      </c>
      <c r="D105" s="367">
        <v>75.400000000000006</v>
      </c>
      <c r="E105" s="369">
        <v>41.5</v>
      </c>
      <c r="F105" s="369">
        <v>89</v>
      </c>
      <c r="G105" s="369">
        <v>109.5</v>
      </c>
    </row>
    <row r="106" spans="1:7" x14ac:dyDescent="0.25">
      <c r="A106" s="366">
        <v>4</v>
      </c>
      <c r="B106" s="367">
        <v>38.299999999999997</v>
      </c>
      <c r="C106" s="367">
        <v>52.4</v>
      </c>
      <c r="D106" s="367">
        <v>85.6</v>
      </c>
      <c r="E106" s="369">
        <v>57.6</v>
      </c>
      <c r="F106" s="369">
        <v>73.599999999999994</v>
      </c>
      <c r="G106" s="369">
        <v>107.3</v>
      </c>
    </row>
    <row r="107" spans="1:7" x14ac:dyDescent="0.25">
      <c r="A107" s="366">
        <v>5</v>
      </c>
      <c r="B107" s="367">
        <v>22.3</v>
      </c>
      <c r="C107" s="367">
        <v>57.3</v>
      </c>
      <c r="D107" s="367">
        <v>73.3</v>
      </c>
      <c r="E107" s="369">
        <v>33.799999999999997</v>
      </c>
      <c r="F107" s="369">
        <v>66.3</v>
      </c>
      <c r="G107" s="369">
        <v>104.4</v>
      </c>
    </row>
    <row r="108" spans="1:7" x14ac:dyDescent="0.25">
      <c r="A108" s="366">
        <v>6</v>
      </c>
      <c r="B108" s="367">
        <v>41.5</v>
      </c>
      <c r="C108" s="367">
        <v>62.5</v>
      </c>
      <c r="D108" s="367">
        <v>94.9</v>
      </c>
      <c r="E108" s="369">
        <v>32.200000000000003</v>
      </c>
      <c r="F108" s="369">
        <v>77.3</v>
      </c>
      <c r="G108" s="369">
        <v>102.7</v>
      </c>
    </row>
    <row r="109" spans="1:7" x14ac:dyDescent="0.25">
      <c r="A109" s="366">
        <v>7</v>
      </c>
      <c r="B109" s="367">
        <v>34</v>
      </c>
      <c r="C109" s="367">
        <v>59.8</v>
      </c>
      <c r="D109" s="367">
        <v>90</v>
      </c>
      <c r="E109" s="367"/>
      <c r="F109" s="367"/>
      <c r="G109" s="367"/>
    </row>
    <row r="110" spans="1:7" x14ac:dyDescent="0.25">
      <c r="A110" s="366">
        <v>8</v>
      </c>
      <c r="B110" s="367">
        <v>47.5</v>
      </c>
      <c r="C110" s="367">
        <v>54.4</v>
      </c>
      <c r="D110" s="367">
        <v>78</v>
      </c>
      <c r="E110" s="367"/>
      <c r="F110" s="367"/>
      <c r="G110" s="367"/>
    </row>
    <row r="111" spans="1:7" x14ac:dyDescent="0.25">
      <c r="A111" s="366">
        <v>9</v>
      </c>
      <c r="B111" s="367">
        <v>23.1</v>
      </c>
      <c r="C111" s="367">
        <v>56.9</v>
      </c>
      <c r="D111" s="367">
        <v>90.5</v>
      </c>
      <c r="E111" s="367"/>
      <c r="F111" s="367"/>
      <c r="G111" s="367"/>
    </row>
    <row r="112" spans="1:7" x14ac:dyDescent="0.25">
      <c r="A112" s="366">
        <v>10</v>
      </c>
      <c r="B112" s="367">
        <v>20.5</v>
      </c>
      <c r="C112" s="367">
        <v>60</v>
      </c>
      <c r="D112" s="367">
        <v>92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99.9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22</v>
      </c>
      <c r="C117" s="357">
        <v>51.7</v>
      </c>
      <c r="D117" s="357">
        <v>89.9</v>
      </c>
      <c r="E117" s="357"/>
      <c r="F117" s="357"/>
      <c r="G117" s="357"/>
    </row>
    <row r="118" spans="1:7" x14ac:dyDescent="0.25">
      <c r="A118" s="356">
        <v>2</v>
      </c>
      <c r="B118" s="357">
        <v>24.9</v>
      </c>
      <c r="C118" s="357">
        <v>51.9</v>
      </c>
      <c r="D118" s="357">
        <v>81.099999999999994</v>
      </c>
      <c r="E118" s="357"/>
      <c r="F118" s="357"/>
      <c r="G118" s="357"/>
    </row>
    <row r="119" spans="1:7" x14ac:dyDescent="0.25">
      <c r="A119" s="356">
        <v>3</v>
      </c>
      <c r="B119" s="357">
        <v>38.700000000000003</v>
      </c>
      <c r="C119" s="357">
        <v>65.3</v>
      </c>
      <c r="D119" s="357">
        <v>88.5</v>
      </c>
      <c r="E119" s="357"/>
      <c r="F119" s="357"/>
      <c r="G119" s="357"/>
    </row>
    <row r="120" spans="1:7" x14ac:dyDescent="0.25">
      <c r="A120" s="356">
        <v>4</v>
      </c>
      <c r="B120" s="357">
        <v>23.6</v>
      </c>
      <c r="C120" s="357">
        <v>57.5</v>
      </c>
      <c r="D120" s="357">
        <v>71.8</v>
      </c>
      <c r="E120" s="357"/>
      <c r="F120" s="357"/>
      <c r="G120" s="357"/>
    </row>
    <row r="121" spans="1:7" x14ac:dyDescent="0.25">
      <c r="A121" s="356">
        <v>5</v>
      </c>
      <c r="B121" s="357">
        <v>32.4</v>
      </c>
      <c r="C121" s="357">
        <v>58.2</v>
      </c>
      <c r="D121" s="357">
        <v>90.3</v>
      </c>
      <c r="E121" s="357"/>
      <c r="F121" s="357"/>
      <c r="G121" s="357"/>
    </row>
    <row r="122" spans="1:7" x14ac:dyDescent="0.25">
      <c r="A122" s="356">
        <v>6</v>
      </c>
      <c r="B122" s="357">
        <v>28.2</v>
      </c>
      <c r="C122" s="357">
        <v>62.5</v>
      </c>
      <c r="D122" s="357">
        <v>101.7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64.3</v>
      </c>
      <c r="C127" s="380">
        <f>ROUNDDOWN(AVERAGE(E5:G12),1)</f>
        <v>78.3</v>
      </c>
      <c r="D127" s="378">
        <v>19899</v>
      </c>
      <c r="E127" s="378">
        <v>12568</v>
      </c>
      <c r="F127" s="378">
        <f>B127*D127</f>
        <v>1279505.7</v>
      </c>
      <c r="G127" s="378">
        <f>C127*E127</f>
        <v>984074.39999999991</v>
      </c>
    </row>
    <row r="128" spans="1:7" x14ac:dyDescent="0.25">
      <c r="A128" s="379" t="str">
        <f>A17</f>
        <v>Chongzuo Zuozhou swine Farm</v>
      </c>
      <c r="B128" s="380">
        <f>ROUNDDOWN(AVERAGE(B20:D26),1)</f>
        <v>62.4</v>
      </c>
      <c r="C128" s="380">
        <f>ROUNDDOWN(AVERAGE(E20:G23),1)</f>
        <v>81</v>
      </c>
      <c r="D128" s="378">
        <v>10998</v>
      </c>
      <c r="E128" s="378">
        <v>6982</v>
      </c>
      <c r="F128" s="378">
        <f t="shared" ref="F128:G135" si="0">B128*D128</f>
        <v>686275.2</v>
      </c>
      <c r="G128" s="378">
        <f>C128*E128</f>
        <v>565542</v>
      </c>
    </row>
    <row r="129" spans="1:7" x14ac:dyDescent="0.25">
      <c r="A129" s="379" t="str">
        <f>A27</f>
        <v>Tianyang Wucun swine Farm</v>
      </c>
      <c r="B129" s="380">
        <f>ROUNDDOWN(AVERAGE(B30:D35),1)</f>
        <v>63.8</v>
      </c>
      <c r="C129" s="380">
        <f>ROUNDDOWN(AVERAGE(E30:G35),1)</f>
        <v>79.8</v>
      </c>
      <c r="D129" s="378">
        <v>9501</v>
      </c>
      <c r="E129" s="378">
        <v>6022</v>
      </c>
      <c r="F129" s="378">
        <f t="shared" si="0"/>
        <v>606163.79999999993</v>
      </c>
      <c r="G129" s="378">
        <f>C129*E129</f>
        <v>480555.6</v>
      </c>
    </row>
    <row r="130" spans="1:7" x14ac:dyDescent="0.25">
      <c r="A130" s="379" t="str">
        <f>A36</f>
        <v>Quanzhou Dengjiabu swine Farm</v>
      </c>
      <c r="B130" s="380">
        <f>ROUNDDOWN(AVERAGE(B39:D42),1)</f>
        <v>62.2</v>
      </c>
      <c r="C130" s="380">
        <f>ROUNDDOWN(AVERAGE(E39:G42),1)</f>
        <v>86.5</v>
      </c>
      <c r="D130" s="378">
        <v>5446</v>
      </c>
      <c r="E130" s="378">
        <v>3360</v>
      </c>
      <c r="F130" s="378">
        <f t="shared" si="0"/>
        <v>338741.2</v>
      </c>
      <c r="G130" s="378">
        <f t="shared" si="0"/>
        <v>290640</v>
      </c>
    </row>
    <row r="131" spans="1:7" x14ac:dyDescent="0.25">
      <c r="A131" s="379" t="str">
        <f>A43</f>
        <v>Chongzuo Quming swine Farm</v>
      </c>
      <c r="B131" s="380">
        <f>ROUNDDOWN(AVERAGE(B46:D58),1)</f>
        <v>61.8</v>
      </c>
      <c r="C131" s="380">
        <f>ROUNDDOWN(AVERAGE(E46:G53),1)</f>
        <v>75.400000000000006</v>
      </c>
      <c r="D131" s="378">
        <v>22352</v>
      </c>
      <c r="E131" s="378">
        <v>13979</v>
      </c>
      <c r="F131" s="378">
        <f t="shared" si="0"/>
        <v>1381353.5999999999</v>
      </c>
      <c r="G131" s="378">
        <f t="shared" si="0"/>
        <v>1054016.6000000001</v>
      </c>
    </row>
    <row r="132" spans="1:7" x14ac:dyDescent="0.25">
      <c r="A132" s="379" t="str">
        <f>A59</f>
        <v>Jingxi swine Farm</v>
      </c>
      <c r="B132" s="380">
        <f>ROUNDDOWN(AVERAGE(B62:D76),1)</f>
        <v>61.6</v>
      </c>
      <c r="C132" s="380">
        <f>ROUNDDOWN(AVERAGE(E62:G71),1)</f>
        <v>78.3</v>
      </c>
      <c r="D132" s="378">
        <v>26116</v>
      </c>
      <c r="E132" s="378">
        <v>15890</v>
      </c>
      <c r="F132" s="378">
        <f t="shared" si="0"/>
        <v>1608745.6</v>
      </c>
      <c r="G132" s="378">
        <f t="shared" si="0"/>
        <v>1244187</v>
      </c>
    </row>
    <row r="133" spans="1:7" x14ac:dyDescent="0.25">
      <c r="A133" s="379" t="str">
        <f>A77</f>
        <v>Liucheng Mashan swine Farm</v>
      </c>
      <c r="B133" s="380">
        <f>ROUNDDOWN(AVERAGE(B80:D99),1)</f>
        <v>63.3</v>
      </c>
      <c r="C133" s="378">
        <f>ROUNDDOWN(AVERAGE(E80:G91),1)</f>
        <v>77.8</v>
      </c>
      <c r="D133" s="378">
        <v>33500</v>
      </c>
      <c r="E133" s="378">
        <v>20506</v>
      </c>
      <c r="F133" s="378">
        <f t="shared" si="0"/>
        <v>2120550</v>
      </c>
      <c r="G133" s="378">
        <f t="shared" si="0"/>
        <v>1595366.8</v>
      </c>
    </row>
    <row r="134" spans="1:7" x14ac:dyDescent="0.25">
      <c r="A134" s="379" t="str">
        <f>A100</f>
        <v>Tengxian Tianping swine Farm</v>
      </c>
      <c r="B134" s="380">
        <f>ROUNDDOWN(AVERAGE(B103:D113),1)</f>
        <v>60.2</v>
      </c>
      <c r="C134" s="378">
        <f>ROUNDDOWN(AVERAGE(E103:G108),1)</f>
        <v>76.400000000000006</v>
      </c>
      <c r="D134" s="378">
        <v>16255</v>
      </c>
      <c r="E134" s="378">
        <v>10363</v>
      </c>
      <c r="F134" s="378">
        <f t="shared" si="0"/>
        <v>978551</v>
      </c>
      <c r="G134" s="378">
        <f t="shared" si="0"/>
        <v>791733.20000000007</v>
      </c>
    </row>
    <row r="135" spans="1:7" x14ac:dyDescent="0.25">
      <c r="A135" s="379" t="str">
        <f>A114</f>
        <v>Debao Chengguan swine Farm</v>
      </c>
      <c r="B135" s="380">
        <f>ROUNDDOWN(AVERAGE(B117:D122),1)</f>
        <v>57.7</v>
      </c>
      <c r="C135" s="378">
        <v>0</v>
      </c>
      <c r="D135" s="378">
        <v>8758</v>
      </c>
      <c r="E135" s="378">
        <v>0</v>
      </c>
      <c r="F135" s="378">
        <f t="shared" si="0"/>
        <v>505336.60000000003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89670</v>
      </c>
      <c r="F136" s="378">
        <f>SUM(F127:F135)</f>
        <v>9505222.6999999993</v>
      </c>
      <c r="G136" s="378">
        <f>SUM(G127:G134)</f>
        <v>7006115.5999999996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62.1</v>
      </c>
      <c r="D140" s="381">
        <f>ROUNDDOWN(G136/E136,1)</f>
        <v>78.099999999999994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C5CD-4653-4919-A206-04161A20B49B}">
  <dimension ref="A1:G140"/>
  <sheetViews>
    <sheetView topLeftCell="A31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26.8</v>
      </c>
      <c r="C5" s="345">
        <v>66.099999999999994</v>
      </c>
      <c r="D5" s="345">
        <v>107.5</v>
      </c>
      <c r="E5" s="346">
        <v>44.9</v>
      </c>
      <c r="F5" s="346">
        <v>66.599999999999994</v>
      </c>
      <c r="G5" s="346">
        <v>118.2</v>
      </c>
    </row>
    <row r="6" spans="1:7" x14ac:dyDescent="0.25">
      <c r="A6" s="343">
        <v>2</v>
      </c>
      <c r="B6" s="345">
        <v>23.5</v>
      </c>
      <c r="C6" s="345">
        <v>65.5</v>
      </c>
      <c r="D6" s="345">
        <v>77.5</v>
      </c>
      <c r="E6" s="346">
        <v>37</v>
      </c>
      <c r="F6" s="346">
        <v>67.900000000000006</v>
      </c>
      <c r="G6" s="346">
        <v>107.9</v>
      </c>
    </row>
    <row r="7" spans="1:7" x14ac:dyDescent="0.25">
      <c r="A7" s="343">
        <v>3</v>
      </c>
      <c r="B7" s="345">
        <v>19.899999999999999</v>
      </c>
      <c r="C7" s="345">
        <v>50.9</v>
      </c>
      <c r="D7" s="345">
        <v>101.1</v>
      </c>
      <c r="E7" s="346">
        <v>33.1</v>
      </c>
      <c r="F7" s="346">
        <v>71.2</v>
      </c>
      <c r="G7" s="346">
        <v>110.8</v>
      </c>
    </row>
    <row r="8" spans="1:7" x14ac:dyDescent="0.25">
      <c r="A8" s="343">
        <v>4</v>
      </c>
      <c r="B8" s="345">
        <v>43.4</v>
      </c>
      <c r="C8" s="345">
        <v>69.3</v>
      </c>
      <c r="D8" s="345">
        <v>104.3</v>
      </c>
      <c r="E8" s="346">
        <v>60</v>
      </c>
      <c r="F8" s="346">
        <v>92.7</v>
      </c>
      <c r="G8" s="346">
        <v>106.7</v>
      </c>
    </row>
    <row r="9" spans="1:7" x14ac:dyDescent="0.25">
      <c r="A9" s="343">
        <v>5</v>
      </c>
      <c r="B9" s="345">
        <v>37.4</v>
      </c>
      <c r="C9" s="345">
        <v>59.6</v>
      </c>
      <c r="D9" s="345">
        <v>70.5</v>
      </c>
      <c r="E9" s="346">
        <v>54.4</v>
      </c>
      <c r="F9" s="346">
        <v>69.400000000000006</v>
      </c>
      <c r="G9" s="346">
        <v>98.6</v>
      </c>
    </row>
    <row r="10" spans="1:7" x14ac:dyDescent="0.25">
      <c r="A10" s="343">
        <v>6</v>
      </c>
      <c r="B10" s="345">
        <v>30.8</v>
      </c>
      <c r="C10" s="345">
        <v>52.2</v>
      </c>
      <c r="D10" s="345">
        <v>71.5</v>
      </c>
      <c r="E10" s="346">
        <v>54.7</v>
      </c>
      <c r="F10" s="346">
        <v>68.3</v>
      </c>
      <c r="G10" s="346">
        <v>109.3</v>
      </c>
    </row>
    <row r="11" spans="1:7" x14ac:dyDescent="0.25">
      <c r="A11" s="343">
        <v>7</v>
      </c>
      <c r="B11" s="345">
        <v>43</v>
      </c>
      <c r="C11" s="345">
        <v>50.4</v>
      </c>
      <c r="D11" s="345">
        <v>81.7</v>
      </c>
      <c r="E11" s="346">
        <v>56.3</v>
      </c>
      <c r="F11" s="346">
        <v>80.900000000000006</v>
      </c>
      <c r="G11" s="346">
        <v>110.1</v>
      </c>
    </row>
    <row r="12" spans="1:7" x14ac:dyDescent="0.25">
      <c r="A12" s="343">
        <v>8</v>
      </c>
      <c r="B12" s="345">
        <v>33.799999999999997</v>
      </c>
      <c r="C12" s="345">
        <v>60</v>
      </c>
      <c r="D12" s="345">
        <v>76.900000000000006</v>
      </c>
      <c r="E12" s="346">
        <v>36.700000000000003</v>
      </c>
      <c r="F12" s="346">
        <v>67.5</v>
      </c>
      <c r="G12" s="346">
        <v>117.1</v>
      </c>
    </row>
    <row r="13" spans="1:7" x14ac:dyDescent="0.25">
      <c r="A13" s="343">
        <v>9</v>
      </c>
      <c r="B13" s="345">
        <v>47.6</v>
      </c>
      <c r="C13" s="345">
        <v>69.8</v>
      </c>
      <c r="D13" s="345">
        <v>91.2</v>
      </c>
      <c r="E13" s="345"/>
      <c r="F13" s="345"/>
      <c r="G13" s="345"/>
    </row>
    <row r="14" spans="1:7" x14ac:dyDescent="0.25">
      <c r="A14" s="343">
        <v>10</v>
      </c>
      <c r="B14" s="345">
        <v>26.7</v>
      </c>
      <c r="C14" s="345">
        <v>65.099999999999994</v>
      </c>
      <c r="D14" s="345">
        <v>99</v>
      </c>
      <c r="E14" s="345"/>
      <c r="F14" s="345"/>
      <c r="G14" s="345"/>
    </row>
    <row r="15" spans="1:7" x14ac:dyDescent="0.25">
      <c r="A15" s="343">
        <v>11</v>
      </c>
      <c r="B15" s="345">
        <v>40.299999999999997</v>
      </c>
      <c r="C15" s="345">
        <v>56.9</v>
      </c>
      <c r="D15" s="345">
        <v>98.8</v>
      </c>
      <c r="E15" s="345"/>
      <c r="F15" s="345"/>
      <c r="G15" s="345"/>
    </row>
    <row r="16" spans="1:7" x14ac:dyDescent="0.25">
      <c r="A16" s="343">
        <v>12</v>
      </c>
      <c r="B16" s="345">
        <v>40.4</v>
      </c>
      <c r="C16" s="345">
        <v>55.5</v>
      </c>
      <c r="D16" s="345">
        <v>101.3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47.2</v>
      </c>
      <c r="C20" s="350">
        <v>55.1</v>
      </c>
      <c r="D20" s="350">
        <v>102.9</v>
      </c>
      <c r="E20" s="350">
        <v>40.6</v>
      </c>
      <c r="F20" s="350">
        <v>85.7</v>
      </c>
      <c r="G20" s="350">
        <v>105.3</v>
      </c>
    </row>
    <row r="21" spans="1:7" x14ac:dyDescent="0.25">
      <c r="A21" s="348">
        <v>2</v>
      </c>
      <c r="B21" s="350">
        <v>44.8</v>
      </c>
      <c r="C21" s="350">
        <v>57.6</v>
      </c>
      <c r="D21" s="350">
        <v>79.8</v>
      </c>
      <c r="E21" s="350">
        <v>59.3</v>
      </c>
      <c r="F21" s="350">
        <v>68.7</v>
      </c>
      <c r="G21" s="350">
        <v>105.2</v>
      </c>
    </row>
    <row r="22" spans="1:7" x14ac:dyDescent="0.25">
      <c r="A22" s="348">
        <v>3</v>
      </c>
      <c r="B22" s="350">
        <v>35.799999999999997</v>
      </c>
      <c r="C22" s="350">
        <v>58.8</v>
      </c>
      <c r="D22" s="350">
        <v>76.599999999999994</v>
      </c>
      <c r="E22" s="350">
        <v>58.4</v>
      </c>
      <c r="F22" s="350">
        <v>91.1</v>
      </c>
      <c r="G22" s="350">
        <v>109.5</v>
      </c>
    </row>
    <row r="23" spans="1:7" x14ac:dyDescent="0.25">
      <c r="A23" s="348">
        <v>4</v>
      </c>
      <c r="B23" s="350">
        <v>49.9</v>
      </c>
      <c r="C23" s="350">
        <v>58.8</v>
      </c>
      <c r="D23" s="350">
        <v>95</v>
      </c>
      <c r="E23" s="350">
        <v>53.4</v>
      </c>
      <c r="F23" s="350">
        <v>80.7</v>
      </c>
      <c r="G23" s="350">
        <v>100.9</v>
      </c>
    </row>
    <row r="24" spans="1:7" x14ac:dyDescent="0.25">
      <c r="A24" s="348">
        <v>5</v>
      </c>
      <c r="B24" s="350">
        <v>28.3</v>
      </c>
      <c r="C24" s="350">
        <v>52.5</v>
      </c>
      <c r="D24" s="350">
        <v>101</v>
      </c>
      <c r="E24" s="350"/>
      <c r="F24" s="350"/>
      <c r="G24" s="350"/>
    </row>
    <row r="25" spans="1:7" x14ac:dyDescent="0.25">
      <c r="A25" s="348">
        <v>6</v>
      </c>
      <c r="B25" s="350">
        <v>27.5</v>
      </c>
      <c r="C25" s="350">
        <v>50.5</v>
      </c>
      <c r="D25" s="350">
        <v>97.5</v>
      </c>
      <c r="E25" s="350"/>
      <c r="F25" s="350"/>
      <c r="G25" s="350"/>
    </row>
    <row r="26" spans="1:7" x14ac:dyDescent="0.25">
      <c r="A26" s="348">
        <v>7</v>
      </c>
      <c r="B26" s="350">
        <v>31</v>
      </c>
      <c r="C26" s="350">
        <v>52.4</v>
      </c>
      <c r="D26" s="350">
        <v>108.7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50</v>
      </c>
      <c r="C30" s="353">
        <v>66.8</v>
      </c>
      <c r="D30" s="353">
        <v>99.4</v>
      </c>
      <c r="E30" s="354">
        <v>36.299999999999997</v>
      </c>
      <c r="F30" s="354">
        <v>85.3</v>
      </c>
      <c r="G30" s="354">
        <v>118.9</v>
      </c>
    </row>
    <row r="31" spans="1:7" x14ac:dyDescent="0.25">
      <c r="A31" s="352">
        <v>2</v>
      </c>
      <c r="B31" s="353">
        <v>25.4</v>
      </c>
      <c r="C31" s="353">
        <v>53.9</v>
      </c>
      <c r="D31" s="353">
        <v>71.5</v>
      </c>
      <c r="E31" s="354">
        <v>39.5</v>
      </c>
      <c r="F31" s="354">
        <v>80.3</v>
      </c>
      <c r="G31" s="354">
        <v>103.5</v>
      </c>
    </row>
    <row r="32" spans="1:7" x14ac:dyDescent="0.25">
      <c r="A32" s="352">
        <v>3</v>
      </c>
      <c r="B32" s="353">
        <v>31.7</v>
      </c>
      <c r="C32" s="353">
        <v>68</v>
      </c>
      <c r="D32" s="353">
        <v>106.2</v>
      </c>
      <c r="E32" s="354">
        <v>33</v>
      </c>
      <c r="F32" s="354">
        <v>69.099999999999994</v>
      </c>
      <c r="G32" s="354">
        <v>107</v>
      </c>
    </row>
    <row r="33" spans="1:7" x14ac:dyDescent="0.25">
      <c r="A33" s="352">
        <v>4</v>
      </c>
      <c r="B33" s="353">
        <v>22.8</v>
      </c>
      <c r="C33" s="353">
        <v>56.1</v>
      </c>
      <c r="D33" s="353">
        <v>108.6</v>
      </c>
      <c r="E33" s="354">
        <v>37.200000000000003</v>
      </c>
      <c r="F33" s="354">
        <v>82.5</v>
      </c>
      <c r="G33" s="354">
        <v>97.4</v>
      </c>
    </row>
    <row r="34" spans="1:7" x14ac:dyDescent="0.25">
      <c r="A34" s="352">
        <v>5</v>
      </c>
      <c r="B34" s="353">
        <v>30.3</v>
      </c>
      <c r="C34" s="353">
        <v>62.7</v>
      </c>
      <c r="D34" s="353">
        <v>89.3</v>
      </c>
      <c r="E34" s="353"/>
      <c r="F34" s="353"/>
      <c r="G34" s="353"/>
    </row>
    <row r="35" spans="1:7" x14ac:dyDescent="0.25">
      <c r="A35" s="352">
        <v>6</v>
      </c>
      <c r="B35" s="353">
        <v>37</v>
      </c>
      <c r="C35" s="353">
        <v>64.7</v>
      </c>
      <c r="D35" s="353">
        <v>86.8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42.5</v>
      </c>
      <c r="C39" s="357">
        <v>62.4</v>
      </c>
      <c r="D39" s="357">
        <v>99.1</v>
      </c>
      <c r="E39" s="358">
        <v>57.3</v>
      </c>
      <c r="F39" s="358">
        <v>66.2</v>
      </c>
      <c r="G39" s="358">
        <v>108.2</v>
      </c>
    </row>
    <row r="40" spans="1:7" x14ac:dyDescent="0.25">
      <c r="A40" s="356">
        <v>2</v>
      </c>
      <c r="B40" s="357">
        <v>24.3</v>
      </c>
      <c r="C40" s="357">
        <v>67.7</v>
      </c>
      <c r="D40" s="357">
        <v>96.7</v>
      </c>
      <c r="E40" s="358">
        <v>39.799999999999997</v>
      </c>
      <c r="F40" s="358">
        <v>94.7</v>
      </c>
      <c r="G40" s="358">
        <v>112.7</v>
      </c>
    </row>
    <row r="41" spans="1:7" x14ac:dyDescent="0.25">
      <c r="A41" s="356">
        <v>3</v>
      </c>
      <c r="B41" s="357">
        <v>26</v>
      </c>
      <c r="C41" s="357">
        <v>58.3</v>
      </c>
      <c r="D41" s="357">
        <v>72.3</v>
      </c>
      <c r="E41" s="357"/>
      <c r="F41" s="358">
        <v>86</v>
      </c>
      <c r="G41" s="358">
        <v>113.9</v>
      </c>
    </row>
    <row r="42" spans="1:7" x14ac:dyDescent="0.25">
      <c r="A42" s="356">
        <v>4</v>
      </c>
      <c r="B42" s="357">
        <v>36.799999999999997</v>
      </c>
      <c r="C42" s="357">
        <v>68.900000000000006</v>
      </c>
      <c r="D42" s="357">
        <v>75.7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21.2</v>
      </c>
      <c r="C46" s="362">
        <v>67</v>
      </c>
      <c r="D46" s="362">
        <v>82.9</v>
      </c>
      <c r="E46" s="363">
        <v>38.4</v>
      </c>
      <c r="F46" s="363">
        <v>84.6</v>
      </c>
      <c r="G46" s="363">
        <v>108.5</v>
      </c>
    </row>
    <row r="47" spans="1:7" ht="14.5" x14ac:dyDescent="0.3">
      <c r="A47" s="360">
        <v>2</v>
      </c>
      <c r="B47" s="362">
        <v>28.1</v>
      </c>
      <c r="C47" s="362">
        <v>69.8</v>
      </c>
      <c r="D47" s="362">
        <v>89.1</v>
      </c>
      <c r="E47" s="363">
        <v>41.2</v>
      </c>
      <c r="F47" s="363">
        <v>87.9</v>
      </c>
      <c r="G47" s="363">
        <v>97.1</v>
      </c>
    </row>
    <row r="48" spans="1:7" ht="14.5" x14ac:dyDescent="0.3">
      <c r="A48" s="360">
        <v>3</v>
      </c>
      <c r="B48" s="362">
        <v>31</v>
      </c>
      <c r="C48" s="362">
        <v>53.2</v>
      </c>
      <c r="D48" s="362">
        <v>85.8</v>
      </c>
      <c r="E48" s="363">
        <v>49.7</v>
      </c>
      <c r="F48" s="363">
        <v>86.2</v>
      </c>
      <c r="G48" s="363">
        <v>107.4</v>
      </c>
    </row>
    <row r="49" spans="1:7" ht="14.5" x14ac:dyDescent="0.3">
      <c r="A49" s="360">
        <v>4</v>
      </c>
      <c r="B49" s="362">
        <v>37</v>
      </c>
      <c r="C49" s="362">
        <v>60.1</v>
      </c>
      <c r="D49" s="362">
        <v>94.6</v>
      </c>
      <c r="E49" s="363">
        <v>54.3</v>
      </c>
      <c r="F49" s="363">
        <v>79.5</v>
      </c>
      <c r="G49" s="363">
        <v>95.6</v>
      </c>
    </row>
    <row r="50" spans="1:7" ht="14.5" x14ac:dyDescent="0.3">
      <c r="A50" s="360">
        <v>5</v>
      </c>
      <c r="B50" s="362">
        <v>18.7</v>
      </c>
      <c r="C50" s="362">
        <v>53.8</v>
      </c>
      <c r="D50" s="362">
        <v>103.1</v>
      </c>
      <c r="E50" s="363">
        <v>49.4</v>
      </c>
      <c r="F50" s="363">
        <v>77.8</v>
      </c>
      <c r="G50" s="363">
        <v>110.9</v>
      </c>
    </row>
    <row r="51" spans="1:7" ht="14.5" x14ac:dyDescent="0.3">
      <c r="A51" s="360">
        <v>6</v>
      </c>
      <c r="B51" s="362">
        <v>33.5</v>
      </c>
      <c r="C51" s="362">
        <v>66.5</v>
      </c>
      <c r="D51" s="362">
        <v>107</v>
      </c>
      <c r="E51" s="363">
        <v>57.8</v>
      </c>
      <c r="F51" s="363">
        <v>90.7</v>
      </c>
      <c r="G51" s="363">
        <v>105.8</v>
      </c>
    </row>
    <row r="52" spans="1:7" ht="14.5" x14ac:dyDescent="0.3">
      <c r="A52" s="360">
        <v>7</v>
      </c>
      <c r="B52" s="362">
        <v>36.799999999999997</v>
      </c>
      <c r="C52" s="362">
        <v>67</v>
      </c>
      <c r="D52" s="362">
        <v>97.2</v>
      </c>
      <c r="E52" s="363">
        <v>41.6</v>
      </c>
      <c r="F52" s="363">
        <v>71.3</v>
      </c>
      <c r="G52" s="363">
        <v>104.1</v>
      </c>
    </row>
    <row r="53" spans="1:7" ht="14.5" x14ac:dyDescent="0.3">
      <c r="A53" s="360">
        <v>8</v>
      </c>
      <c r="B53" s="362">
        <v>20.100000000000001</v>
      </c>
      <c r="C53" s="362">
        <v>52.6</v>
      </c>
      <c r="D53" s="362">
        <v>84.9</v>
      </c>
      <c r="E53" s="363">
        <v>49.8</v>
      </c>
      <c r="F53" s="363">
        <v>67.2</v>
      </c>
      <c r="G53" s="363">
        <v>101.1</v>
      </c>
    </row>
    <row r="54" spans="1:7" ht="14.5" x14ac:dyDescent="0.3">
      <c r="A54" s="360">
        <v>9</v>
      </c>
      <c r="B54" s="362">
        <v>35.1</v>
      </c>
      <c r="C54" s="362">
        <v>50.6</v>
      </c>
      <c r="D54" s="362">
        <v>72.8</v>
      </c>
      <c r="E54" s="362"/>
      <c r="F54" s="362"/>
      <c r="G54" s="362"/>
    </row>
    <row r="55" spans="1:7" ht="14.5" x14ac:dyDescent="0.3">
      <c r="A55" s="360">
        <v>10</v>
      </c>
      <c r="B55" s="362">
        <v>19.2</v>
      </c>
      <c r="C55" s="362">
        <v>69.599999999999994</v>
      </c>
      <c r="D55" s="362">
        <v>83.1</v>
      </c>
      <c r="E55" s="364"/>
      <c r="F55" s="364"/>
      <c r="G55" s="364"/>
    </row>
    <row r="56" spans="1:7" ht="14.5" x14ac:dyDescent="0.3">
      <c r="A56" s="360">
        <v>11</v>
      </c>
      <c r="B56" s="362">
        <v>25</v>
      </c>
      <c r="C56" s="362">
        <v>62.2</v>
      </c>
      <c r="D56" s="362">
        <v>109.2</v>
      </c>
      <c r="E56" s="364"/>
      <c r="F56" s="364"/>
      <c r="G56" s="364"/>
    </row>
    <row r="57" spans="1:7" ht="14.5" x14ac:dyDescent="0.3">
      <c r="A57" s="360">
        <v>12</v>
      </c>
      <c r="B57" s="362">
        <v>41.7</v>
      </c>
      <c r="C57" s="362">
        <v>67.400000000000006</v>
      </c>
      <c r="D57" s="362">
        <v>109.2</v>
      </c>
      <c r="E57" s="364"/>
      <c r="F57" s="364"/>
      <c r="G57" s="364"/>
    </row>
    <row r="58" spans="1:7" ht="14.5" x14ac:dyDescent="0.3">
      <c r="A58" s="360">
        <v>13</v>
      </c>
      <c r="B58" s="362">
        <v>43.5</v>
      </c>
      <c r="C58" s="362">
        <v>58.9</v>
      </c>
      <c r="D58" s="362">
        <v>109.1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25.3</v>
      </c>
      <c r="C62" s="368">
        <v>65.099999999999994</v>
      </c>
      <c r="D62" s="368">
        <v>91.9</v>
      </c>
      <c r="E62" s="369">
        <v>40.799999999999997</v>
      </c>
      <c r="F62" s="369">
        <v>86.4</v>
      </c>
      <c r="G62" s="369">
        <v>108.3</v>
      </c>
    </row>
    <row r="63" spans="1:7" ht="14.5" x14ac:dyDescent="0.3">
      <c r="A63" s="366">
        <v>2</v>
      </c>
      <c r="B63" s="368">
        <v>43.2</v>
      </c>
      <c r="C63" s="368">
        <v>67.099999999999994</v>
      </c>
      <c r="D63" s="368">
        <v>92.3</v>
      </c>
      <c r="E63" s="369">
        <v>39.299999999999997</v>
      </c>
      <c r="F63" s="369">
        <v>81.2</v>
      </c>
      <c r="G63" s="369">
        <v>107.7</v>
      </c>
    </row>
    <row r="64" spans="1:7" ht="14.5" x14ac:dyDescent="0.3">
      <c r="A64" s="366">
        <v>3</v>
      </c>
      <c r="B64" s="368">
        <v>36.6</v>
      </c>
      <c r="C64" s="368">
        <v>54.8</v>
      </c>
      <c r="D64" s="368">
        <v>75.900000000000006</v>
      </c>
      <c r="E64" s="369">
        <v>38.200000000000003</v>
      </c>
      <c r="F64" s="369">
        <v>77.8</v>
      </c>
      <c r="G64" s="369">
        <v>111.2</v>
      </c>
    </row>
    <row r="65" spans="1:7" ht="14.5" x14ac:dyDescent="0.3">
      <c r="A65" s="366">
        <v>4</v>
      </c>
      <c r="B65" s="368">
        <v>41.6</v>
      </c>
      <c r="C65" s="368">
        <v>62.7</v>
      </c>
      <c r="D65" s="368">
        <v>89.5</v>
      </c>
      <c r="E65" s="369">
        <v>31.9</v>
      </c>
      <c r="F65" s="369">
        <v>81.7</v>
      </c>
      <c r="G65" s="369">
        <v>104.9</v>
      </c>
    </row>
    <row r="66" spans="1:7" ht="14.5" x14ac:dyDescent="0.3">
      <c r="A66" s="366">
        <v>5</v>
      </c>
      <c r="B66" s="368">
        <v>42.7</v>
      </c>
      <c r="C66" s="368">
        <v>52.2</v>
      </c>
      <c r="D66" s="368">
        <v>89.2</v>
      </c>
      <c r="E66" s="369">
        <v>40.799999999999997</v>
      </c>
      <c r="F66" s="369">
        <v>65.8</v>
      </c>
      <c r="G66" s="369">
        <v>99.5</v>
      </c>
    </row>
    <row r="67" spans="1:7" ht="14.5" x14ac:dyDescent="0.3">
      <c r="A67" s="366">
        <v>6</v>
      </c>
      <c r="B67" s="368">
        <v>24.1</v>
      </c>
      <c r="C67" s="368">
        <v>68.599999999999994</v>
      </c>
      <c r="D67" s="368">
        <v>88.2</v>
      </c>
      <c r="E67" s="369">
        <v>52.5</v>
      </c>
      <c r="F67" s="369">
        <v>82.7</v>
      </c>
      <c r="G67" s="369">
        <v>119.6</v>
      </c>
    </row>
    <row r="68" spans="1:7" ht="14.5" x14ac:dyDescent="0.3">
      <c r="A68" s="366">
        <v>7</v>
      </c>
      <c r="B68" s="368">
        <v>47.8</v>
      </c>
      <c r="C68" s="368">
        <v>63.7</v>
      </c>
      <c r="D68" s="368">
        <v>86.6</v>
      </c>
      <c r="E68" s="369">
        <v>47.2</v>
      </c>
      <c r="F68" s="369">
        <v>93.3</v>
      </c>
      <c r="G68" s="369">
        <v>108</v>
      </c>
    </row>
    <row r="69" spans="1:7" ht="14.5" x14ac:dyDescent="0.3">
      <c r="A69" s="366">
        <v>8</v>
      </c>
      <c r="B69" s="368">
        <v>19.5</v>
      </c>
      <c r="C69" s="368">
        <v>61.7</v>
      </c>
      <c r="D69" s="368">
        <v>91.8</v>
      </c>
      <c r="E69" s="369">
        <v>34.299999999999997</v>
      </c>
      <c r="F69" s="369">
        <v>79.900000000000006</v>
      </c>
      <c r="G69" s="369">
        <v>98.9</v>
      </c>
    </row>
    <row r="70" spans="1:7" ht="14.5" x14ac:dyDescent="0.3">
      <c r="A70" s="366">
        <v>9</v>
      </c>
      <c r="B70" s="368">
        <v>43.3</v>
      </c>
      <c r="C70" s="368">
        <v>56.2</v>
      </c>
      <c r="D70" s="368">
        <v>97.7</v>
      </c>
      <c r="E70" s="369">
        <v>63.3</v>
      </c>
      <c r="F70" s="369">
        <v>87.4</v>
      </c>
      <c r="G70" s="369">
        <v>108</v>
      </c>
    </row>
    <row r="71" spans="1:7" ht="14.5" x14ac:dyDescent="0.3">
      <c r="A71" s="366">
        <v>10</v>
      </c>
      <c r="B71" s="368">
        <v>26.4</v>
      </c>
      <c r="C71" s="368">
        <v>59.6</v>
      </c>
      <c r="D71" s="368">
        <v>93.8</v>
      </c>
      <c r="E71" s="369">
        <v>53.2</v>
      </c>
      <c r="F71" s="369">
        <v>85.6</v>
      </c>
      <c r="G71" s="369">
        <v>119.7</v>
      </c>
    </row>
    <row r="72" spans="1:7" ht="14.5" x14ac:dyDescent="0.3">
      <c r="A72" s="366">
        <v>11</v>
      </c>
      <c r="B72" s="368">
        <v>37</v>
      </c>
      <c r="C72" s="368">
        <v>59.6</v>
      </c>
      <c r="D72" s="368">
        <v>80.099999999999994</v>
      </c>
      <c r="E72" s="367"/>
      <c r="F72" s="367"/>
      <c r="G72" s="367"/>
    </row>
    <row r="73" spans="1:7" ht="14.5" x14ac:dyDescent="0.3">
      <c r="A73" s="366">
        <v>12</v>
      </c>
      <c r="B73" s="368">
        <v>46.8</v>
      </c>
      <c r="C73" s="368">
        <v>52.7</v>
      </c>
      <c r="D73" s="368">
        <v>80.3</v>
      </c>
      <c r="E73" s="367"/>
      <c r="F73" s="367"/>
      <c r="G73" s="367"/>
    </row>
    <row r="74" spans="1:7" ht="14.5" x14ac:dyDescent="0.3">
      <c r="A74" s="366">
        <v>13</v>
      </c>
      <c r="B74" s="368">
        <v>18.8</v>
      </c>
      <c r="C74" s="368">
        <v>51.8</v>
      </c>
      <c r="D74" s="368">
        <v>73.5</v>
      </c>
      <c r="E74" s="367"/>
      <c r="F74" s="367"/>
      <c r="G74" s="367"/>
    </row>
    <row r="75" spans="1:7" ht="14.5" x14ac:dyDescent="0.3">
      <c r="A75" s="366">
        <v>14</v>
      </c>
      <c r="B75" s="368">
        <v>19.100000000000001</v>
      </c>
      <c r="C75" s="368">
        <v>66.8</v>
      </c>
      <c r="D75" s="368">
        <v>78.2</v>
      </c>
      <c r="E75" s="367"/>
      <c r="F75" s="367"/>
      <c r="G75" s="367"/>
    </row>
    <row r="76" spans="1:7" ht="14.5" x14ac:dyDescent="0.3">
      <c r="A76" s="366">
        <v>15</v>
      </c>
      <c r="B76" s="368">
        <v>36.1</v>
      </c>
      <c r="C76" s="368">
        <v>58.4</v>
      </c>
      <c r="D76" s="368">
        <v>71.2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31.2</v>
      </c>
      <c r="C80" s="373">
        <v>51.4</v>
      </c>
      <c r="D80" s="373">
        <v>98.8</v>
      </c>
      <c r="E80" s="374">
        <v>42.7</v>
      </c>
      <c r="F80" s="374">
        <v>87.3</v>
      </c>
      <c r="G80" s="374">
        <v>110.4</v>
      </c>
    </row>
    <row r="81" spans="1:7" ht="14.5" x14ac:dyDescent="0.3">
      <c r="A81" s="371">
        <v>2</v>
      </c>
      <c r="B81" s="373">
        <v>19.899999999999999</v>
      </c>
      <c r="C81" s="373">
        <v>55</v>
      </c>
      <c r="D81" s="373">
        <v>97.2</v>
      </c>
      <c r="E81" s="374">
        <v>55.8</v>
      </c>
      <c r="F81" s="374">
        <v>88.7</v>
      </c>
      <c r="G81" s="374">
        <v>110.4</v>
      </c>
    </row>
    <row r="82" spans="1:7" ht="14.5" x14ac:dyDescent="0.3">
      <c r="A82" s="371">
        <v>3</v>
      </c>
      <c r="B82" s="373">
        <v>33.799999999999997</v>
      </c>
      <c r="C82" s="373">
        <v>66.900000000000006</v>
      </c>
      <c r="D82" s="373">
        <v>81.3</v>
      </c>
      <c r="E82" s="374">
        <v>32.9</v>
      </c>
      <c r="F82" s="374">
        <v>85</v>
      </c>
      <c r="G82" s="374">
        <v>102.6</v>
      </c>
    </row>
    <row r="83" spans="1:7" ht="14.5" x14ac:dyDescent="0.3">
      <c r="A83" s="371">
        <v>4</v>
      </c>
      <c r="B83" s="373">
        <v>27.9</v>
      </c>
      <c r="C83" s="373">
        <v>58.8</v>
      </c>
      <c r="D83" s="373">
        <v>93.3</v>
      </c>
      <c r="E83" s="374">
        <v>61.2</v>
      </c>
      <c r="F83" s="374">
        <v>73.2</v>
      </c>
      <c r="G83" s="374">
        <v>117.1</v>
      </c>
    </row>
    <row r="84" spans="1:7" ht="14.5" x14ac:dyDescent="0.3">
      <c r="A84" s="371">
        <v>5</v>
      </c>
      <c r="B84" s="373">
        <v>41.3</v>
      </c>
      <c r="C84" s="373">
        <v>61.7</v>
      </c>
      <c r="D84" s="373">
        <v>81.400000000000006</v>
      </c>
      <c r="E84" s="374">
        <v>56.6</v>
      </c>
      <c r="F84" s="374">
        <v>76.2</v>
      </c>
      <c r="G84" s="374">
        <v>110.3</v>
      </c>
    </row>
    <row r="85" spans="1:7" ht="14.5" x14ac:dyDescent="0.3">
      <c r="A85" s="371">
        <v>6</v>
      </c>
      <c r="B85" s="373">
        <v>41.4</v>
      </c>
      <c r="C85" s="373">
        <v>65.599999999999994</v>
      </c>
      <c r="D85" s="373">
        <v>84.7</v>
      </c>
      <c r="E85" s="374">
        <v>36.299999999999997</v>
      </c>
      <c r="F85" s="374">
        <v>93.8</v>
      </c>
      <c r="G85" s="374">
        <v>117.2</v>
      </c>
    </row>
    <row r="86" spans="1:7" ht="14.5" x14ac:dyDescent="0.3">
      <c r="A86" s="371">
        <v>7</v>
      </c>
      <c r="B86" s="373">
        <v>28.4</v>
      </c>
      <c r="C86" s="373">
        <v>66.099999999999994</v>
      </c>
      <c r="D86" s="373">
        <v>96.6</v>
      </c>
      <c r="E86" s="374">
        <v>48.5</v>
      </c>
      <c r="F86" s="374">
        <v>67.599999999999994</v>
      </c>
      <c r="G86" s="374">
        <v>105.7</v>
      </c>
    </row>
    <row r="87" spans="1:7" ht="14.5" x14ac:dyDescent="0.3">
      <c r="A87" s="371">
        <v>8</v>
      </c>
      <c r="B87" s="373">
        <v>21.9</v>
      </c>
      <c r="C87" s="373">
        <v>66.7</v>
      </c>
      <c r="D87" s="373">
        <v>107.7</v>
      </c>
      <c r="E87" s="374">
        <v>48.9</v>
      </c>
      <c r="F87" s="374">
        <v>76.599999999999994</v>
      </c>
      <c r="G87" s="374">
        <v>100.8</v>
      </c>
    </row>
    <row r="88" spans="1:7" ht="14.5" x14ac:dyDescent="0.3">
      <c r="A88" s="371">
        <v>9</v>
      </c>
      <c r="B88" s="373">
        <v>25.8</v>
      </c>
      <c r="C88" s="373">
        <v>59.9</v>
      </c>
      <c r="D88" s="373">
        <v>95.6</v>
      </c>
      <c r="E88" s="374">
        <v>57.1</v>
      </c>
      <c r="F88" s="374">
        <v>69</v>
      </c>
      <c r="G88" s="374">
        <v>114.5</v>
      </c>
    </row>
    <row r="89" spans="1:7" ht="14.5" x14ac:dyDescent="0.3">
      <c r="A89" s="371">
        <v>10</v>
      </c>
      <c r="B89" s="373">
        <v>44.3</v>
      </c>
      <c r="C89" s="373">
        <v>50.2</v>
      </c>
      <c r="D89" s="373">
        <v>96.3</v>
      </c>
      <c r="E89" s="374">
        <v>47.3</v>
      </c>
      <c r="F89" s="374">
        <v>70</v>
      </c>
      <c r="G89" s="374">
        <v>113.3</v>
      </c>
    </row>
    <row r="90" spans="1:7" ht="14.5" x14ac:dyDescent="0.3">
      <c r="A90" s="371">
        <v>11</v>
      </c>
      <c r="B90" s="373">
        <v>33.9</v>
      </c>
      <c r="C90" s="373">
        <v>70</v>
      </c>
      <c r="D90" s="373">
        <v>93</v>
      </c>
      <c r="E90" s="374">
        <v>53.7</v>
      </c>
      <c r="F90" s="374">
        <v>92.8</v>
      </c>
      <c r="G90" s="374">
        <v>96.8</v>
      </c>
    </row>
    <row r="91" spans="1:7" ht="14.5" x14ac:dyDescent="0.3">
      <c r="A91" s="371">
        <v>12</v>
      </c>
      <c r="B91" s="373">
        <v>46.1</v>
      </c>
      <c r="C91" s="373">
        <v>65.5</v>
      </c>
      <c r="D91" s="373">
        <v>109.2</v>
      </c>
      <c r="E91" s="374">
        <v>33.6</v>
      </c>
      <c r="F91" s="374">
        <v>69</v>
      </c>
      <c r="G91" s="374">
        <v>105.7</v>
      </c>
    </row>
    <row r="92" spans="1:7" ht="14.5" x14ac:dyDescent="0.3">
      <c r="A92" s="371">
        <v>13</v>
      </c>
      <c r="B92" s="373">
        <v>49.1</v>
      </c>
      <c r="C92" s="373">
        <v>50.5</v>
      </c>
      <c r="D92" s="373">
        <v>107.6</v>
      </c>
      <c r="E92" s="375"/>
      <c r="F92" s="375"/>
      <c r="G92" s="375"/>
    </row>
    <row r="93" spans="1:7" ht="14.5" x14ac:dyDescent="0.3">
      <c r="A93" s="371">
        <v>14</v>
      </c>
      <c r="B93" s="373">
        <v>18.3</v>
      </c>
      <c r="C93" s="373">
        <v>50.8</v>
      </c>
      <c r="D93" s="373">
        <v>93.2</v>
      </c>
      <c r="E93" s="375"/>
      <c r="F93" s="375"/>
      <c r="G93" s="375"/>
    </row>
    <row r="94" spans="1:7" ht="14.5" x14ac:dyDescent="0.3">
      <c r="A94" s="371">
        <v>15</v>
      </c>
      <c r="B94" s="373">
        <v>35.200000000000003</v>
      </c>
      <c r="C94" s="373">
        <v>64.2</v>
      </c>
      <c r="D94" s="373">
        <v>106.1</v>
      </c>
      <c r="E94" s="375"/>
      <c r="F94" s="375"/>
      <c r="G94" s="375"/>
    </row>
    <row r="95" spans="1:7" ht="14.5" x14ac:dyDescent="0.3">
      <c r="A95" s="371">
        <v>16</v>
      </c>
      <c r="B95" s="373">
        <v>34.700000000000003</v>
      </c>
      <c r="C95" s="373">
        <v>58.2</v>
      </c>
      <c r="D95" s="373">
        <v>106.3</v>
      </c>
      <c r="E95" s="375"/>
      <c r="F95" s="375"/>
      <c r="G95" s="375"/>
    </row>
    <row r="96" spans="1:7" ht="14.5" x14ac:dyDescent="0.3">
      <c r="A96" s="371">
        <v>17</v>
      </c>
      <c r="B96" s="373">
        <v>31.5</v>
      </c>
      <c r="C96" s="373">
        <v>69</v>
      </c>
      <c r="D96" s="373">
        <v>71.8</v>
      </c>
      <c r="E96" s="375"/>
      <c r="F96" s="375"/>
      <c r="G96" s="375"/>
    </row>
    <row r="97" spans="1:7" ht="14.5" x14ac:dyDescent="0.3">
      <c r="A97" s="371">
        <v>18</v>
      </c>
      <c r="B97" s="373">
        <v>23.2</v>
      </c>
      <c r="C97" s="373">
        <v>69.3</v>
      </c>
      <c r="D97" s="373">
        <v>81.099999999999994</v>
      </c>
      <c r="E97" s="376"/>
      <c r="F97" s="376"/>
      <c r="G97" s="376"/>
    </row>
    <row r="98" spans="1:7" ht="14.5" x14ac:dyDescent="0.3">
      <c r="A98" s="371">
        <v>19</v>
      </c>
      <c r="B98" s="373">
        <v>29.2</v>
      </c>
      <c r="C98" s="373">
        <v>61.7</v>
      </c>
      <c r="D98" s="373">
        <v>110</v>
      </c>
      <c r="E98" s="376"/>
      <c r="F98" s="376"/>
      <c r="G98" s="376"/>
    </row>
    <row r="99" spans="1:7" ht="14.5" x14ac:dyDescent="0.3">
      <c r="A99" s="371">
        <v>20</v>
      </c>
      <c r="B99" s="373">
        <v>32.799999999999997</v>
      </c>
      <c r="C99" s="373">
        <v>55.2</v>
      </c>
      <c r="D99" s="373">
        <v>100.2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28.3</v>
      </c>
      <c r="C103" s="367">
        <v>64.7</v>
      </c>
      <c r="D103" s="367">
        <v>85.1</v>
      </c>
      <c r="E103" s="369">
        <v>38.1</v>
      </c>
      <c r="F103" s="369">
        <v>69.400000000000006</v>
      </c>
      <c r="G103" s="369">
        <v>95.9</v>
      </c>
    </row>
    <row r="104" spans="1:7" x14ac:dyDescent="0.25">
      <c r="A104" s="366">
        <v>2</v>
      </c>
      <c r="B104" s="367">
        <v>38.6</v>
      </c>
      <c r="C104" s="367">
        <v>62.2</v>
      </c>
      <c r="D104" s="367">
        <v>102.3</v>
      </c>
      <c r="E104" s="369">
        <v>33.6</v>
      </c>
      <c r="F104" s="369">
        <v>87.7</v>
      </c>
      <c r="G104" s="369">
        <v>96.7</v>
      </c>
    </row>
    <row r="105" spans="1:7" x14ac:dyDescent="0.25">
      <c r="A105" s="366">
        <v>3</v>
      </c>
      <c r="B105" s="367">
        <v>28.7</v>
      </c>
      <c r="C105" s="367">
        <v>51.3</v>
      </c>
      <c r="D105" s="367">
        <v>91</v>
      </c>
      <c r="E105" s="369">
        <v>48.4</v>
      </c>
      <c r="F105" s="369">
        <v>94.7</v>
      </c>
      <c r="G105" s="369">
        <v>103.7</v>
      </c>
    </row>
    <row r="106" spans="1:7" x14ac:dyDescent="0.25">
      <c r="A106" s="366">
        <v>4</v>
      </c>
      <c r="B106" s="367">
        <v>26.3</v>
      </c>
      <c r="C106" s="367">
        <v>65.5</v>
      </c>
      <c r="D106" s="367">
        <v>103.2</v>
      </c>
      <c r="E106" s="369">
        <v>33.4</v>
      </c>
      <c r="F106" s="369">
        <v>71.2</v>
      </c>
      <c r="G106" s="369">
        <v>98.2</v>
      </c>
    </row>
    <row r="107" spans="1:7" x14ac:dyDescent="0.25">
      <c r="A107" s="366">
        <v>5</v>
      </c>
      <c r="B107" s="367">
        <v>43.9</v>
      </c>
      <c r="C107" s="367">
        <v>69.2</v>
      </c>
      <c r="D107" s="367">
        <v>91.8</v>
      </c>
      <c r="E107" s="369">
        <v>37.1</v>
      </c>
      <c r="F107" s="369">
        <v>89.7</v>
      </c>
      <c r="G107" s="369">
        <v>105.1</v>
      </c>
    </row>
    <row r="108" spans="1:7" x14ac:dyDescent="0.25">
      <c r="A108" s="366">
        <v>6</v>
      </c>
      <c r="B108" s="367">
        <v>20.9</v>
      </c>
      <c r="C108" s="367">
        <v>51.3</v>
      </c>
      <c r="D108" s="367">
        <v>78.5</v>
      </c>
      <c r="E108" s="369">
        <v>33</v>
      </c>
      <c r="F108" s="369">
        <v>91.5</v>
      </c>
      <c r="G108" s="369">
        <v>109.1</v>
      </c>
    </row>
    <row r="109" spans="1:7" x14ac:dyDescent="0.25">
      <c r="A109" s="366">
        <v>7</v>
      </c>
      <c r="B109" s="367">
        <v>40.6</v>
      </c>
      <c r="C109" s="367">
        <v>55.2</v>
      </c>
      <c r="D109" s="367">
        <v>103.8</v>
      </c>
      <c r="E109" s="367"/>
      <c r="F109" s="367"/>
      <c r="G109" s="367"/>
    </row>
    <row r="110" spans="1:7" x14ac:dyDescent="0.25">
      <c r="A110" s="366">
        <v>8</v>
      </c>
      <c r="B110" s="367">
        <v>44.8</v>
      </c>
      <c r="C110" s="367">
        <v>67.599999999999994</v>
      </c>
      <c r="D110" s="367">
        <v>105.7</v>
      </c>
      <c r="E110" s="367"/>
      <c r="F110" s="367"/>
      <c r="G110" s="367"/>
    </row>
    <row r="111" spans="1:7" x14ac:dyDescent="0.25">
      <c r="A111" s="366">
        <v>9</v>
      </c>
      <c r="B111" s="367">
        <v>30.4</v>
      </c>
      <c r="C111" s="367">
        <v>56.6</v>
      </c>
      <c r="D111" s="367">
        <v>101.9</v>
      </c>
      <c r="E111" s="367"/>
      <c r="F111" s="367"/>
      <c r="G111" s="367"/>
    </row>
    <row r="112" spans="1:7" x14ac:dyDescent="0.25">
      <c r="A112" s="366">
        <v>10</v>
      </c>
      <c r="B112" s="367">
        <v>25.7</v>
      </c>
      <c r="C112" s="367">
        <v>60.8</v>
      </c>
      <c r="D112" s="367">
        <v>98.7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74.900000000000006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35.799999999999997</v>
      </c>
      <c r="C117" s="357">
        <v>68.599999999999994</v>
      </c>
      <c r="D117" s="357">
        <v>74.7</v>
      </c>
      <c r="E117" s="357"/>
      <c r="F117" s="357"/>
      <c r="G117" s="357"/>
    </row>
    <row r="118" spans="1:7" x14ac:dyDescent="0.25">
      <c r="A118" s="356">
        <v>2</v>
      </c>
      <c r="B118" s="357">
        <v>22.6</v>
      </c>
      <c r="C118" s="357">
        <v>58.5</v>
      </c>
      <c r="D118" s="357">
        <v>72.2</v>
      </c>
      <c r="E118" s="357"/>
      <c r="F118" s="357"/>
      <c r="G118" s="357"/>
    </row>
    <row r="119" spans="1:7" x14ac:dyDescent="0.25">
      <c r="A119" s="356">
        <v>3</v>
      </c>
      <c r="B119" s="357">
        <v>35.1</v>
      </c>
      <c r="C119" s="357">
        <v>53.3</v>
      </c>
      <c r="D119" s="357">
        <v>72.2</v>
      </c>
      <c r="E119" s="357"/>
      <c r="F119" s="357"/>
      <c r="G119" s="357"/>
    </row>
    <row r="120" spans="1:7" x14ac:dyDescent="0.25">
      <c r="A120" s="356">
        <v>4</v>
      </c>
      <c r="B120" s="357">
        <v>35.799999999999997</v>
      </c>
      <c r="C120" s="357">
        <v>50.6</v>
      </c>
      <c r="D120" s="357">
        <v>93.2</v>
      </c>
      <c r="E120" s="357"/>
      <c r="F120" s="357"/>
      <c r="G120" s="357"/>
    </row>
    <row r="121" spans="1:7" x14ac:dyDescent="0.25">
      <c r="A121" s="356">
        <v>5</v>
      </c>
      <c r="B121" s="357">
        <v>44.8</v>
      </c>
      <c r="C121" s="357">
        <v>51.1</v>
      </c>
      <c r="D121" s="357">
        <v>75.2</v>
      </c>
      <c r="E121" s="357"/>
      <c r="F121" s="357"/>
      <c r="G121" s="357"/>
    </row>
    <row r="122" spans="1:7" x14ac:dyDescent="0.25">
      <c r="A122" s="356">
        <v>6</v>
      </c>
      <c r="B122" s="357">
        <v>32.299999999999997</v>
      </c>
      <c r="C122" s="357">
        <v>53.6</v>
      </c>
      <c r="D122" s="357">
        <v>98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61.5</v>
      </c>
      <c r="C127" s="380">
        <f>ROUNDDOWN(AVERAGE(E5:G12),1)</f>
        <v>76.599999999999994</v>
      </c>
      <c r="D127" s="378">
        <v>19899</v>
      </c>
      <c r="E127" s="378">
        <v>12621</v>
      </c>
      <c r="F127" s="378">
        <f>B127*D127</f>
        <v>1223788.5</v>
      </c>
      <c r="G127" s="378">
        <f>C127*E127</f>
        <v>966768.6</v>
      </c>
    </row>
    <row r="128" spans="1:7" x14ac:dyDescent="0.25">
      <c r="A128" s="379" t="str">
        <f>A17</f>
        <v>Chongzuo Zuozhou swine Farm</v>
      </c>
      <c r="B128" s="380">
        <f>ROUNDDOWN(AVERAGE(B20:D26),1)</f>
        <v>62.4</v>
      </c>
      <c r="C128" s="380">
        <f>ROUNDDOWN(AVERAGE(E20:G23),1)</f>
        <v>79.900000000000006</v>
      </c>
      <c r="D128" s="378">
        <v>10998</v>
      </c>
      <c r="E128" s="378">
        <v>6953</v>
      </c>
      <c r="F128" s="378">
        <f t="shared" ref="F128:G135" si="0">B128*D128</f>
        <v>686275.2</v>
      </c>
      <c r="G128" s="378">
        <f>C128*E128</f>
        <v>555544.70000000007</v>
      </c>
    </row>
    <row r="129" spans="1:7" x14ac:dyDescent="0.25">
      <c r="A129" s="379" t="str">
        <f>A27</f>
        <v>Tianyang Wucun swine Farm</v>
      </c>
      <c r="B129" s="380">
        <f>ROUNDDOWN(AVERAGE(B30:D35),1)</f>
        <v>62.8</v>
      </c>
      <c r="C129" s="380">
        <f>ROUNDDOWN(AVERAGE(E30:G35),1)</f>
        <v>74.099999999999994</v>
      </c>
      <c r="D129" s="378">
        <v>9501</v>
      </c>
      <c r="E129" s="378">
        <v>6016</v>
      </c>
      <c r="F129" s="378">
        <f t="shared" si="0"/>
        <v>596662.79999999993</v>
      </c>
      <c r="G129" s="378">
        <f>C129*E129</f>
        <v>445785.59999999998</v>
      </c>
    </row>
    <row r="130" spans="1:7" x14ac:dyDescent="0.25">
      <c r="A130" s="379" t="str">
        <f>A36</f>
        <v>Quanzhou Dengjiabu swine Farm</v>
      </c>
      <c r="B130" s="380">
        <f>ROUNDDOWN(AVERAGE(B39:D42),1)</f>
        <v>60.8</v>
      </c>
      <c r="C130" s="380">
        <f>ROUNDDOWN(AVERAGE(E39:G42),1)</f>
        <v>84.8</v>
      </c>
      <c r="D130" s="378">
        <v>5446</v>
      </c>
      <c r="E130" s="378">
        <v>3353</v>
      </c>
      <c r="F130" s="378">
        <f t="shared" si="0"/>
        <v>331116.79999999999</v>
      </c>
      <c r="G130" s="378">
        <f t="shared" si="0"/>
        <v>284334.39999999997</v>
      </c>
    </row>
    <row r="131" spans="1:7" x14ac:dyDescent="0.25">
      <c r="A131" s="379" t="str">
        <f>A43</f>
        <v>Chongzuo Quming swine Farm</v>
      </c>
      <c r="B131" s="380">
        <f>ROUNDDOWN(AVERAGE(B46:D58),1)</f>
        <v>61.9</v>
      </c>
      <c r="C131" s="380">
        <f>ROUNDDOWN(AVERAGE(E46:G53),1)</f>
        <v>77.400000000000006</v>
      </c>
      <c r="D131" s="378">
        <v>22352</v>
      </c>
      <c r="E131" s="378">
        <v>13965</v>
      </c>
      <c r="F131" s="378">
        <f t="shared" si="0"/>
        <v>1383588.8</v>
      </c>
      <c r="G131" s="378">
        <f t="shared" si="0"/>
        <v>1080891</v>
      </c>
    </row>
    <row r="132" spans="1:7" x14ac:dyDescent="0.25">
      <c r="A132" s="379" t="str">
        <f>A59</f>
        <v>Jingxi swine Farm</v>
      </c>
      <c r="B132" s="380">
        <f>ROUNDDOWN(AVERAGE(B62:D76),1)</f>
        <v>59.7</v>
      </c>
      <c r="C132" s="380">
        <f>ROUNDDOWN(AVERAGE(E62:G71),1)</f>
        <v>78.3</v>
      </c>
      <c r="D132" s="378">
        <v>26116</v>
      </c>
      <c r="E132" s="378">
        <v>15890</v>
      </c>
      <c r="F132" s="378">
        <f t="shared" si="0"/>
        <v>1559125.2000000002</v>
      </c>
      <c r="G132" s="378">
        <f t="shared" si="0"/>
        <v>1244187</v>
      </c>
    </row>
    <row r="133" spans="1:7" x14ac:dyDescent="0.25">
      <c r="A133" s="379" t="str">
        <f>A77</f>
        <v>Liucheng Mashan swine Farm</v>
      </c>
      <c r="B133" s="380">
        <f>ROUNDDOWN(AVERAGE(B80:D99),1)</f>
        <v>62.9</v>
      </c>
      <c r="C133" s="378">
        <f>ROUNDDOWN(AVERAGE(E80:G91),1)</f>
        <v>78.5</v>
      </c>
      <c r="D133" s="378">
        <v>33500</v>
      </c>
      <c r="E133" s="378">
        <v>20682</v>
      </c>
      <c r="F133" s="378">
        <f t="shared" si="0"/>
        <v>2107150</v>
      </c>
      <c r="G133" s="378">
        <f t="shared" si="0"/>
        <v>1623537</v>
      </c>
    </row>
    <row r="134" spans="1:7" x14ac:dyDescent="0.25">
      <c r="A134" s="379" t="str">
        <f>A100</f>
        <v>Tengxian Tianping swine Farm</v>
      </c>
      <c r="B134" s="380">
        <f>ROUNDDOWN(AVERAGE(B103:D113),1)</f>
        <v>63.5</v>
      </c>
      <c r="C134" s="378">
        <f>ROUNDDOWN(AVERAGE(E103:G108),1)</f>
        <v>74.2</v>
      </c>
      <c r="D134" s="378">
        <v>16255</v>
      </c>
      <c r="E134" s="378">
        <v>10374</v>
      </c>
      <c r="F134" s="378">
        <f t="shared" si="0"/>
        <v>1032192.5</v>
      </c>
      <c r="G134" s="378">
        <f t="shared" si="0"/>
        <v>769750.8</v>
      </c>
    </row>
    <row r="135" spans="1:7" x14ac:dyDescent="0.25">
      <c r="A135" s="379" t="str">
        <f>A114</f>
        <v>Debao Chengguan swine Farm</v>
      </c>
      <c r="B135" s="380">
        <f>ROUNDDOWN(AVERAGE(B117:D122),1)</f>
        <v>57</v>
      </c>
      <c r="C135" s="378">
        <v>0</v>
      </c>
      <c r="D135" s="378">
        <v>8758</v>
      </c>
      <c r="E135" s="378">
        <v>0</v>
      </c>
      <c r="F135" s="378">
        <f t="shared" si="0"/>
        <v>499206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89854</v>
      </c>
      <c r="F136" s="378">
        <f>SUM(F127:F135)</f>
        <v>9419105.8000000007</v>
      </c>
      <c r="G136" s="378">
        <f>SUM(G127:G134)</f>
        <v>6970799.0999999996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61.6</v>
      </c>
      <c r="D140" s="381">
        <f>ROUNDDOWN(G136/E136,1)</f>
        <v>77.5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0389-0986-4D98-84E1-EBAA8A2050FF}">
  <dimension ref="A1:G140"/>
  <sheetViews>
    <sheetView topLeftCell="A34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23.4</v>
      </c>
      <c r="C5" s="345">
        <v>57.1</v>
      </c>
      <c r="D5" s="345">
        <v>104.2</v>
      </c>
      <c r="E5" s="346">
        <v>30.7</v>
      </c>
      <c r="F5" s="346">
        <v>72.900000000000006</v>
      </c>
      <c r="G5" s="346">
        <v>110.3</v>
      </c>
    </row>
    <row r="6" spans="1:7" x14ac:dyDescent="0.25">
      <c r="A6" s="343">
        <v>2</v>
      </c>
      <c r="B6" s="345">
        <v>22.8</v>
      </c>
      <c r="C6" s="345">
        <v>54.4</v>
      </c>
      <c r="D6" s="345">
        <v>91.3</v>
      </c>
      <c r="E6" s="346">
        <v>63.7</v>
      </c>
      <c r="F6" s="346">
        <v>82.9</v>
      </c>
      <c r="G6" s="346">
        <v>98</v>
      </c>
    </row>
    <row r="7" spans="1:7" x14ac:dyDescent="0.25">
      <c r="A7" s="343">
        <v>3</v>
      </c>
      <c r="B7" s="345">
        <v>23.2</v>
      </c>
      <c r="C7" s="345">
        <v>55.1</v>
      </c>
      <c r="D7" s="345">
        <v>103.3</v>
      </c>
      <c r="E7" s="346">
        <v>56.9</v>
      </c>
      <c r="F7" s="346">
        <v>88.2</v>
      </c>
      <c r="G7" s="346">
        <v>99.7</v>
      </c>
    </row>
    <row r="8" spans="1:7" x14ac:dyDescent="0.25">
      <c r="A8" s="343">
        <v>4</v>
      </c>
      <c r="B8" s="345">
        <v>38.700000000000003</v>
      </c>
      <c r="C8" s="345">
        <v>62.6</v>
      </c>
      <c r="D8" s="345">
        <v>98.5</v>
      </c>
      <c r="E8" s="346">
        <v>35.1</v>
      </c>
      <c r="F8" s="346">
        <v>69.8</v>
      </c>
      <c r="G8" s="346">
        <v>97.1</v>
      </c>
    </row>
    <row r="9" spans="1:7" x14ac:dyDescent="0.25">
      <c r="A9" s="343">
        <v>5</v>
      </c>
      <c r="B9" s="345">
        <v>48.2</v>
      </c>
      <c r="C9" s="345">
        <v>61.6</v>
      </c>
      <c r="D9" s="345">
        <v>75.2</v>
      </c>
      <c r="E9" s="346">
        <v>44.6</v>
      </c>
      <c r="F9" s="346">
        <v>72.599999999999994</v>
      </c>
      <c r="G9" s="346">
        <v>97.9</v>
      </c>
    </row>
    <row r="10" spans="1:7" x14ac:dyDescent="0.25">
      <c r="A10" s="343">
        <v>6</v>
      </c>
      <c r="B10" s="345">
        <v>35</v>
      </c>
      <c r="C10" s="345">
        <v>50.3</v>
      </c>
      <c r="D10" s="345">
        <v>103.8</v>
      </c>
      <c r="E10" s="346">
        <v>36.9</v>
      </c>
      <c r="F10" s="346">
        <v>94.1</v>
      </c>
      <c r="G10" s="346">
        <v>109.5</v>
      </c>
    </row>
    <row r="11" spans="1:7" x14ac:dyDescent="0.25">
      <c r="A11" s="343">
        <v>7</v>
      </c>
      <c r="B11" s="345">
        <v>43.2</v>
      </c>
      <c r="C11" s="345">
        <v>50.4</v>
      </c>
      <c r="D11" s="345">
        <v>101.4</v>
      </c>
      <c r="E11" s="346">
        <v>31.7</v>
      </c>
      <c r="F11" s="346">
        <v>81.5</v>
      </c>
      <c r="G11" s="346">
        <v>107</v>
      </c>
    </row>
    <row r="12" spans="1:7" x14ac:dyDescent="0.25">
      <c r="A12" s="343">
        <v>8</v>
      </c>
      <c r="B12" s="345">
        <v>34.700000000000003</v>
      </c>
      <c r="C12" s="345">
        <v>58.1</v>
      </c>
      <c r="D12" s="345">
        <v>98.7</v>
      </c>
      <c r="E12" s="346">
        <v>60.5</v>
      </c>
      <c r="F12" s="346">
        <v>69.7</v>
      </c>
      <c r="G12" s="346">
        <v>106.3</v>
      </c>
    </row>
    <row r="13" spans="1:7" x14ac:dyDescent="0.25">
      <c r="A13" s="343">
        <v>9</v>
      </c>
      <c r="B13" s="345">
        <v>48.5</v>
      </c>
      <c r="C13" s="345">
        <v>62.1</v>
      </c>
      <c r="D13" s="345">
        <v>94.5</v>
      </c>
      <c r="E13" s="345"/>
      <c r="F13" s="345"/>
      <c r="G13" s="345"/>
    </row>
    <row r="14" spans="1:7" x14ac:dyDescent="0.25">
      <c r="A14" s="343">
        <v>10</v>
      </c>
      <c r="B14" s="345">
        <v>22.1</v>
      </c>
      <c r="C14" s="345">
        <v>67.599999999999994</v>
      </c>
      <c r="D14" s="345">
        <v>81.099999999999994</v>
      </c>
      <c r="E14" s="345"/>
      <c r="F14" s="345"/>
      <c r="G14" s="345"/>
    </row>
    <row r="15" spans="1:7" x14ac:dyDescent="0.25">
      <c r="A15" s="343">
        <v>11</v>
      </c>
      <c r="B15" s="345">
        <v>46.8</v>
      </c>
      <c r="C15" s="345">
        <v>50</v>
      </c>
      <c r="D15" s="345">
        <v>87.7</v>
      </c>
      <c r="E15" s="345"/>
      <c r="F15" s="345"/>
      <c r="G15" s="345"/>
    </row>
    <row r="16" spans="1:7" x14ac:dyDescent="0.25">
      <c r="A16" s="343">
        <v>12</v>
      </c>
      <c r="B16" s="345">
        <v>23.5</v>
      </c>
      <c r="C16" s="345">
        <v>56.8</v>
      </c>
      <c r="D16" s="345">
        <v>71.7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35.5</v>
      </c>
      <c r="C20" s="350">
        <v>56.7</v>
      </c>
      <c r="D20" s="350">
        <v>109</v>
      </c>
      <c r="E20" s="350">
        <v>32.700000000000003</v>
      </c>
      <c r="F20" s="350">
        <v>72.2</v>
      </c>
      <c r="G20" s="350">
        <v>103.4</v>
      </c>
    </row>
    <row r="21" spans="1:7" x14ac:dyDescent="0.25">
      <c r="A21" s="348">
        <v>2</v>
      </c>
      <c r="B21" s="350">
        <v>29.9</v>
      </c>
      <c r="C21" s="350">
        <v>52.7</v>
      </c>
      <c r="D21" s="350">
        <v>93.7</v>
      </c>
      <c r="E21" s="350">
        <v>50.3</v>
      </c>
      <c r="F21" s="350">
        <v>77.400000000000006</v>
      </c>
      <c r="G21" s="350">
        <v>99.2</v>
      </c>
    </row>
    <row r="22" spans="1:7" x14ac:dyDescent="0.25">
      <c r="A22" s="348">
        <v>3</v>
      </c>
      <c r="B22" s="350">
        <v>26.4</v>
      </c>
      <c r="C22" s="350">
        <v>63.9</v>
      </c>
      <c r="D22" s="350">
        <v>98</v>
      </c>
      <c r="E22" s="350">
        <v>52.1</v>
      </c>
      <c r="F22" s="350">
        <v>66.400000000000006</v>
      </c>
      <c r="G22" s="350">
        <v>108.5</v>
      </c>
    </row>
    <row r="23" spans="1:7" x14ac:dyDescent="0.25">
      <c r="A23" s="348">
        <v>4</v>
      </c>
      <c r="B23" s="350">
        <v>41.3</v>
      </c>
      <c r="C23" s="350">
        <v>61.2</v>
      </c>
      <c r="D23" s="350">
        <v>96</v>
      </c>
      <c r="E23" s="350">
        <v>34.200000000000003</v>
      </c>
      <c r="F23" s="350">
        <v>74.099999999999994</v>
      </c>
      <c r="G23" s="350">
        <v>110.4</v>
      </c>
    </row>
    <row r="24" spans="1:7" x14ac:dyDescent="0.25">
      <c r="A24" s="348">
        <v>5</v>
      </c>
      <c r="B24" s="350">
        <v>36</v>
      </c>
      <c r="C24" s="350">
        <v>68.5</v>
      </c>
      <c r="D24" s="350">
        <v>103.5</v>
      </c>
      <c r="E24" s="350"/>
      <c r="F24" s="350"/>
      <c r="G24" s="350"/>
    </row>
    <row r="25" spans="1:7" x14ac:dyDescent="0.25">
      <c r="A25" s="348">
        <v>6</v>
      </c>
      <c r="B25" s="350">
        <v>28.9</v>
      </c>
      <c r="C25" s="350">
        <v>55</v>
      </c>
      <c r="D25" s="350">
        <v>82.4</v>
      </c>
      <c r="E25" s="350"/>
      <c r="F25" s="350"/>
      <c r="G25" s="350"/>
    </row>
    <row r="26" spans="1:7" x14ac:dyDescent="0.25">
      <c r="A26" s="348">
        <v>7</v>
      </c>
      <c r="B26" s="350">
        <v>34.799999999999997</v>
      </c>
      <c r="C26" s="350">
        <v>60.3</v>
      </c>
      <c r="D26" s="350">
        <v>71.5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22.6</v>
      </c>
      <c r="C30" s="353">
        <v>57.9</v>
      </c>
      <c r="D30" s="353">
        <v>79.7</v>
      </c>
      <c r="E30" s="354">
        <v>55.7</v>
      </c>
      <c r="F30" s="354">
        <v>65.099999999999994</v>
      </c>
      <c r="G30" s="354">
        <v>114.5</v>
      </c>
    </row>
    <row r="31" spans="1:7" x14ac:dyDescent="0.25">
      <c r="A31" s="352">
        <v>2</v>
      </c>
      <c r="B31" s="353">
        <v>48.5</v>
      </c>
      <c r="C31" s="353">
        <v>64.400000000000006</v>
      </c>
      <c r="D31" s="353">
        <v>90.6</v>
      </c>
      <c r="E31" s="354">
        <v>30.9</v>
      </c>
      <c r="F31" s="354">
        <v>86.8</v>
      </c>
      <c r="G31" s="354">
        <v>100.7</v>
      </c>
    </row>
    <row r="32" spans="1:7" x14ac:dyDescent="0.25">
      <c r="A32" s="352">
        <v>3</v>
      </c>
      <c r="B32" s="353">
        <v>24.4</v>
      </c>
      <c r="C32" s="353">
        <v>65.599999999999994</v>
      </c>
      <c r="D32" s="353">
        <v>100</v>
      </c>
      <c r="E32" s="354">
        <v>41.2</v>
      </c>
      <c r="F32" s="354">
        <v>88.1</v>
      </c>
      <c r="G32" s="354">
        <v>119.6</v>
      </c>
    </row>
    <row r="33" spans="1:7" x14ac:dyDescent="0.25">
      <c r="A33" s="352">
        <v>4</v>
      </c>
      <c r="B33" s="353">
        <v>22.3</v>
      </c>
      <c r="C33" s="353">
        <v>58.6</v>
      </c>
      <c r="D33" s="353">
        <v>79.099999999999994</v>
      </c>
      <c r="E33" s="354">
        <v>49.4</v>
      </c>
      <c r="F33" s="354">
        <v>93.6</v>
      </c>
      <c r="G33" s="354">
        <v>104.6</v>
      </c>
    </row>
    <row r="34" spans="1:7" x14ac:dyDescent="0.25">
      <c r="A34" s="352">
        <v>5</v>
      </c>
      <c r="B34" s="353">
        <v>48.6</v>
      </c>
      <c r="C34" s="353">
        <v>65</v>
      </c>
      <c r="D34" s="353">
        <v>79.099999999999994</v>
      </c>
      <c r="E34" s="353"/>
      <c r="F34" s="353"/>
      <c r="G34" s="353"/>
    </row>
    <row r="35" spans="1:7" x14ac:dyDescent="0.25">
      <c r="A35" s="352">
        <v>6</v>
      </c>
      <c r="B35" s="353">
        <v>41.2</v>
      </c>
      <c r="C35" s="353">
        <v>53.9</v>
      </c>
      <c r="D35" s="353">
        <v>73.400000000000006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33.700000000000003</v>
      </c>
      <c r="C39" s="357">
        <v>54.6</v>
      </c>
      <c r="D39" s="357">
        <v>98.8</v>
      </c>
      <c r="E39" s="358">
        <v>56.5</v>
      </c>
      <c r="F39" s="358">
        <v>86.9</v>
      </c>
      <c r="G39" s="358">
        <v>111.5</v>
      </c>
    </row>
    <row r="40" spans="1:7" x14ac:dyDescent="0.25">
      <c r="A40" s="356">
        <v>2</v>
      </c>
      <c r="B40" s="357">
        <v>46.8</v>
      </c>
      <c r="C40" s="357">
        <v>53.6</v>
      </c>
      <c r="D40" s="357">
        <v>101.3</v>
      </c>
      <c r="E40" s="358">
        <v>46</v>
      </c>
      <c r="F40" s="358">
        <v>80.3</v>
      </c>
      <c r="G40" s="358">
        <v>108.9</v>
      </c>
    </row>
    <row r="41" spans="1:7" x14ac:dyDescent="0.25">
      <c r="A41" s="356">
        <v>3</v>
      </c>
      <c r="B41" s="357">
        <v>25</v>
      </c>
      <c r="C41" s="357">
        <v>66.3</v>
      </c>
      <c r="D41" s="357">
        <v>88.8</v>
      </c>
      <c r="E41" s="357"/>
      <c r="F41" s="358">
        <v>86.7</v>
      </c>
      <c r="G41" s="358">
        <v>117.4</v>
      </c>
    </row>
    <row r="42" spans="1:7" x14ac:dyDescent="0.25">
      <c r="A42" s="356">
        <v>4</v>
      </c>
      <c r="B42" s="357">
        <v>35.799999999999997</v>
      </c>
      <c r="C42" s="357">
        <v>60</v>
      </c>
      <c r="D42" s="357">
        <v>107.5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30.8</v>
      </c>
      <c r="C46" s="362">
        <v>55</v>
      </c>
      <c r="D46" s="362">
        <v>79.099999999999994</v>
      </c>
      <c r="E46" s="363">
        <v>54.5</v>
      </c>
      <c r="F46" s="363">
        <v>93.5</v>
      </c>
      <c r="G46" s="363">
        <v>101.9</v>
      </c>
    </row>
    <row r="47" spans="1:7" ht="14.5" x14ac:dyDescent="0.3">
      <c r="A47" s="360">
        <v>2</v>
      </c>
      <c r="B47" s="362">
        <v>29.5</v>
      </c>
      <c r="C47" s="362">
        <v>50.6</v>
      </c>
      <c r="D47" s="362">
        <v>89.1</v>
      </c>
      <c r="E47" s="363">
        <v>57.6</v>
      </c>
      <c r="F47" s="363">
        <v>94.4</v>
      </c>
      <c r="G47" s="363">
        <v>100.1</v>
      </c>
    </row>
    <row r="48" spans="1:7" ht="14.5" x14ac:dyDescent="0.3">
      <c r="A48" s="360">
        <v>3</v>
      </c>
      <c r="B48" s="362">
        <v>19.899999999999999</v>
      </c>
      <c r="C48" s="362">
        <v>62.4</v>
      </c>
      <c r="D48" s="362">
        <v>70</v>
      </c>
      <c r="E48" s="363">
        <v>40.5</v>
      </c>
      <c r="F48" s="363">
        <v>67.3</v>
      </c>
      <c r="G48" s="363">
        <v>115</v>
      </c>
    </row>
    <row r="49" spans="1:7" ht="14.5" x14ac:dyDescent="0.3">
      <c r="A49" s="360">
        <v>4</v>
      </c>
      <c r="B49" s="362">
        <v>25.4</v>
      </c>
      <c r="C49" s="362">
        <v>57.9</v>
      </c>
      <c r="D49" s="362">
        <v>104.6</v>
      </c>
      <c r="E49" s="363">
        <v>36.799999999999997</v>
      </c>
      <c r="F49" s="363">
        <v>83.7</v>
      </c>
      <c r="G49" s="363">
        <v>118.7</v>
      </c>
    </row>
    <row r="50" spans="1:7" ht="14.5" x14ac:dyDescent="0.3">
      <c r="A50" s="360">
        <v>5</v>
      </c>
      <c r="B50" s="362">
        <v>27.7</v>
      </c>
      <c r="C50" s="362">
        <v>63.1</v>
      </c>
      <c r="D50" s="362">
        <v>71.599999999999994</v>
      </c>
      <c r="E50" s="363">
        <v>51.1</v>
      </c>
      <c r="F50" s="363">
        <v>79.599999999999994</v>
      </c>
      <c r="G50" s="363">
        <v>111.5</v>
      </c>
    </row>
    <row r="51" spans="1:7" ht="14.5" x14ac:dyDescent="0.3">
      <c r="A51" s="360">
        <v>6</v>
      </c>
      <c r="B51" s="362">
        <v>29.4</v>
      </c>
      <c r="C51" s="362">
        <v>58.2</v>
      </c>
      <c r="D51" s="362">
        <v>72.900000000000006</v>
      </c>
      <c r="E51" s="363">
        <v>52.5</v>
      </c>
      <c r="F51" s="363">
        <v>77.2</v>
      </c>
      <c r="G51" s="363">
        <v>100.1</v>
      </c>
    </row>
    <row r="52" spans="1:7" ht="14.5" x14ac:dyDescent="0.3">
      <c r="A52" s="360">
        <v>7</v>
      </c>
      <c r="B52" s="362">
        <v>22.1</v>
      </c>
      <c r="C52" s="362">
        <v>61.4</v>
      </c>
      <c r="D52" s="362">
        <v>71.2</v>
      </c>
      <c r="E52" s="363">
        <v>31.5</v>
      </c>
      <c r="F52" s="363">
        <v>82.7</v>
      </c>
      <c r="G52" s="363">
        <v>111.7</v>
      </c>
    </row>
    <row r="53" spans="1:7" ht="14.5" x14ac:dyDescent="0.3">
      <c r="A53" s="360">
        <v>8</v>
      </c>
      <c r="B53" s="362">
        <v>48.5</v>
      </c>
      <c r="C53" s="362">
        <v>67.599999999999994</v>
      </c>
      <c r="D53" s="362">
        <v>87.1</v>
      </c>
      <c r="E53" s="363">
        <v>31.3</v>
      </c>
      <c r="F53" s="363">
        <v>68.3</v>
      </c>
      <c r="G53" s="363">
        <v>100.3</v>
      </c>
    </row>
    <row r="54" spans="1:7" ht="14.5" x14ac:dyDescent="0.3">
      <c r="A54" s="360">
        <v>9</v>
      </c>
      <c r="B54" s="362">
        <v>48.3</v>
      </c>
      <c r="C54" s="362">
        <v>51.5</v>
      </c>
      <c r="D54" s="362">
        <v>104.5</v>
      </c>
      <c r="E54" s="362"/>
      <c r="F54" s="362"/>
      <c r="G54" s="362"/>
    </row>
    <row r="55" spans="1:7" ht="14.5" x14ac:dyDescent="0.3">
      <c r="A55" s="360">
        <v>10</v>
      </c>
      <c r="B55" s="362">
        <v>30.7</v>
      </c>
      <c r="C55" s="362">
        <v>64.2</v>
      </c>
      <c r="D55" s="362">
        <v>71.599999999999994</v>
      </c>
      <c r="E55" s="364"/>
      <c r="F55" s="364"/>
      <c r="G55" s="364"/>
    </row>
    <row r="56" spans="1:7" ht="14.5" x14ac:dyDescent="0.3">
      <c r="A56" s="360">
        <v>11</v>
      </c>
      <c r="B56" s="362">
        <v>20</v>
      </c>
      <c r="C56" s="362">
        <v>68.2</v>
      </c>
      <c r="D56" s="362">
        <v>97</v>
      </c>
      <c r="E56" s="364"/>
      <c r="F56" s="364"/>
      <c r="G56" s="364"/>
    </row>
    <row r="57" spans="1:7" ht="14.5" x14ac:dyDescent="0.3">
      <c r="A57" s="360">
        <v>12</v>
      </c>
      <c r="B57" s="362">
        <v>35.6</v>
      </c>
      <c r="C57" s="362">
        <v>58.4</v>
      </c>
      <c r="D57" s="362">
        <v>70.400000000000006</v>
      </c>
      <c r="E57" s="364"/>
      <c r="F57" s="364"/>
      <c r="G57" s="364"/>
    </row>
    <row r="58" spans="1:7" ht="14.5" x14ac:dyDescent="0.3">
      <c r="A58" s="360">
        <v>13</v>
      </c>
      <c r="B58" s="362">
        <v>41.1</v>
      </c>
      <c r="C58" s="362">
        <v>67.2</v>
      </c>
      <c r="D58" s="362">
        <v>99.2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21.7</v>
      </c>
      <c r="C62" s="368">
        <v>60.1</v>
      </c>
      <c r="D62" s="368">
        <v>97.2</v>
      </c>
      <c r="E62" s="369">
        <v>36.5</v>
      </c>
      <c r="F62" s="369">
        <v>81.3</v>
      </c>
      <c r="G62" s="369">
        <v>114</v>
      </c>
    </row>
    <row r="63" spans="1:7" ht="14.5" x14ac:dyDescent="0.3">
      <c r="A63" s="366">
        <v>2</v>
      </c>
      <c r="B63" s="368">
        <v>40</v>
      </c>
      <c r="C63" s="368">
        <v>51.9</v>
      </c>
      <c r="D63" s="368">
        <v>73.8</v>
      </c>
      <c r="E63" s="369">
        <v>40</v>
      </c>
      <c r="F63" s="369">
        <v>74.2</v>
      </c>
      <c r="G63" s="369">
        <v>96</v>
      </c>
    </row>
    <row r="64" spans="1:7" ht="14.5" x14ac:dyDescent="0.3">
      <c r="A64" s="366">
        <v>3</v>
      </c>
      <c r="B64" s="368">
        <v>43.2</v>
      </c>
      <c r="C64" s="368">
        <v>62.8</v>
      </c>
      <c r="D64" s="368">
        <v>90.5</v>
      </c>
      <c r="E64" s="369">
        <v>47.4</v>
      </c>
      <c r="F64" s="369">
        <v>90.2</v>
      </c>
      <c r="G64" s="369">
        <v>95.3</v>
      </c>
    </row>
    <row r="65" spans="1:7" ht="14.5" x14ac:dyDescent="0.3">
      <c r="A65" s="366">
        <v>4</v>
      </c>
      <c r="B65" s="368">
        <v>45.2</v>
      </c>
      <c r="C65" s="368">
        <v>62.9</v>
      </c>
      <c r="D65" s="368">
        <v>99.7</v>
      </c>
      <c r="E65" s="369">
        <v>32.6</v>
      </c>
      <c r="F65" s="369">
        <v>65.599999999999994</v>
      </c>
      <c r="G65" s="369">
        <v>107.7</v>
      </c>
    </row>
    <row r="66" spans="1:7" ht="14.5" x14ac:dyDescent="0.3">
      <c r="A66" s="366">
        <v>5</v>
      </c>
      <c r="B66" s="368">
        <v>23.4</v>
      </c>
      <c r="C66" s="368">
        <v>59.5</v>
      </c>
      <c r="D66" s="368">
        <v>108.2</v>
      </c>
      <c r="E66" s="369">
        <v>32.700000000000003</v>
      </c>
      <c r="F66" s="369">
        <v>80.900000000000006</v>
      </c>
      <c r="G66" s="369">
        <v>113.8</v>
      </c>
    </row>
    <row r="67" spans="1:7" ht="14.5" x14ac:dyDescent="0.3">
      <c r="A67" s="366">
        <v>6</v>
      </c>
      <c r="B67" s="368">
        <v>36.200000000000003</v>
      </c>
      <c r="C67" s="368">
        <v>67.2</v>
      </c>
      <c r="D67" s="368">
        <v>76.099999999999994</v>
      </c>
      <c r="E67" s="369">
        <v>54</v>
      </c>
      <c r="F67" s="369">
        <v>76.900000000000006</v>
      </c>
      <c r="G67" s="369">
        <v>107.9</v>
      </c>
    </row>
    <row r="68" spans="1:7" ht="14.5" x14ac:dyDescent="0.3">
      <c r="A68" s="366">
        <v>7</v>
      </c>
      <c r="B68" s="368">
        <v>33.9</v>
      </c>
      <c r="C68" s="368">
        <v>58.3</v>
      </c>
      <c r="D68" s="368">
        <v>75.099999999999994</v>
      </c>
      <c r="E68" s="369">
        <v>53</v>
      </c>
      <c r="F68" s="369">
        <v>67.099999999999994</v>
      </c>
      <c r="G68" s="369">
        <v>111.3</v>
      </c>
    </row>
    <row r="69" spans="1:7" ht="14.5" x14ac:dyDescent="0.3">
      <c r="A69" s="366">
        <v>8</v>
      </c>
      <c r="B69" s="368">
        <v>46.5</v>
      </c>
      <c r="C69" s="368">
        <v>56.3</v>
      </c>
      <c r="D69" s="368">
        <v>78.400000000000006</v>
      </c>
      <c r="E69" s="369">
        <v>38.5</v>
      </c>
      <c r="F69" s="369">
        <v>84.3</v>
      </c>
      <c r="G69" s="369">
        <v>98.4</v>
      </c>
    </row>
    <row r="70" spans="1:7" ht="14.5" x14ac:dyDescent="0.3">
      <c r="A70" s="366">
        <v>9</v>
      </c>
      <c r="B70" s="368">
        <v>39.799999999999997</v>
      </c>
      <c r="C70" s="368">
        <v>54.2</v>
      </c>
      <c r="D70" s="368">
        <v>99.1</v>
      </c>
      <c r="E70" s="369">
        <v>60.4</v>
      </c>
      <c r="F70" s="369">
        <v>86.5</v>
      </c>
      <c r="G70" s="369">
        <v>116.9</v>
      </c>
    </row>
    <row r="71" spans="1:7" ht="14.5" x14ac:dyDescent="0.3">
      <c r="A71" s="366">
        <v>10</v>
      </c>
      <c r="B71" s="368">
        <v>35.5</v>
      </c>
      <c r="C71" s="368">
        <v>61.3</v>
      </c>
      <c r="D71" s="368">
        <v>97.1</v>
      </c>
      <c r="E71" s="369">
        <v>48.5</v>
      </c>
      <c r="F71" s="369">
        <v>86.6</v>
      </c>
      <c r="G71" s="369">
        <v>118.7</v>
      </c>
    </row>
    <row r="72" spans="1:7" ht="14.5" x14ac:dyDescent="0.3">
      <c r="A72" s="366">
        <v>11</v>
      </c>
      <c r="B72" s="368">
        <v>28.2</v>
      </c>
      <c r="C72" s="368">
        <v>54.2</v>
      </c>
      <c r="D72" s="368">
        <v>85.8</v>
      </c>
      <c r="E72" s="367"/>
      <c r="F72" s="367"/>
      <c r="G72" s="367"/>
    </row>
    <row r="73" spans="1:7" ht="14.5" x14ac:dyDescent="0.3">
      <c r="A73" s="366">
        <v>12</v>
      </c>
      <c r="B73" s="368">
        <v>43.7</v>
      </c>
      <c r="C73" s="368">
        <v>62</v>
      </c>
      <c r="D73" s="368">
        <v>96.7</v>
      </c>
      <c r="E73" s="367"/>
      <c r="F73" s="367"/>
      <c r="G73" s="367"/>
    </row>
    <row r="74" spans="1:7" ht="14.5" x14ac:dyDescent="0.3">
      <c r="A74" s="366">
        <v>13</v>
      </c>
      <c r="B74" s="368">
        <v>28.7</v>
      </c>
      <c r="C74" s="368">
        <v>57.7</v>
      </c>
      <c r="D74" s="368">
        <v>79.099999999999994</v>
      </c>
      <c r="E74" s="367"/>
      <c r="F74" s="367"/>
      <c r="G74" s="367"/>
    </row>
    <row r="75" spans="1:7" ht="14.5" x14ac:dyDescent="0.3">
      <c r="A75" s="366">
        <v>14</v>
      </c>
      <c r="B75" s="368">
        <v>41.4</v>
      </c>
      <c r="C75" s="368">
        <v>68.8</v>
      </c>
      <c r="D75" s="368">
        <v>103.9</v>
      </c>
      <c r="E75" s="367"/>
      <c r="F75" s="367"/>
      <c r="G75" s="367"/>
    </row>
    <row r="76" spans="1:7" ht="14.5" x14ac:dyDescent="0.3">
      <c r="A76" s="366">
        <v>15</v>
      </c>
      <c r="B76" s="368">
        <v>32.700000000000003</v>
      </c>
      <c r="C76" s="368">
        <v>58.1</v>
      </c>
      <c r="D76" s="368">
        <v>100.7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36.4</v>
      </c>
      <c r="C80" s="373">
        <v>65.7</v>
      </c>
      <c r="D80" s="373">
        <v>77.5</v>
      </c>
      <c r="E80" s="374">
        <v>30.4</v>
      </c>
      <c r="F80" s="374">
        <v>92.5</v>
      </c>
      <c r="G80" s="374">
        <v>97.3</v>
      </c>
    </row>
    <row r="81" spans="1:7" ht="14.5" x14ac:dyDescent="0.3">
      <c r="A81" s="371">
        <v>2</v>
      </c>
      <c r="B81" s="373">
        <v>40.200000000000003</v>
      </c>
      <c r="C81" s="373">
        <v>61.5</v>
      </c>
      <c r="D81" s="373">
        <v>77.5</v>
      </c>
      <c r="E81" s="374">
        <v>60.1</v>
      </c>
      <c r="F81" s="374">
        <v>66.2</v>
      </c>
      <c r="G81" s="374">
        <v>99.3</v>
      </c>
    </row>
    <row r="82" spans="1:7" ht="14.5" x14ac:dyDescent="0.3">
      <c r="A82" s="371">
        <v>3</v>
      </c>
      <c r="B82" s="373">
        <v>30.1</v>
      </c>
      <c r="C82" s="373">
        <v>61.7</v>
      </c>
      <c r="D82" s="373">
        <v>109.2</v>
      </c>
      <c r="E82" s="374">
        <v>58.1</v>
      </c>
      <c r="F82" s="374">
        <v>68.7</v>
      </c>
      <c r="G82" s="374">
        <v>101.7</v>
      </c>
    </row>
    <row r="83" spans="1:7" ht="14.5" x14ac:dyDescent="0.3">
      <c r="A83" s="371">
        <v>4</v>
      </c>
      <c r="B83" s="373">
        <v>29.7</v>
      </c>
      <c r="C83" s="373">
        <v>64.099999999999994</v>
      </c>
      <c r="D83" s="373">
        <v>84.9</v>
      </c>
      <c r="E83" s="374">
        <v>38.6</v>
      </c>
      <c r="F83" s="374">
        <v>74.599999999999994</v>
      </c>
      <c r="G83" s="374">
        <v>116.5</v>
      </c>
    </row>
    <row r="84" spans="1:7" ht="14.5" x14ac:dyDescent="0.3">
      <c r="A84" s="371">
        <v>5</v>
      </c>
      <c r="B84" s="373">
        <v>26.6</v>
      </c>
      <c r="C84" s="373">
        <v>59.7</v>
      </c>
      <c r="D84" s="373">
        <v>99.8</v>
      </c>
      <c r="E84" s="374">
        <v>43.1</v>
      </c>
      <c r="F84" s="374">
        <v>80.599999999999994</v>
      </c>
      <c r="G84" s="374">
        <v>108.4</v>
      </c>
    </row>
    <row r="85" spans="1:7" ht="14.5" x14ac:dyDescent="0.3">
      <c r="A85" s="371">
        <v>6</v>
      </c>
      <c r="B85" s="373">
        <v>48.2</v>
      </c>
      <c r="C85" s="373">
        <v>62.1</v>
      </c>
      <c r="D85" s="373">
        <v>71.7</v>
      </c>
      <c r="E85" s="374">
        <v>33.299999999999997</v>
      </c>
      <c r="F85" s="374">
        <v>85.6</v>
      </c>
      <c r="G85" s="374">
        <v>99.1</v>
      </c>
    </row>
    <row r="86" spans="1:7" ht="14.5" x14ac:dyDescent="0.3">
      <c r="A86" s="371">
        <v>7</v>
      </c>
      <c r="B86" s="373">
        <v>29.6</v>
      </c>
      <c r="C86" s="373">
        <v>63.8</v>
      </c>
      <c r="D86" s="373">
        <v>107.8</v>
      </c>
      <c r="E86" s="374">
        <v>50.3</v>
      </c>
      <c r="F86" s="374">
        <v>82.6</v>
      </c>
      <c r="G86" s="374">
        <v>105.8</v>
      </c>
    </row>
    <row r="87" spans="1:7" ht="14.5" x14ac:dyDescent="0.3">
      <c r="A87" s="371">
        <v>8</v>
      </c>
      <c r="B87" s="373">
        <v>36.4</v>
      </c>
      <c r="C87" s="373">
        <v>60.4</v>
      </c>
      <c r="D87" s="373">
        <v>81.5</v>
      </c>
      <c r="E87" s="374">
        <v>45</v>
      </c>
      <c r="F87" s="374">
        <v>79.599999999999994</v>
      </c>
      <c r="G87" s="374">
        <v>103.1</v>
      </c>
    </row>
    <row r="88" spans="1:7" ht="14.5" x14ac:dyDescent="0.3">
      <c r="A88" s="371">
        <v>9</v>
      </c>
      <c r="B88" s="373">
        <v>25.4</v>
      </c>
      <c r="C88" s="373">
        <v>59.5</v>
      </c>
      <c r="D88" s="373">
        <v>81.599999999999994</v>
      </c>
      <c r="E88" s="374">
        <v>60</v>
      </c>
      <c r="F88" s="374">
        <v>93.7</v>
      </c>
      <c r="G88" s="374">
        <v>96.9</v>
      </c>
    </row>
    <row r="89" spans="1:7" ht="14.5" x14ac:dyDescent="0.3">
      <c r="A89" s="371">
        <v>10</v>
      </c>
      <c r="B89" s="373">
        <v>49.8</v>
      </c>
      <c r="C89" s="373">
        <v>61.2</v>
      </c>
      <c r="D89" s="373">
        <v>100.9</v>
      </c>
      <c r="E89" s="374">
        <v>31.7</v>
      </c>
      <c r="F89" s="374">
        <v>67.3</v>
      </c>
      <c r="G89" s="374">
        <v>104.3</v>
      </c>
    </row>
    <row r="90" spans="1:7" ht="14.5" x14ac:dyDescent="0.3">
      <c r="A90" s="371">
        <v>11</v>
      </c>
      <c r="B90" s="373">
        <v>28.3</v>
      </c>
      <c r="C90" s="373">
        <v>67.8</v>
      </c>
      <c r="D90" s="373">
        <v>103.5</v>
      </c>
      <c r="E90" s="374">
        <v>60.4</v>
      </c>
      <c r="F90" s="374">
        <v>88.2</v>
      </c>
      <c r="G90" s="374">
        <v>116.4</v>
      </c>
    </row>
    <row r="91" spans="1:7" ht="14.5" x14ac:dyDescent="0.3">
      <c r="A91" s="371">
        <v>12</v>
      </c>
      <c r="B91" s="373">
        <v>34</v>
      </c>
      <c r="C91" s="373">
        <v>68.3</v>
      </c>
      <c r="D91" s="373">
        <v>100.3</v>
      </c>
      <c r="E91" s="374">
        <v>32.5</v>
      </c>
      <c r="F91" s="374">
        <v>88</v>
      </c>
      <c r="G91" s="374">
        <v>112.2</v>
      </c>
    </row>
    <row r="92" spans="1:7" ht="14.5" x14ac:dyDescent="0.3">
      <c r="A92" s="371">
        <v>13</v>
      </c>
      <c r="B92" s="373">
        <v>47.9</v>
      </c>
      <c r="C92" s="373">
        <v>68.2</v>
      </c>
      <c r="D92" s="373">
        <v>81</v>
      </c>
      <c r="E92" s="375"/>
      <c r="F92" s="375"/>
      <c r="G92" s="375"/>
    </row>
    <row r="93" spans="1:7" ht="14.5" x14ac:dyDescent="0.3">
      <c r="A93" s="371">
        <v>14</v>
      </c>
      <c r="B93" s="373">
        <v>41.4</v>
      </c>
      <c r="C93" s="373">
        <v>55</v>
      </c>
      <c r="D93" s="373">
        <v>78.2</v>
      </c>
      <c r="E93" s="375"/>
      <c r="F93" s="375"/>
      <c r="G93" s="375"/>
    </row>
    <row r="94" spans="1:7" ht="14.5" x14ac:dyDescent="0.3">
      <c r="A94" s="371">
        <v>15</v>
      </c>
      <c r="B94" s="373">
        <v>20.5</v>
      </c>
      <c r="C94" s="373">
        <v>52.1</v>
      </c>
      <c r="D94" s="373">
        <v>85.3</v>
      </c>
      <c r="E94" s="375"/>
      <c r="F94" s="375"/>
      <c r="G94" s="375"/>
    </row>
    <row r="95" spans="1:7" ht="14.5" x14ac:dyDescent="0.3">
      <c r="A95" s="371">
        <v>16</v>
      </c>
      <c r="B95" s="373">
        <v>32.799999999999997</v>
      </c>
      <c r="C95" s="373">
        <v>55.9</v>
      </c>
      <c r="D95" s="373">
        <v>101.3</v>
      </c>
      <c r="E95" s="375"/>
      <c r="F95" s="375"/>
      <c r="G95" s="375"/>
    </row>
    <row r="96" spans="1:7" ht="14.5" x14ac:dyDescent="0.3">
      <c r="A96" s="371">
        <v>17</v>
      </c>
      <c r="B96" s="373">
        <v>31.1</v>
      </c>
      <c r="C96" s="373">
        <v>70</v>
      </c>
      <c r="D96" s="373">
        <v>90.1</v>
      </c>
      <c r="E96" s="375"/>
      <c r="F96" s="375"/>
      <c r="G96" s="375"/>
    </row>
    <row r="97" spans="1:7" ht="14.5" x14ac:dyDescent="0.3">
      <c r="A97" s="371">
        <v>18</v>
      </c>
      <c r="B97" s="373">
        <v>33.700000000000003</v>
      </c>
      <c r="C97" s="373">
        <v>56</v>
      </c>
      <c r="D97" s="373">
        <v>86.1</v>
      </c>
      <c r="E97" s="376"/>
      <c r="F97" s="376"/>
      <c r="G97" s="376"/>
    </row>
    <row r="98" spans="1:7" ht="14.5" x14ac:dyDescent="0.3">
      <c r="A98" s="371">
        <v>19</v>
      </c>
      <c r="B98" s="373">
        <v>30.7</v>
      </c>
      <c r="C98" s="373">
        <v>67.3</v>
      </c>
      <c r="D98" s="373">
        <v>110</v>
      </c>
      <c r="E98" s="376"/>
      <c r="F98" s="376"/>
      <c r="G98" s="376"/>
    </row>
    <row r="99" spans="1:7" ht="14.5" x14ac:dyDescent="0.3">
      <c r="A99" s="371">
        <v>20</v>
      </c>
      <c r="B99" s="373">
        <v>18.5</v>
      </c>
      <c r="C99" s="373">
        <v>69.900000000000006</v>
      </c>
      <c r="D99" s="373">
        <v>109.2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24</v>
      </c>
      <c r="C103" s="367">
        <v>50.1</v>
      </c>
      <c r="D103" s="367">
        <v>91.4</v>
      </c>
      <c r="E103" s="369">
        <v>59.2</v>
      </c>
      <c r="F103" s="369">
        <v>90.8</v>
      </c>
      <c r="G103" s="369">
        <v>110.5</v>
      </c>
    </row>
    <row r="104" spans="1:7" x14ac:dyDescent="0.25">
      <c r="A104" s="366">
        <v>2</v>
      </c>
      <c r="B104" s="367">
        <v>39.5</v>
      </c>
      <c r="C104" s="367">
        <v>59.2</v>
      </c>
      <c r="D104" s="367">
        <v>109.7</v>
      </c>
      <c r="E104" s="369">
        <v>43.7</v>
      </c>
      <c r="F104" s="369">
        <v>70.8</v>
      </c>
      <c r="G104" s="369">
        <v>119.4</v>
      </c>
    </row>
    <row r="105" spans="1:7" x14ac:dyDescent="0.25">
      <c r="A105" s="366">
        <v>3</v>
      </c>
      <c r="B105" s="367">
        <v>31.8</v>
      </c>
      <c r="C105" s="367">
        <v>51.7</v>
      </c>
      <c r="D105" s="367">
        <v>83.2</v>
      </c>
      <c r="E105" s="369">
        <v>62.6</v>
      </c>
      <c r="F105" s="369">
        <v>78.3</v>
      </c>
      <c r="G105" s="369">
        <v>97.1</v>
      </c>
    </row>
    <row r="106" spans="1:7" x14ac:dyDescent="0.25">
      <c r="A106" s="366">
        <v>4</v>
      </c>
      <c r="B106" s="367">
        <v>31.7</v>
      </c>
      <c r="C106" s="367">
        <v>53.3</v>
      </c>
      <c r="D106" s="367">
        <v>71.7</v>
      </c>
      <c r="E106" s="369">
        <v>45.5</v>
      </c>
      <c r="F106" s="369">
        <v>92.6</v>
      </c>
      <c r="G106" s="369">
        <v>107.9</v>
      </c>
    </row>
    <row r="107" spans="1:7" x14ac:dyDescent="0.25">
      <c r="A107" s="366">
        <v>5</v>
      </c>
      <c r="B107" s="367">
        <v>42.5</v>
      </c>
      <c r="C107" s="367">
        <v>57</v>
      </c>
      <c r="D107" s="367">
        <v>104.7</v>
      </c>
      <c r="E107" s="369">
        <v>42.6</v>
      </c>
      <c r="F107" s="369">
        <v>84.5</v>
      </c>
      <c r="G107" s="369">
        <v>110.7</v>
      </c>
    </row>
    <row r="108" spans="1:7" x14ac:dyDescent="0.25">
      <c r="A108" s="366">
        <v>6</v>
      </c>
      <c r="B108" s="367">
        <v>30.2</v>
      </c>
      <c r="C108" s="367">
        <v>53.5</v>
      </c>
      <c r="D108" s="367">
        <v>106.7</v>
      </c>
      <c r="E108" s="369">
        <v>39</v>
      </c>
      <c r="F108" s="369">
        <v>78.3</v>
      </c>
      <c r="G108" s="369">
        <v>104.2</v>
      </c>
    </row>
    <row r="109" spans="1:7" x14ac:dyDescent="0.25">
      <c r="A109" s="366">
        <v>7</v>
      </c>
      <c r="B109" s="367">
        <v>33.1</v>
      </c>
      <c r="C109" s="367">
        <v>62.7</v>
      </c>
      <c r="D109" s="367">
        <v>103.8</v>
      </c>
      <c r="E109" s="367"/>
      <c r="F109" s="367"/>
      <c r="G109" s="367"/>
    </row>
    <row r="110" spans="1:7" x14ac:dyDescent="0.25">
      <c r="A110" s="366">
        <v>8</v>
      </c>
      <c r="B110" s="367">
        <v>37.700000000000003</v>
      </c>
      <c r="C110" s="367">
        <v>66.5</v>
      </c>
      <c r="D110" s="367">
        <v>107.4</v>
      </c>
      <c r="E110" s="367"/>
      <c r="F110" s="367"/>
      <c r="G110" s="367"/>
    </row>
    <row r="111" spans="1:7" x14ac:dyDescent="0.25">
      <c r="A111" s="366">
        <v>9</v>
      </c>
      <c r="B111" s="367">
        <v>22.6</v>
      </c>
      <c r="C111" s="367">
        <v>53.3</v>
      </c>
      <c r="D111" s="367">
        <v>109</v>
      </c>
      <c r="E111" s="367"/>
      <c r="F111" s="367"/>
      <c r="G111" s="367"/>
    </row>
    <row r="112" spans="1:7" x14ac:dyDescent="0.25">
      <c r="A112" s="366">
        <v>10</v>
      </c>
      <c r="B112" s="367">
        <v>29.1</v>
      </c>
      <c r="C112" s="367">
        <v>68.7</v>
      </c>
      <c r="D112" s="367">
        <v>77.5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96.6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18.2</v>
      </c>
      <c r="C117" s="357">
        <v>54.8</v>
      </c>
      <c r="D117" s="357">
        <v>88.4</v>
      </c>
      <c r="E117" s="357"/>
      <c r="F117" s="357"/>
      <c r="G117" s="357"/>
    </row>
    <row r="118" spans="1:7" x14ac:dyDescent="0.25">
      <c r="A118" s="356">
        <v>2</v>
      </c>
      <c r="B118" s="357">
        <v>49.4</v>
      </c>
      <c r="C118" s="357">
        <v>51</v>
      </c>
      <c r="D118" s="357">
        <v>97.1</v>
      </c>
      <c r="E118" s="357"/>
      <c r="F118" s="357"/>
      <c r="G118" s="357"/>
    </row>
    <row r="119" spans="1:7" x14ac:dyDescent="0.25">
      <c r="A119" s="356">
        <v>3</v>
      </c>
      <c r="B119" s="357">
        <v>34</v>
      </c>
      <c r="C119" s="357">
        <v>67.400000000000006</v>
      </c>
      <c r="D119" s="357">
        <v>99.2</v>
      </c>
      <c r="E119" s="357"/>
      <c r="F119" s="357"/>
      <c r="G119" s="357"/>
    </row>
    <row r="120" spans="1:7" x14ac:dyDescent="0.25">
      <c r="A120" s="356">
        <v>4</v>
      </c>
      <c r="B120" s="357">
        <v>27</v>
      </c>
      <c r="C120" s="357">
        <v>53.1</v>
      </c>
      <c r="D120" s="357">
        <v>80.900000000000006</v>
      </c>
      <c r="E120" s="357"/>
      <c r="F120" s="357"/>
      <c r="G120" s="357"/>
    </row>
    <row r="121" spans="1:7" x14ac:dyDescent="0.25">
      <c r="A121" s="356">
        <v>5</v>
      </c>
      <c r="B121" s="357">
        <v>39.9</v>
      </c>
      <c r="C121" s="357">
        <v>56.2</v>
      </c>
      <c r="D121" s="357">
        <v>76.7</v>
      </c>
      <c r="E121" s="357"/>
      <c r="F121" s="357"/>
      <c r="G121" s="357"/>
    </row>
    <row r="122" spans="1:7" x14ac:dyDescent="0.25">
      <c r="A122" s="356">
        <v>6</v>
      </c>
      <c r="B122" s="357">
        <v>27.6</v>
      </c>
      <c r="C122" s="357">
        <v>50.2</v>
      </c>
      <c r="D122" s="357">
        <v>106.2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61.3</v>
      </c>
      <c r="C127" s="380">
        <f>ROUNDDOWN(AVERAGE(E5:G12),1)</f>
        <v>75.7</v>
      </c>
      <c r="D127" s="378">
        <v>19899</v>
      </c>
      <c r="E127" s="378">
        <v>12608</v>
      </c>
      <c r="F127" s="378">
        <f>B127*D127</f>
        <v>1219808.7</v>
      </c>
      <c r="G127" s="378">
        <f>C127*E127</f>
        <v>954425.60000000009</v>
      </c>
    </row>
    <row r="128" spans="1:7" x14ac:dyDescent="0.25">
      <c r="A128" s="379" t="str">
        <f>A17</f>
        <v>Chongzuo Zuozhou swine Farm</v>
      </c>
      <c r="B128" s="380">
        <f>ROUNDDOWN(AVERAGE(B20:D26),1)</f>
        <v>62.1</v>
      </c>
      <c r="C128" s="380">
        <f>ROUNDDOWN(AVERAGE(E20:G23),1)</f>
        <v>73.400000000000006</v>
      </c>
      <c r="D128" s="378">
        <v>10998</v>
      </c>
      <c r="E128" s="378">
        <v>6997</v>
      </c>
      <c r="F128" s="378">
        <f t="shared" ref="F128:G135" si="0">B128*D128</f>
        <v>682975.8</v>
      </c>
      <c r="G128" s="378">
        <f>C128*E128</f>
        <v>513579.80000000005</v>
      </c>
    </row>
    <row r="129" spans="1:7" x14ac:dyDescent="0.25">
      <c r="A129" s="379" t="str">
        <f>A27</f>
        <v>Tianyang Wucun swine Farm</v>
      </c>
      <c r="B129" s="380">
        <f>ROUNDDOWN(AVERAGE(B30:D35),1)</f>
        <v>59.7</v>
      </c>
      <c r="C129" s="380">
        <f>ROUNDDOWN(AVERAGE(E30:G35),1)</f>
        <v>79.099999999999994</v>
      </c>
      <c r="D129" s="378">
        <v>9501</v>
      </c>
      <c r="E129" s="378">
        <v>6022</v>
      </c>
      <c r="F129" s="378">
        <f t="shared" si="0"/>
        <v>567209.70000000007</v>
      </c>
      <c r="G129" s="378">
        <f>C129*E129</f>
        <v>476340.19999999995</v>
      </c>
    </row>
    <row r="130" spans="1:7" x14ac:dyDescent="0.25">
      <c r="A130" s="379" t="str">
        <f>A36</f>
        <v>Quanzhou Dengjiabu swine Farm</v>
      </c>
      <c r="B130" s="380">
        <f>ROUNDDOWN(AVERAGE(B39:D42),1)</f>
        <v>64.3</v>
      </c>
      <c r="C130" s="380">
        <f>ROUNDDOWN(AVERAGE(E39:G42),1)</f>
        <v>86.7</v>
      </c>
      <c r="D130" s="378">
        <v>5446</v>
      </c>
      <c r="E130" s="378">
        <v>3364</v>
      </c>
      <c r="F130" s="378">
        <f t="shared" si="0"/>
        <v>350177.8</v>
      </c>
      <c r="G130" s="378">
        <f t="shared" si="0"/>
        <v>291658.8</v>
      </c>
    </row>
    <row r="131" spans="1:7" x14ac:dyDescent="0.25">
      <c r="A131" s="379" t="str">
        <f>A43</f>
        <v>Chongzuo Quming swine Farm</v>
      </c>
      <c r="B131" s="380">
        <f>ROUNDDOWN(AVERAGE(B46:D58),1)</f>
        <v>58.5</v>
      </c>
      <c r="C131" s="380">
        <f>ROUNDDOWN(AVERAGE(E46:G53),1)</f>
        <v>77.5</v>
      </c>
      <c r="D131" s="378">
        <v>22352</v>
      </c>
      <c r="E131" s="378">
        <v>13979</v>
      </c>
      <c r="F131" s="378">
        <f t="shared" si="0"/>
        <v>1307592</v>
      </c>
      <c r="G131" s="378">
        <f t="shared" si="0"/>
        <v>1083372.5</v>
      </c>
    </row>
    <row r="132" spans="1:7" x14ac:dyDescent="0.25">
      <c r="A132" s="379" t="str">
        <f>A59</f>
        <v>Jingxi swine Farm</v>
      </c>
      <c r="B132" s="380">
        <f>ROUNDDOWN(AVERAGE(B62:D76),1)</f>
        <v>62.1</v>
      </c>
      <c r="C132" s="380">
        <f>ROUNDDOWN(AVERAGE(E62:G71),1)</f>
        <v>77.2</v>
      </c>
      <c r="D132" s="378">
        <v>26116</v>
      </c>
      <c r="E132" s="378">
        <v>15907</v>
      </c>
      <c r="F132" s="378">
        <f t="shared" si="0"/>
        <v>1621803.6</v>
      </c>
      <c r="G132" s="378">
        <f t="shared" si="0"/>
        <v>1228020.4000000001</v>
      </c>
    </row>
    <row r="133" spans="1:7" x14ac:dyDescent="0.25">
      <c r="A133" s="379" t="str">
        <f>A77</f>
        <v>Liucheng Mashan swine Farm</v>
      </c>
      <c r="B133" s="380">
        <f>ROUNDDOWN(AVERAGE(B80:D99),1)</f>
        <v>62.6</v>
      </c>
      <c r="C133" s="378">
        <f>ROUNDDOWN(AVERAGE(E80:G91),1)</f>
        <v>77</v>
      </c>
      <c r="D133" s="378">
        <v>33500</v>
      </c>
      <c r="E133" s="378">
        <v>20528</v>
      </c>
      <c r="F133" s="378">
        <f t="shared" si="0"/>
        <v>2097100</v>
      </c>
      <c r="G133" s="378">
        <f t="shared" si="0"/>
        <v>1580656</v>
      </c>
    </row>
    <row r="134" spans="1:7" x14ac:dyDescent="0.25">
      <c r="A134" s="379" t="str">
        <f>A100</f>
        <v>Tengxian Tianping swine Farm</v>
      </c>
      <c r="B134" s="380">
        <f>ROUNDDOWN(AVERAGE(B103:D113),1)</f>
        <v>63.2</v>
      </c>
      <c r="C134" s="378">
        <f>ROUNDDOWN(AVERAGE(E103:G108),1)</f>
        <v>79.8</v>
      </c>
      <c r="D134" s="378">
        <v>16255</v>
      </c>
      <c r="E134" s="378">
        <v>10385</v>
      </c>
      <c r="F134" s="378">
        <f t="shared" si="0"/>
        <v>1027316</v>
      </c>
      <c r="G134" s="378">
        <f t="shared" si="0"/>
        <v>828723</v>
      </c>
    </row>
    <row r="135" spans="1:7" x14ac:dyDescent="0.25">
      <c r="A135" s="379" t="str">
        <f>A114</f>
        <v>Debao Chengguan swine Farm</v>
      </c>
      <c r="B135" s="380">
        <f>ROUNDDOWN(AVERAGE(B117:D122),1)</f>
        <v>59.8</v>
      </c>
      <c r="C135" s="378">
        <v>0</v>
      </c>
      <c r="D135" s="378">
        <v>8758</v>
      </c>
      <c r="E135" s="378">
        <v>0</v>
      </c>
      <c r="F135" s="378">
        <f t="shared" si="0"/>
        <v>523728.39999999997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89790</v>
      </c>
      <c r="F136" s="378">
        <f>SUM(F127:F135)</f>
        <v>9397712</v>
      </c>
      <c r="G136" s="378">
        <f>SUM(G127:G134)</f>
        <v>6956776.2999999998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61.4</v>
      </c>
      <c r="D140" s="381">
        <f>ROUNDDOWN(G136/E136,1)</f>
        <v>77.400000000000006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9AF2-B2B1-45CB-8674-3CB07A9FA247}">
  <dimension ref="A1:G140"/>
  <sheetViews>
    <sheetView topLeftCell="A28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37.700000000000003</v>
      </c>
      <c r="C5" s="345">
        <v>60</v>
      </c>
      <c r="D5" s="345">
        <v>98.5</v>
      </c>
      <c r="E5" s="346">
        <v>57.2</v>
      </c>
      <c r="F5" s="346">
        <v>73.5</v>
      </c>
      <c r="G5" s="346">
        <v>105.2</v>
      </c>
    </row>
    <row r="6" spans="1:7" x14ac:dyDescent="0.25">
      <c r="A6" s="343">
        <v>2</v>
      </c>
      <c r="B6" s="345">
        <v>31.9</v>
      </c>
      <c r="C6" s="345">
        <v>51.3</v>
      </c>
      <c r="D6" s="345">
        <v>72.099999999999994</v>
      </c>
      <c r="E6" s="346">
        <v>62</v>
      </c>
      <c r="F6" s="346">
        <v>82</v>
      </c>
      <c r="G6" s="346">
        <v>106.6</v>
      </c>
    </row>
    <row r="7" spans="1:7" x14ac:dyDescent="0.25">
      <c r="A7" s="343">
        <v>3</v>
      </c>
      <c r="B7" s="345">
        <v>45</v>
      </c>
      <c r="C7" s="345">
        <v>57.1</v>
      </c>
      <c r="D7" s="345">
        <v>98.8</v>
      </c>
      <c r="E7" s="346">
        <v>38</v>
      </c>
      <c r="F7" s="346">
        <v>68.2</v>
      </c>
      <c r="G7" s="346">
        <v>103</v>
      </c>
    </row>
    <row r="8" spans="1:7" x14ac:dyDescent="0.25">
      <c r="A8" s="343">
        <v>4</v>
      </c>
      <c r="B8" s="345">
        <v>27.5</v>
      </c>
      <c r="C8" s="345">
        <v>60.7</v>
      </c>
      <c r="D8" s="345">
        <v>81.400000000000006</v>
      </c>
      <c r="E8" s="346">
        <v>41.7</v>
      </c>
      <c r="F8" s="346">
        <v>82.2</v>
      </c>
      <c r="G8" s="346">
        <v>96.5</v>
      </c>
    </row>
    <row r="9" spans="1:7" x14ac:dyDescent="0.25">
      <c r="A9" s="343">
        <v>5</v>
      </c>
      <c r="B9" s="345">
        <v>31.9</v>
      </c>
      <c r="C9" s="345">
        <v>66.099999999999994</v>
      </c>
      <c r="D9" s="345">
        <v>101.5</v>
      </c>
      <c r="E9" s="346">
        <v>53.8</v>
      </c>
      <c r="F9" s="346">
        <v>88.5</v>
      </c>
      <c r="G9" s="346">
        <v>102.5</v>
      </c>
    </row>
    <row r="10" spans="1:7" x14ac:dyDescent="0.25">
      <c r="A10" s="343">
        <v>6</v>
      </c>
      <c r="B10" s="345">
        <v>43.9</v>
      </c>
      <c r="C10" s="345">
        <v>56.6</v>
      </c>
      <c r="D10" s="345">
        <v>91.5</v>
      </c>
      <c r="E10" s="346">
        <v>31.5</v>
      </c>
      <c r="F10" s="346">
        <v>93</v>
      </c>
      <c r="G10" s="346">
        <v>115.5</v>
      </c>
    </row>
    <row r="11" spans="1:7" x14ac:dyDescent="0.25">
      <c r="A11" s="343">
        <v>7</v>
      </c>
      <c r="B11" s="345">
        <v>26.2</v>
      </c>
      <c r="C11" s="345">
        <v>50.1</v>
      </c>
      <c r="D11" s="345">
        <v>110</v>
      </c>
      <c r="E11" s="346">
        <v>63.1</v>
      </c>
      <c r="F11" s="346">
        <v>81.3</v>
      </c>
      <c r="G11" s="346">
        <v>109.2</v>
      </c>
    </row>
    <row r="12" spans="1:7" x14ac:dyDescent="0.25">
      <c r="A12" s="343">
        <v>8</v>
      </c>
      <c r="B12" s="345">
        <v>43.5</v>
      </c>
      <c r="C12" s="345">
        <v>62.7</v>
      </c>
      <c r="D12" s="345">
        <v>73.8</v>
      </c>
      <c r="E12" s="346">
        <v>56.1</v>
      </c>
      <c r="F12" s="346">
        <v>78.8</v>
      </c>
      <c r="G12" s="346">
        <v>108.2</v>
      </c>
    </row>
    <row r="13" spans="1:7" x14ac:dyDescent="0.25">
      <c r="A13" s="343">
        <v>9</v>
      </c>
      <c r="B13" s="345">
        <v>20.6</v>
      </c>
      <c r="C13" s="345">
        <v>61.7</v>
      </c>
      <c r="D13" s="345">
        <v>91.8</v>
      </c>
      <c r="E13" s="345"/>
      <c r="F13" s="345"/>
      <c r="G13" s="345"/>
    </row>
    <row r="14" spans="1:7" x14ac:dyDescent="0.25">
      <c r="A14" s="343">
        <v>10</v>
      </c>
      <c r="B14" s="345">
        <v>36.5</v>
      </c>
      <c r="C14" s="345">
        <v>62</v>
      </c>
      <c r="D14" s="345">
        <v>81.8</v>
      </c>
      <c r="E14" s="345"/>
      <c r="F14" s="345"/>
      <c r="G14" s="345"/>
    </row>
    <row r="15" spans="1:7" x14ac:dyDescent="0.25">
      <c r="A15" s="343">
        <v>11</v>
      </c>
      <c r="B15" s="345">
        <v>41.4</v>
      </c>
      <c r="C15" s="345">
        <v>65.7</v>
      </c>
      <c r="D15" s="345">
        <v>91.6</v>
      </c>
      <c r="E15" s="345"/>
      <c r="F15" s="345"/>
      <c r="G15" s="345"/>
    </row>
    <row r="16" spans="1:7" x14ac:dyDescent="0.25">
      <c r="A16" s="343">
        <v>12</v>
      </c>
      <c r="B16" s="345">
        <v>22</v>
      </c>
      <c r="C16" s="345">
        <v>58.1</v>
      </c>
      <c r="D16" s="345">
        <v>80.400000000000006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28.3</v>
      </c>
      <c r="C20" s="350">
        <v>61</v>
      </c>
      <c r="D20" s="350">
        <v>93.9</v>
      </c>
      <c r="E20" s="350">
        <v>48.7</v>
      </c>
      <c r="F20" s="350">
        <v>74.599999999999994</v>
      </c>
      <c r="G20" s="350">
        <v>102.7</v>
      </c>
    </row>
    <row r="21" spans="1:7" x14ac:dyDescent="0.25">
      <c r="A21" s="348">
        <v>2</v>
      </c>
      <c r="B21" s="350">
        <v>22.8</v>
      </c>
      <c r="C21" s="350">
        <v>60.8</v>
      </c>
      <c r="D21" s="350">
        <v>89.1</v>
      </c>
      <c r="E21" s="350">
        <v>30.6</v>
      </c>
      <c r="F21" s="350">
        <v>90</v>
      </c>
      <c r="G21" s="350">
        <v>110.6</v>
      </c>
    </row>
    <row r="22" spans="1:7" x14ac:dyDescent="0.25">
      <c r="A22" s="348">
        <v>3</v>
      </c>
      <c r="B22" s="350">
        <v>27.1</v>
      </c>
      <c r="C22" s="350">
        <v>69.5</v>
      </c>
      <c r="D22" s="350">
        <v>88.9</v>
      </c>
      <c r="E22" s="350">
        <v>54.5</v>
      </c>
      <c r="F22" s="350">
        <v>71.5</v>
      </c>
      <c r="G22" s="350">
        <v>98.1</v>
      </c>
    </row>
    <row r="23" spans="1:7" x14ac:dyDescent="0.25">
      <c r="A23" s="348">
        <v>4</v>
      </c>
      <c r="B23" s="350">
        <v>21.6</v>
      </c>
      <c r="C23" s="350">
        <v>57.6</v>
      </c>
      <c r="D23" s="350">
        <v>72.400000000000006</v>
      </c>
      <c r="E23" s="350">
        <v>53.2</v>
      </c>
      <c r="F23" s="350">
        <v>90</v>
      </c>
      <c r="G23" s="350">
        <v>103.8</v>
      </c>
    </row>
    <row r="24" spans="1:7" x14ac:dyDescent="0.25">
      <c r="A24" s="348">
        <v>5</v>
      </c>
      <c r="B24" s="350">
        <v>27.1</v>
      </c>
      <c r="C24" s="350">
        <v>64</v>
      </c>
      <c r="D24" s="350">
        <v>88.6</v>
      </c>
      <c r="E24" s="350"/>
      <c r="F24" s="350"/>
      <c r="G24" s="350"/>
    </row>
    <row r="25" spans="1:7" x14ac:dyDescent="0.25">
      <c r="A25" s="348">
        <v>6</v>
      </c>
      <c r="B25" s="350">
        <v>21.1</v>
      </c>
      <c r="C25" s="350">
        <v>57.1</v>
      </c>
      <c r="D25" s="350">
        <v>84.3</v>
      </c>
      <c r="E25" s="350"/>
      <c r="F25" s="350"/>
      <c r="G25" s="350"/>
    </row>
    <row r="26" spans="1:7" x14ac:dyDescent="0.25">
      <c r="A26" s="348">
        <v>7</v>
      </c>
      <c r="B26" s="350">
        <v>20.8</v>
      </c>
      <c r="C26" s="350">
        <v>66.599999999999994</v>
      </c>
      <c r="D26" s="350">
        <v>102.1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28.6</v>
      </c>
      <c r="C30" s="353">
        <v>68.400000000000006</v>
      </c>
      <c r="D30" s="353">
        <v>82.1</v>
      </c>
      <c r="E30" s="354">
        <v>44</v>
      </c>
      <c r="F30" s="354">
        <v>75.5</v>
      </c>
      <c r="G30" s="354">
        <v>98.1</v>
      </c>
    </row>
    <row r="31" spans="1:7" x14ac:dyDescent="0.25">
      <c r="A31" s="352">
        <v>2</v>
      </c>
      <c r="B31" s="353">
        <v>43.4</v>
      </c>
      <c r="C31" s="353">
        <v>68.2</v>
      </c>
      <c r="D31" s="353">
        <v>99.2</v>
      </c>
      <c r="E31" s="354">
        <v>56.4</v>
      </c>
      <c r="F31" s="354">
        <v>85.8</v>
      </c>
      <c r="G31" s="354">
        <v>95</v>
      </c>
    </row>
    <row r="32" spans="1:7" x14ac:dyDescent="0.25">
      <c r="A32" s="352">
        <v>3</v>
      </c>
      <c r="B32" s="353">
        <v>19.399999999999999</v>
      </c>
      <c r="C32" s="353">
        <v>58.4</v>
      </c>
      <c r="D32" s="353">
        <v>84</v>
      </c>
      <c r="E32" s="354">
        <v>31.2</v>
      </c>
      <c r="F32" s="354">
        <v>75.2</v>
      </c>
      <c r="G32" s="354">
        <v>106.6</v>
      </c>
    </row>
    <row r="33" spans="1:7" x14ac:dyDescent="0.25">
      <c r="A33" s="352">
        <v>4</v>
      </c>
      <c r="B33" s="353">
        <v>42.9</v>
      </c>
      <c r="C33" s="353">
        <v>51.1</v>
      </c>
      <c r="D33" s="353">
        <v>93.1</v>
      </c>
      <c r="E33" s="354">
        <v>47.6</v>
      </c>
      <c r="F33" s="354">
        <v>94.8</v>
      </c>
      <c r="G33" s="354">
        <v>112.7</v>
      </c>
    </row>
    <row r="34" spans="1:7" x14ac:dyDescent="0.25">
      <c r="A34" s="352">
        <v>5</v>
      </c>
      <c r="B34" s="353">
        <v>40.9</v>
      </c>
      <c r="C34" s="353">
        <v>66.3</v>
      </c>
      <c r="D34" s="353">
        <v>91.7</v>
      </c>
      <c r="E34" s="353"/>
      <c r="F34" s="353"/>
      <c r="G34" s="353"/>
    </row>
    <row r="35" spans="1:7" x14ac:dyDescent="0.25">
      <c r="A35" s="352">
        <v>6</v>
      </c>
      <c r="B35" s="353">
        <v>18.399999999999999</v>
      </c>
      <c r="C35" s="353">
        <v>69.8</v>
      </c>
      <c r="D35" s="353">
        <v>93.2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19.3</v>
      </c>
      <c r="C39" s="357">
        <v>53.6</v>
      </c>
      <c r="D39" s="357">
        <v>86.6</v>
      </c>
      <c r="E39" s="358">
        <v>46.4</v>
      </c>
      <c r="F39" s="358">
        <v>89.6</v>
      </c>
      <c r="G39" s="358">
        <v>105.7</v>
      </c>
    </row>
    <row r="40" spans="1:7" x14ac:dyDescent="0.25">
      <c r="A40" s="356">
        <v>2</v>
      </c>
      <c r="B40" s="357">
        <v>40</v>
      </c>
      <c r="C40" s="357">
        <v>56.1</v>
      </c>
      <c r="D40" s="357">
        <v>87.7</v>
      </c>
      <c r="E40" s="358">
        <v>56.7</v>
      </c>
      <c r="F40" s="358">
        <v>75</v>
      </c>
      <c r="G40" s="358">
        <v>118.6</v>
      </c>
    </row>
    <row r="41" spans="1:7" x14ac:dyDescent="0.25">
      <c r="A41" s="356">
        <v>3</v>
      </c>
      <c r="B41" s="357">
        <v>37.200000000000003</v>
      </c>
      <c r="C41" s="357">
        <v>68.2</v>
      </c>
      <c r="D41" s="357">
        <v>79.7</v>
      </c>
      <c r="E41" s="357"/>
      <c r="F41" s="358">
        <v>71.3</v>
      </c>
      <c r="G41" s="358">
        <v>105.2</v>
      </c>
    </row>
    <row r="42" spans="1:7" x14ac:dyDescent="0.25">
      <c r="A42" s="356">
        <v>4</v>
      </c>
      <c r="B42" s="357">
        <v>26.5</v>
      </c>
      <c r="C42" s="357">
        <v>67.599999999999994</v>
      </c>
      <c r="D42" s="357">
        <v>80.900000000000006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39.200000000000003</v>
      </c>
      <c r="C46" s="362">
        <v>57.1</v>
      </c>
      <c r="D46" s="362">
        <v>74.599999999999994</v>
      </c>
      <c r="E46" s="363">
        <v>34</v>
      </c>
      <c r="F46" s="363">
        <v>70.599999999999994</v>
      </c>
      <c r="G46" s="363">
        <v>119</v>
      </c>
    </row>
    <row r="47" spans="1:7" ht="14.5" x14ac:dyDescent="0.3">
      <c r="A47" s="360">
        <v>2</v>
      </c>
      <c r="B47" s="362">
        <v>46</v>
      </c>
      <c r="C47" s="362">
        <v>56.7</v>
      </c>
      <c r="D47" s="362">
        <v>96.1</v>
      </c>
      <c r="E47" s="363">
        <v>38.9</v>
      </c>
      <c r="F47" s="363">
        <v>82.9</v>
      </c>
      <c r="G47" s="363">
        <v>97.9</v>
      </c>
    </row>
    <row r="48" spans="1:7" ht="14.5" x14ac:dyDescent="0.3">
      <c r="A48" s="360">
        <v>3</v>
      </c>
      <c r="B48" s="362">
        <v>29</v>
      </c>
      <c r="C48" s="362">
        <v>60.4</v>
      </c>
      <c r="D48" s="362">
        <v>98.6</v>
      </c>
      <c r="E48" s="363">
        <v>42.2</v>
      </c>
      <c r="F48" s="363">
        <v>73.599999999999994</v>
      </c>
      <c r="G48" s="363">
        <v>119.1</v>
      </c>
    </row>
    <row r="49" spans="1:7" ht="14.5" x14ac:dyDescent="0.3">
      <c r="A49" s="360">
        <v>4</v>
      </c>
      <c r="B49" s="362">
        <v>36</v>
      </c>
      <c r="C49" s="362">
        <v>59.3</v>
      </c>
      <c r="D49" s="362">
        <v>80.900000000000006</v>
      </c>
      <c r="E49" s="363">
        <v>40.9</v>
      </c>
      <c r="F49" s="363">
        <v>73.2</v>
      </c>
      <c r="G49" s="363">
        <v>114.4</v>
      </c>
    </row>
    <row r="50" spans="1:7" ht="14.5" x14ac:dyDescent="0.3">
      <c r="A50" s="360">
        <v>5</v>
      </c>
      <c r="B50" s="362">
        <v>27.1</v>
      </c>
      <c r="C50" s="362">
        <v>68.5</v>
      </c>
      <c r="D50" s="362">
        <v>75.900000000000006</v>
      </c>
      <c r="E50" s="363">
        <v>63.4</v>
      </c>
      <c r="F50" s="363">
        <v>75.400000000000006</v>
      </c>
      <c r="G50" s="363">
        <v>101.2</v>
      </c>
    </row>
    <row r="51" spans="1:7" ht="14.5" x14ac:dyDescent="0.3">
      <c r="A51" s="360">
        <v>6</v>
      </c>
      <c r="B51" s="362">
        <v>46.3</v>
      </c>
      <c r="C51" s="362">
        <v>66.2</v>
      </c>
      <c r="D51" s="362">
        <v>89.5</v>
      </c>
      <c r="E51" s="363">
        <v>36.6</v>
      </c>
      <c r="F51" s="363">
        <v>79</v>
      </c>
      <c r="G51" s="363">
        <v>97.1</v>
      </c>
    </row>
    <row r="52" spans="1:7" ht="14.5" x14ac:dyDescent="0.3">
      <c r="A52" s="360">
        <v>7</v>
      </c>
      <c r="B52" s="362">
        <v>38.4</v>
      </c>
      <c r="C52" s="362">
        <v>67.599999999999994</v>
      </c>
      <c r="D52" s="362">
        <v>91</v>
      </c>
      <c r="E52" s="363">
        <v>42.4</v>
      </c>
      <c r="F52" s="363">
        <v>73.400000000000006</v>
      </c>
      <c r="G52" s="363">
        <v>108</v>
      </c>
    </row>
    <row r="53" spans="1:7" ht="14.5" x14ac:dyDescent="0.3">
      <c r="A53" s="360">
        <v>8</v>
      </c>
      <c r="B53" s="362">
        <v>28.9</v>
      </c>
      <c r="C53" s="362">
        <v>66.599999999999994</v>
      </c>
      <c r="D53" s="362">
        <v>81.900000000000006</v>
      </c>
      <c r="E53" s="363">
        <v>61</v>
      </c>
      <c r="F53" s="363">
        <v>83.7</v>
      </c>
      <c r="G53" s="363">
        <v>98.4</v>
      </c>
    </row>
    <row r="54" spans="1:7" ht="14.5" x14ac:dyDescent="0.3">
      <c r="A54" s="360">
        <v>9</v>
      </c>
      <c r="B54" s="362">
        <v>46.1</v>
      </c>
      <c r="C54" s="362">
        <v>69</v>
      </c>
      <c r="D54" s="362">
        <v>102.5</v>
      </c>
      <c r="E54" s="362"/>
      <c r="F54" s="362"/>
      <c r="G54" s="362"/>
    </row>
    <row r="55" spans="1:7" ht="14.5" x14ac:dyDescent="0.3">
      <c r="A55" s="360">
        <v>10</v>
      </c>
      <c r="B55" s="362">
        <v>38</v>
      </c>
      <c r="C55" s="362">
        <v>65.3</v>
      </c>
      <c r="D55" s="362">
        <v>81.400000000000006</v>
      </c>
      <c r="E55" s="364"/>
      <c r="F55" s="364"/>
      <c r="G55" s="364"/>
    </row>
    <row r="56" spans="1:7" ht="14.5" x14ac:dyDescent="0.3">
      <c r="A56" s="360">
        <v>11</v>
      </c>
      <c r="B56" s="362">
        <v>39.5</v>
      </c>
      <c r="C56" s="362">
        <v>59.7</v>
      </c>
      <c r="D56" s="362">
        <v>89.9</v>
      </c>
      <c r="E56" s="364"/>
      <c r="F56" s="364"/>
      <c r="G56" s="364"/>
    </row>
    <row r="57" spans="1:7" ht="14.5" x14ac:dyDescent="0.3">
      <c r="A57" s="360">
        <v>12</v>
      </c>
      <c r="B57" s="362">
        <v>22.4</v>
      </c>
      <c r="C57" s="362">
        <v>61.6</v>
      </c>
      <c r="D57" s="362">
        <v>86.3</v>
      </c>
      <c r="E57" s="364"/>
      <c r="F57" s="364"/>
      <c r="G57" s="364"/>
    </row>
    <row r="58" spans="1:7" ht="14.5" x14ac:dyDescent="0.3">
      <c r="A58" s="360">
        <v>13</v>
      </c>
      <c r="B58" s="362">
        <v>29.2</v>
      </c>
      <c r="C58" s="362">
        <v>60.3</v>
      </c>
      <c r="D58" s="362">
        <v>77.400000000000006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37.5</v>
      </c>
      <c r="C62" s="368">
        <v>59.6</v>
      </c>
      <c r="D62" s="368">
        <v>78</v>
      </c>
      <c r="E62" s="369">
        <v>53.3</v>
      </c>
      <c r="F62" s="369">
        <v>82.2</v>
      </c>
      <c r="G62" s="369">
        <v>112.2</v>
      </c>
    </row>
    <row r="63" spans="1:7" ht="14.5" x14ac:dyDescent="0.3">
      <c r="A63" s="366">
        <v>2</v>
      </c>
      <c r="B63" s="368">
        <v>31.9</v>
      </c>
      <c r="C63" s="368">
        <v>62.6</v>
      </c>
      <c r="D63" s="368">
        <v>72.599999999999994</v>
      </c>
      <c r="E63" s="369">
        <v>35.700000000000003</v>
      </c>
      <c r="F63" s="369">
        <v>79.8</v>
      </c>
      <c r="G63" s="369">
        <v>101.9</v>
      </c>
    </row>
    <row r="64" spans="1:7" ht="14.5" x14ac:dyDescent="0.3">
      <c r="A64" s="366">
        <v>3</v>
      </c>
      <c r="B64" s="368">
        <v>22.7</v>
      </c>
      <c r="C64" s="368">
        <v>63.6</v>
      </c>
      <c r="D64" s="368">
        <v>101.5</v>
      </c>
      <c r="E64" s="369">
        <v>32.9</v>
      </c>
      <c r="F64" s="369">
        <v>76</v>
      </c>
      <c r="G64" s="369">
        <v>98.5</v>
      </c>
    </row>
    <row r="65" spans="1:7" ht="14.5" x14ac:dyDescent="0.3">
      <c r="A65" s="366">
        <v>4</v>
      </c>
      <c r="B65" s="368">
        <v>37.4</v>
      </c>
      <c r="C65" s="368">
        <v>62.6</v>
      </c>
      <c r="D65" s="368">
        <v>100</v>
      </c>
      <c r="E65" s="369">
        <v>50.1</v>
      </c>
      <c r="F65" s="369">
        <v>77.400000000000006</v>
      </c>
      <c r="G65" s="369">
        <v>110.8</v>
      </c>
    </row>
    <row r="66" spans="1:7" ht="14.5" x14ac:dyDescent="0.3">
      <c r="A66" s="366">
        <v>5</v>
      </c>
      <c r="B66" s="368">
        <v>32.200000000000003</v>
      </c>
      <c r="C66" s="368">
        <v>60.1</v>
      </c>
      <c r="D66" s="368">
        <v>88.7</v>
      </c>
      <c r="E66" s="369">
        <v>45.5</v>
      </c>
      <c r="F66" s="369">
        <v>94.9</v>
      </c>
      <c r="G66" s="369">
        <v>118.5</v>
      </c>
    </row>
    <row r="67" spans="1:7" ht="14.5" x14ac:dyDescent="0.3">
      <c r="A67" s="366">
        <v>6</v>
      </c>
      <c r="B67" s="368">
        <v>18.8</v>
      </c>
      <c r="C67" s="368">
        <v>57.4</v>
      </c>
      <c r="D67" s="368">
        <v>79.3</v>
      </c>
      <c r="E67" s="369">
        <v>62.9</v>
      </c>
      <c r="F67" s="369">
        <v>74</v>
      </c>
      <c r="G67" s="369">
        <v>108</v>
      </c>
    </row>
    <row r="68" spans="1:7" ht="14.5" x14ac:dyDescent="0.3">
      <c r="A68" s="366">
        <v>7</v>
      </c>
      <c r="B68" s="368">
        <v>48.4</v>
      </c>
      <c r="C68" s="368">
        <v>66.400000000000006</v>
      </c>
      <c r="D68" s="368">
        <v>93.6</v>
      </c>
      <c r="E68" s="369">
        <v>32.4</v>
      </c>
      <c r="F68" s="369">
        <v>73.3</v>
      </c>
      <c r="G68" s="369">
        <v>98.8</v>
      </c>
    </row>
    <row r="69" spans="1:7" ht="14.5" x14ac:dyDescent="0.3">
      <c r="A69" s="366">
        <v>8</v>
      </c>
      <c r="B69" s="368">
        <v>37.6</v>
      </c>
      <c r="C69" s="368">
        <v>59.7</v>
      </c>
      <c r="D69" s="368">
        <v>93.1</v>
      </c>
      <c r="E69" s="369">
        <v>60.3</v>
      </c>
      <c r="F69" s="369">
        <v>93.8</v>
      </c>
      <c r="G69" s="369">
        <v>110.7</v>
      </c>
    </row>
    <row r="70" spans="1:7" ht="14.5" x14ac:dyDescent="0.3">
      <c r="A70" s="366">
        <v>9</v>
      </c>
      <c r="B70" s="368">
        <v>47.9</v>
      </c>
      <c r="C70" s="368">
        <v>53.8</v>
      </c>
      <c r="D70" s="368">
        <v>86.6</v>
      </c>
      <c r="E70" s="369">
        <v>32.700000000000003</v>
      </c>
      <c r="F70" s="369">
        <v>91</v>
      </c>
      <c r="G70" s="369">
        <v>119.3</v>
      </c>
    </row>
    <row r="71" spans="1:7" ht="14.5" x14ac:dyDescent="0.3">
      <c r="A71" s="366">
        <v>10</v>
      </c>
      <c r="B71" s="368">
        <v>39.299999999999997</v>
      </c>
      <c r="C71" s="368">
        <v>59.6</v>
      </c>
      <c r="D71" s="368">
        <v>74.2</v>
      </c>
      <c r="E71" s="369">
        <v>53.9</v>
      </c>
      <c r="F71" s="369">
        <v>68.2</v>
      </c>
      <c r="G71" s="369">
        <v>102.4</v>
      </c>
    </row>
    <row r="72" spans="1:7" ht="14.5" x14ac:dyDescent="0.3">
      <c r="A72" s="366">
        <v>11</v>
      </c>
      <c r="B72" s="368">
        <v>35.299999999999997</v>
      </c>
      <c r="C72" s="368">
        <v>59.9</v>
      </c>
      <c r="D72" s="368">
        <v>78.7</v>
      </c>
      <c r="E72" s="367"/>
      <c r="F72" s="367"/>
      <c r="G72" s="367"/>
    </row>
    <row r="73" spans="1:7" ht="14.5" x14ac:dyDescent="0.3">
      <c r="A73" s="366">
        <v>12</v>
      </c>
      <c r="B73" s="368">
        <v>35.4</v>
      </c>
      <c r="C73" s="368">
        <v>57.1</v>
      </c>
      <c r="D73" s="368">
        <v>71.900000000000006</v>
      </c>
      <c r="E73" s="367"/>
      <c r="F73" s="367"/>
      <c r="G73" s="367"/>
    </row>
    <row r="74" spans="1:7" ht="14.5" x14ac:dyDescent="0.3">
      <c r="A74" s="366">
        <v>13</v>
      </c>
      <c r="B74" s="368">
        <v>49.3</v>
      </c>
      <c r="C74" s="368">
        <v>69.900000000000006</v>
      </c>
      <c r="D74" s="368">
        <v>71</v>
      </c>
      <c r="E74" s="367"/>
      <c r="F74" s="367"/>
      <c r="G74" s="367"/>
    </row>
    <row r="75" spans="1:7" ht="14.5" x14ac:dyDescent="0.3">
      <c r="A75" s="366">
        <v>14</v>
      </c>
      <c r="B75" s="368">
        <v>48.1</v>
      </c>
      <c r="C75" s="368">
        <v>63.8</v>
      </c>
      <c r="D75" s="368">
        <v>95.8</v>
      </c>
      <c r="E75" s="367"/>
      <c r="F75" s="367"/>
      <c r="G75" s="367"/>
    </row>
    <row r="76" spans="1:7" ht="14.5" x14ac:dyDescent="0.3">
      <c r="A76" s="366">
        <v>15</v>
      </c>
      <c r="B76" s="368">
        <v>37.4</v>
      </c>
      <c r="C76" s="368">
        <v>50.4</v>
      </c>
      <c r="D76" s="368">
        <v>84.6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32.200000000000003</v>
      </c>
      <c r="C80" s="373">
        <v>67.3</v>
      </c>
      <c r="D80" s="373">
        <v>109.7</v>
      </c>
      <c r="E80" s="374">
        <v>38</v>
      </c>
      <c r="F80" s="374">
        <v>70.7</v>
      </c>
      <c r="G80" s="374">
        <v>95.9</v>
      </c>
    </row>
    <row r="81" spans="1:7" ht="14.5" x14ac:dyDescent="0.3">
      <c r="A81" s="371">
        <v>2</v>
      </c>
      <c r="B81" s="373">
        <v>22.5</v>
      </c>
      <c r="C81" s="373">
        <v>53.5</v>
      </c>
      <c r="D81" s="373">
        <v>108.6</v>
      </c>
      <c r="E81" s="374">
        <v>40.1</v>
      </c>
      <c r="F81" s="374">
        <v>94.7</v>
      </c>
      <c r="G81" s="374">
        <v>108.7</v>
      </c>
    </row>
    <row r="82" spans="1:7" ht="14.5" x14ac:dyDescent="0.3">
      <c r="A82" s="371">
        <v>3</v>
      </c>
      <c r="B82" s="373">
        <v>37.4</v>
      </c>
      <c r="C82" s="373">
        <v>67.5</v>
      </c>
      <c r="D82" s="373">
        <v>77.8</v>
      </c>
      <c r="E82" s="374">
        <v>55.5</v>
      </c>
      <c r="F82" s="374">
        <v>78.599999999999994</v>
      </c>
      <c r="G82" s="374">
        <v>112.7</v>
      </c>
    </row>
    <row r="83" spans="1:7" ht="14.5" x14ac:dyDescent="0.3">
      <c r="A83" s="371">
        <v>4</v>
      </c>
      <c r="B83" s="373">
        <v>31.7</v>
      </c>
      <c r="C83" s="373">
        <v>58.4</v>
      </c>
      <c r="D83" s="373">
        <v>102.9</v>
      </c>
      <c r="E83" s="374">
        <v>30.3</v>
      </c>
      <c r="F83" s="374">
        <v>80.5</v>
      </c>
      <c r="G83" s="374">
        <v>104.1</v>
      </c>
    </row>
    <row r="84" spans="1:7" ht="14.5" x14ac:dyDescent="0.3">
      <c r="A84" s="371">
        <v>5</v>
      </c>
      <c r="B84" s="373">
        <v>47.8</v>
      </c>
      <c r="C84" s="373">
        <v>60.3</v>
      </c>
      <c r="D84" s="373">
        <v>91</v>
      </c>
      <c r="E84" s="374">
        <v>55</v>
      </c>
      <c r="F84" s="374">
        <v>69.2</v>
      </c>
      <c r="G84" s="374">
        <v>98.4</v>
      </c>
    </row>
    <row r="85" spans="1:7" ht="14.5" x14ac:dyDescent="0.3">
      <c r="A85" s="371">
        <v>6</v>
      </c>
      <c r="B85" s="373">
        <v>36.9</v>
      </c>
      <c r="C85" s="373">
        <v>52.3</v>
      </c>
      <c r="D85" s="373">
        <v>90.3</v>
      </c>
      <c r="E85" s="374">
        <v>63.5</v>
      </c>
      <c r="F85" s="374">
        <v>74.099999999999994</v>
      </c>
      <c r="G85" s="374">
        <v>101.3</v>
      </c>
    </row>
    <row r="86" spans="1:7" ht="14.5" x14ac:dyDescent="0.3">
      <c r="A86" s="371">
        <v>7</v>
      </c>
      <c r="B86" s="373">
        <v>20.5</v>
      </c>
      <c r="C86" s="373">
        <v>68.400000000000006</v>
      </c>
      <c r="D86" s="373">
        <v>108.7</v>
      </c>
      <c r="E86" s="374">
        <v>32.5</v>
      </c>
      <c r="F86" s="374">
        <v>91.2</v>
      </c>
      <c r="G86" s="374">
        <v>113.6</v>
      </c>
    </row>
    <row r="87" spans="1:7" ht="14.5" x14ac:dyDescent="0.3">
      <c r="A87" s="371">
        <v>8</v>
      </c>
      <c r="B87" s="373">
        <v>25.7</v>
      </c>
      <c r="C87" s="373">
        <v>53.2</v>
      </c>
      <c r="D87" s="373">
        <v>86.8</v>
      </c>
      <c r="E87" s="374">
        <v>34.1</v>
      </c>
      <c r="F87" s="374">
        <v>65.8</v>
      </c>
      <c r="G87" s="374">
        <v>103.4</v>
      </c>
    </row>
    <row r="88" spans="1:7" ht="14.5" x14ac:dyDescent="0.3">
      <c r="A88" s="371">
        <v>9</v>
      </c>
      <c r="B88" s="373">
        <v>20.2</v>
      </c>
      <c r="C88" s="373">
        <v>53.4</v>
      </c>
      <c r="D88" s="373">
        <v>108.7</v>
      </c>
      <c r="E88" s="374">
        <v>32.5</v>
      </c>
      <c r="F88" s="374">
        <v>83.8</v>
      </c>
      <c r="G88" s="374">
        <v>101.7</v>
      </c>
    </row>
    <row r="89" spans="1:7" ht="14.5" x14ac:dyDescent="0.3">
      <c r="A89" s="371">
        <v>10</v>
      </c>
      <c r="B89" s="373">
        <v>22.4</v>
      </c>
      <c r="C89" s="373">
        <v>52.8</v>
      </c>
      <c r="D89" s="373">
        <v>94.9</v>
      </c>
      <c r="E89" s="374">
        <v>36.6</v>
      </c>
      <c r="F89" s="374">
        <v>66.400000000000006</v>
      </c>
      <c r="G89" s="374">
        <v>98.4</v>
      </c>
    </row>
    <row r="90" spans="1:7" ht="14.5" x14ac:dyDescent="0.3">
      <c r="A90" s="371">
        <v>11</v>
      </c>
      <c r="B90" s="373">
        <v>27.9</v>
      </c>
      <c r="C90" s="373">
        <v>61.2</v>
      </c>
      <c r="D90" s="373">
        <v>82.2</v>
      </c>
      <c r="E90" s="374">
        <v>62.6</v>
      </c>
      <c r="F90" s="374">
        <v>76</v>
      </c>
      <c r="G90" s="374">
        <v>103.2</v>
      </c>
    </row>
    <row r="91" spans="1:7" ht="14.5" x14ac:dyDescent="0.3">
      <c r="A91" s="371">
        <v>12</v>
      </c>
      <c r="B91" s="373">
        <v>33.799999999999997</v>
      </c>
      <c r="C91" s="373">
        <v>70</v>
      </c>
      <c r="D91" s="373">
        <v>90.1</v>
      </c>
      <c r="E91" s="374">
        <v>50.3</v>
      </c>
      <c r="F91" s="374">
        <v>80.599999999999994</v>
      </c>
      <c r="G91" s="374">
        <v>116.6</v>
      </c>
    </row>
    <row r="92" spans="1:7" ht="14.5" x14ac:dyDescent="0.3">
      <c r="A92" s="371">
        <v>13</v>
      </c>
      <c r="B92" s="373">
        <v>35.1</v>
      </c>
      <c r="C92" s="373">
        <v>61.4</v>
      </c>
      <c r="D92" s="373">
        <v>93.4</v>
      </c>
      <c r="E92" s="375"/>
      <c r="F92" s="375"/>
      <c r="G92" s="375"/>
    </row>
    <row r="93" spans="1:7" ht="14.5" x14ac:dyDescent="0.3">
      <c r="A93" s="371">
        <v>14</v>
      </c>
      <c r="B93" s="373">
        <v>35.200000000000003</v>
      </c>
      <c r="C93" s="373">
        <v>62.1</v>
      </c>
      <c r="D93" s="373">
        <v>100</v>
      </c>
      <c r="E93" s="375"/>
      <c r="F93" s="375"/>
      <c r="G93" s="375"/>
    </row>
    <row r="94" spans="1:7" ht="14.5" x14ac:dyDescent="0.3">
      <c r="A94" s="371">
        <v>15</v>
      </c>
      <c r="B94" s="373">
        <v>44.5</v>
      </c>
      <c r="C94" s="373">
        <v>53.7</v>
      </c>
      <c r="D94" s="373">
        <v>71.900000000000006</v>
      </c>
      <c r="E94" s="375"/>
      <c r="F94" s="375"/>
      <c r="G94" s="375"/>
    </row>
    <row r="95" spans="1:7" ht="14.5" x14ac:dyDescent="0.3">
      <c r="A95" s="371">
        <v>16</v>
      </c>
      <c r="B95" s="373">
        <v>40.200000000000003</v>
      </c>
      <c r="C95" s="373">
        <v>70</v>
      </c>
      <c r="D95" s="373">
        <v>78.099999999999994</v>
      </c>
      <c r="E95" s="375"/>
      <c r="F95" s="375"/>
      <c r="G95" s="375"/>
    </row>
    <row r="96" spans="1:7" ht="14.5" x14ac:dyDescent="0.3">
      <c r="A96" s="371">
        <v>17</v>
      </c>
      <c r="B96" s="373">
        <v>29.9</v>
      </c>
      <c r="C96" s="373">
        <v>53.9</v>
      </c>
      <c r="D96" s="373">
        <v>93.2</v>
      </c>
      <c r="E96" s="375"/>
      <c r="F96" s="375"/>
      <c r="G96" s="375"/>
    </row>
    <row r="97" spans="1:7" ht="14.5" x14ac:dyDescent="0.3">
      <c r="A97" s="371">
        <v>18</v>
      </c>
      <c r="B97" s="373">
        <v>20</v>
      </c>
      <c r="C97" s="373">
        <v>54.9</v>
      </c>
      <c r="D97" s="373">
        <v>71.3</v>
      </c>
      <c r="E97" s="376"/>
      <c r="F97" s="376"/>
      <c r="G97" s="376"/>
    </row>
    <row r="98" spans="1:7" ht="14.5" x14ac:dyDescent="0.3">
      <c r="A98" s="371">
        <v>19</v>
      </c>
      <c r="B98" s="373">
        <v>47.6</v>
      </c>
      <c r="C98" s="373">
        <v>54.9</v>
      </c>
      <c r="D98" s="373">
        <v>103.6</v>
      </c>
      <c r="E98" s="376"/>
      <c r="F98" s="376"/>
      <c r="G98" s="376"/>
    </row>
    <row r="99" spans="1:7" ht="14.5" x14ac:dyDescent="0.3">
      <c r="A99" s="371">
        <v>20</v>
      </c>
      <c r="B99" s="373">
        <v>18.899999999999999</v>
      </c>
      <c r="C99" s="373">
        <v>67.5</v>
      </c>
      <c r="D99" s="373">
        <v>92.9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39.6</v>
      </c>
      <c r="C103" s="367">
        <v>67.8</v>
      </c>
      <c r="D103" s="367">
        <v>81.7</v>
      </c>
      <c r="E103" s="369">
        <v>50.3</v>
      </c>
      <c r="F103" s="369">
        <v>78.900000000000006</v>
      </c>
      <c r="G103" s="369">
        <v>102.4</v>
      </c>
    </row>
    <row r="104" spans="1:7" x14ac:dyDescent="0.25">
      <c r="A104" s="366">
        <v>2</v>
      </c>
      <c r="B104" s="367">
        <v>19.5</v>
      </c>
      <c r="C104" s="367">
        <v>59.2</v>
      </c>
      <c r="D104" s="367">
        <v>73.400000000000006</v>
      </c>
      <c r="E104" s="369">
        <v>30.7</v>
      </c>
      <c r="F104" s="369">
        <v>94.9</v>
      </c>
      <c r="G104" s="369">
        <v>96.2</v>
      </c>
    </row>
    <row r="105" spans="1:7" x14ac:dyDescent="0.25">
      <c r="A105" s="366">
        <v>3</v>
      </c>
      <c r="B105" s="367">
        <v>28.9</v>
      </c>
      <c r="C105" s="367">
        <v>57.1</v>
      </c>
      <c r="D105" s="367">
        <v>88.6</v>
      </c>
      <c r="E105" s="369">
        <v>62.6</v>
      </c>
      <c r="F105" s="369">
        <v>91.2</v>
      </c>
      <c r="G105" s="369">
        <v>103.9</v>
      </c>
    </row>
    <row r="106" spans="1:7" x14ac:dyDescent="0.25">
      <c r="A106" s="366">
        <v>4</v>
      </c>
      <c r="B106" s="367">
        <v>28.9</v>
      </c>
      <c r="C106" s="367">
        <v>65.900000000000006</v>
      </c>
      <c r="D106" s="367">
        <v>93.8</v>
      </c>
      <c r="E106" s="369">
        <v>40.700000000000003</v>
      </c>
      <c r="F106" s="369">
        <v>94.1</v>
      </c>
      <c r="G106" s="369">
        <v>105.7</v>
      </c>
    </row>
    <row r="107" spans="1:7" x14ac:dyDescent="0.25">
      <c r="A107" s="366">
        <v>5</v>
      </c>
      <c r="B107" s="367">
        <v>24.1</v>
      </c>
      <c r="C107" s="367">
        <v>53.4</v>
      </c>
      <c r="D107" s="367">
        <v>94.7</v>
      </c>
      <c r="E107" s="369">
        <v>37.6</v>
      </c>
      <c r="F107" s="369">
        <v>86.3</v>
      </c>
      <c r="G107" s="369">
        <v>107.4</v>
      </c>
    </row>
    <row r="108" spans="1:7" x14ac:dyDescent="0.25">
      <c r="A108" s="366">
        <v>6</v>
      </c>
      <c r="B108" s="367">
        <v>35.299999999999997</v>
      </c>
      <c r="C108" s="367">
        <v>59.7</v>
      </c>
      <c r="D108" s="367">
        <v>74.3</v>
      </c>
      <c r="E108" s="369">
        <v>59.5</v>
      </c>
      <c r="F108" s="369">
        <v>70</v>
      </c>
      <c r="G108" s="369">
        <v>110.5</v>
      </c>
    </row>
    <row r="109" spans="1:7" x14ac:dyDescent="0.25">
      <c r="A109" s="366">
        <v>7</v>
      </c>
      <c r="B109" s="367">
        <v>27.8</v>
      </c>
      <c r="C109" s="367">
        <v>60</v>
      </c>
      <c r="D109" s="367">
        <v>70.3</v>
      </c>
      <c r="E109" s="367"/>
      <c r="F109" s="367"/>
      <c r="G109" s="367"/>
    </row>
    <row r="110" spans="1:7" x14ac:dyDescent="0.25">
      <c r="A110" s="366">
        <v>8</v>
      </c>
      <c r="B110" s="367">
        <v>31.3</v>
      </c>
      <c r="C110" s="367">
        <v>50.4</v>
      </c>
      <c r="D110" s="367">
        <v>95.2</v>
      </c>
      <c r="E110" s="367"/>
      <c r="F110" s="367"/>
      <c r="G110" s="367"/>
    </row>
    <row r="111" spans="1:7" x14ac:dyDescent="0.25">
      <c r="A111" s="366">
        <v>9</v>
      </c>
      <c r="B111" s="367">
        <v>41.5</v>
      </c>
      <c r="C111" s="367">
        <v>56.3</v>
      </c>
      <c r="D111" s="367">
        <v>108</v>
      </c>
      <c r="E111" s="367"/>
      <c r="F111" s="367"/>
      <c r="G111" s="367"/>
    </row>
    <row r="112" spans="1:7" x14ac:dyDescent="0.25">
      <c r="A112" s="366">
        <v>10</v>
      </c>
      <c r="B112" s="367">
        <v>43.1</v>
      </c>
      <c r="C112" s="367">
        <v>61.1</v>
      </c>
      <c r="D112" s="367">
        <v>103.2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72.2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44.8</v>
      </c>
      <c r="C117" s="357">
        <v>59</v>
      </c>
      <c r="D117" s="357">
        <v>78.400000000000006</v>
      </c>
      <c r="E117" s="357"/>
      <c r="F117" s="357"/>
      <c r="G117" s="357"/>
    </row>
    <row r="118" spans="1:7" x14ac:dyDescent="0.25">
      <c r="A118" s="356">
        <v>2</v>
      </c>
      <c r="B118" s="357">
        <v>19.100000000000001</v>
      </c>
      <c r="C118" s="357">
        <v>66.2</v>
      </c>
      <c r="D118" s="357">
        <v>93.5</v>
      </c>
      <c r="E118" s="357"/>
      <c r="F118" s="357"/>
      <c r="G118" s="357"/>
    </row>
    <row r="119" spans="1:7" x14ac:dyDescent="0.25">
      <c r="A119" s="356">
        <v>3</v>
      </c>
      <c r="B119" s="357">
        <v>44.4</v>
      </c>
      <c r="C119" s="357">
        <v>55.3</v>
      </c>
      <c r="D119" s="357">
        <v>70</v>
      </c>
      <c r="E119" s="357"/>
      <c r="F119" s="357"/>
      <c r="G119" s="357"/>
    </row>
    <row r="120" spans="1:7" x14ac:dyDescent="0.25">
      <c r="A120" s="356">
        <v>4</v>
      </c>
      <c r="B120" s="357">
        <v>31.1</v>
      </c>
      <c r="C120" s="357">
        <v>61.8</v>
      </c>
      <c r="D120" s="357">
        <v>88.2</v>
      </c>
      <c r="E120" s="357"/>
      <c r="F120" s="357"/>
      <c r="G120" s="357"/>
    </row>
    <row r="121" spans="1:7" x14ac:dyDescent="0.25">
      <c r="A121" s="356">
        <v>5</v>
      </c>
      <c r="B121" s="357">
        <v>29</v>
      </c>
      <c r="C121" s="357">
        <v>52.1</v>
      </c>
      <c r="D121" s="357">
        <v>89.4</v>
      </c>
      <c r="E121" s="357"/>
      <c r="F121" s="357"/>
      <c r="G121" s="357"/>
    </row>
    <row r="122" spans="1:7" x14ac:dyDescent="0.25">
      <c r="A122" s="356">
        <v>6</v>
      </c>
      <c r="B122" s="357">
        <v>22.7</v>
      </c>
      <c r="C122" s="357">
        <v>57.6</v>
      </c>
      <c r="D122" s="357">
        <v>92.1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60.9</v>
      </c>
      <c r="C127" s="380">
        <f>ROUNDDOWN(AVERAGE(E5:G12),1)</f>
        <v>79</v>
      </c>
      <c r="D127" s="378">
        <v>19899</v>
      </c>
      <c r="E127" s="378">
        <v>12568</v>
      </c>
      <c r="F127" s="378">
        <f>B127*D127</f>
        <v>1211849.0999999999</v>
      </c>
      <c r="G127" s="378">
        <f>C127*E127</f>
        <v>992872</v>
      </c>
    </row>
    <row r="128" spans="1:7" x14ac:dyDescent="0.25">
      <c r="A128" s="379" t="str">
        <f>A17</f>
        <v>Chongzuo Zuozhou swine Farm</v>
      </c>
      <c r="B128" s="380">
        <f>ROUNDDOWN(AVERAGE(B20:D26),1)</f>
        <v>58.3</v>
      </c>
      <c r="C128" s="380">
        <f>ROUNDDOWN(AVERAGE(E20:G23),1)</f>
        <v>77.3</v>
      </c>
      <c r="D128" s="378">
        <v>10998</v>
      </c>
      <c r="E128" s="378">
        <v>6997</v>
      </c>
      <c r="F128" s="378">
        <f t="shared" ref="F128:G135" si="0">B128*D128</f>
        <v>641183.4</v>
      </c>
      <c r="G128" s="378">
        <f>C128*E128</f>
        <v>540868.1</v>
      </c>
    </row>
    <row r="129" spans="1:7" x14ac:dyDescent="0.25">
      <c r="A129" s="379" t="str">
        <f>A27</f>
        <v>Tianyang Wucun swine Farm</v>
      </c>
      <c r="B129" s="380">
        <f>ROUNDDOWN(AVERAGE(B30:D35),1)</f>
        <v>62.1</v>
      </c>
      <c r="C129" s="380">
        <f>ROUNDDOWN(AVERAGE(E30:G35),1)</f>
        <v>76.900000000000006</v>
      </c>
      <c r="D129" s="378">
        <v>9501</v>
      </c>
      <c r="E129" s="378">
        <v>6010</v>
      </c>
      <c r="F129" s="378">
        <f t="shared" si="0"/>
        <v>590012.1</v>
      </c>
      <c r="G129" s="378">
        <f>C129*E129</f>
        <v>462169.00000000006</v>
      </c>
    </row>
    <row r="130" spans="1:7" x14ac:dyDescent="0.25">
      <c r="A130" s="379" t="str">
        <f>A36</f>
        <v>Quanzhou Dengjiabu swine Farm</v>
      </c>
      <c r="B130" s="380">
        <f>ROUNDDOWN(AVERAGE(B39:D42),1)</f>
        <v>58.6</v>
      </c>
      <c r="C130" s="380">
        <f>ROUNDDOWN(AVERAGE(E39:G42),1)</f>
        <v>83.5</v>
      </c>
      <c r="D130" s="378">
        <v>5446</v>
      </c>
      <c r="E130" s="378">
        <v>3367</v>
      </c>
      <c r="F130" s="378">
        <f t="shared" si="0"/>
        <v>319135.60000000003</v>
      </c>
      <c r="G130" s="378">
        <f t="shared" si="0"/>
        <v>281144.5</v>
      </c>
    </row>
    <row r="131" spans="1:7" x14ac:dyDescent="0.25">
      <c r="A131" s="379" t="str">
        <f>A43</f>
        <v>Chongzuo Quming swine Farm</v>
      </c>
      <c r="B131" s="380">
        <f>ROUNDDOWN(AVERAGE(B46:D58),1)</f>
        <v>61.8</v>
      </c>
      <c r="C131" s="380">
        <f>ROUNDDOWN(AVERAGE(E46:G53),1)</f>
        <v>76</v>
      </c>
      <c r="D131" s="378">
        <v>22352</v>
      </c>
      <c r="E131" s="378">
        <v>13994</v>
      </c>
      <c r="F131" s="378">
        <f t="shared" si="0"/>
        <v>1381353.5999999999</v>
      </c>
      <c r="G131" s="378">
        <f t="shared" si="0"/>
        <v>1063544</v>
      </c>
    </row>
    <row r="132" spans="1:7" x14ac:dyDescent="0.25">
      <c r="A132" s="379" t="str">
        <f>A59</f>
        <v>Jingxi swine Farm</v>
      </c>
      <c r="B132" s="380">
        <f>ROUNDDOWN(AVERAGE(B62:D76),1)</f>
        <v>60.7</v>
      </c>
      <c r="C132" s="380">
        <f>ROUNDDOWN(AVERAGE(E62:G71),1)</f>
        <v>78.3</v>
      </c>
      <c r="D132" s="378">
        <v>26116</v>
      </c>
      <c r="E132" s="378">
        <v>15924</v>
      </c>
      <c r="F132" s="378">
        <f t="shared" si="0"/>
        <v>1585241.2000000002</v>
      </c>
      <c r="G132" s="378">
        <f t="shared" si="0"/>
        <v>1246849.2</v>
      </c>
    </row>
    <row r="133" spans="1:7" x14ac:dyDescent="0.25">
      <c r="A133" s="379" t="str">
        <f>A77</f>
        <v>Liucheng Mashan swine Farm</v>
      </c>
      <c r="B133" s="380">
        <f>ROUNDDOWN(AVERAGE(B80:D99),1)</f>
        <v>61.3</v>
      </c>
      <c r="C133" s="378">
        <f>ROUNDDOWN(AVERAGE(E80:G91),1)</f>
        <v>75.5</v>
      </c>
      <c r="D133" s="378">
        <v>33500</v>
      </c>
      <c r="E133" s="378">
        <v>20638</v>
      </c>
      <c r="F133" s="378">
        <f t="shared" si="0"/>
        <v>2053550</v>
      </c>
      <c r="G133" s="378">
        <f t="shared" si="0"/>
        <v>1558169</v>
      </c>
    </row>
    <row r="134" spans="1:7" x14ac:dyDescent="0.25">
      <c r="A134" s="379" t="str">
        <f>A100</f>
        <v>Tengxian Tianping swine Farm</v>
      </c>
      <c r="B134" s="380">
        <f>ROUNDDOWN(AVERAGE(B103:D113),1)</f>
        <v>60.2</v>
      </c>
      <c r="C134" s="378">
        <f>ROUNDDOWN(AVERAGE(E103:G108),1)</f>
        <v>79</v>
      </c>
      <c r="D134" s="378">
        <v>16255</v>
      </c>
      <c r="E134" s="378">
        <v>10407</v>
      </c>
      <c r="F134" s="378">
        <f t="shared" si="0"/>
        <v>978551</v>
      </c>
      <c r="G134" s="378">
        <f t="shared" si="0"/>
        <v>822153</v>
      </c>
    </row>
    <row r="135" spans="1:7" x14ac:dyDescent="0.25">
      <c r="A135" s="379" t="str">
        <f>A114</f>
        <v>Debao Chengguan swine Farm</v>
      </c>
      <c r="B135" s="380">
        <f>ROUNDDOWN(AVERAGE(B117:D122),1)</f>
        <v>58.5</v>
      </c>
      <c r="C135" s="378">
        <v>0</v>
      </c>
      <c r="D135" s="378">
        <v>8758</v>
      </c>
      <c r="E135" s="378">
        <v>0</v>
      </c>
      <c r="F135" s="378">
        <f t="shared" si="0"/>
        <v>512343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89905</v>
      </c>
      <c r="F136" s="378">
        <f>SUM(F127:F135)</f>
        <v>9273219</v>
      </c>
      <c r="G136" s="378">
        <f>SUM(G127:G134)</f>
        <v>6967768.7999999998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60.6</v>
      </c>
      <c r="D140" s="381">
        <f>ROUNDDOWN(G136/E136,1)</f>
        <v>77.5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9"/>
  <sheetViews>
    <sheetView zoomScaleNormal="100" workbookViewId="0">
      <selection activeCell="C26" sqref="C26"/>
    </sheetView>
  </sheetViews>
  <sheetFormatPr defaultColWidth="8.7265625" defaultRowHeight="13.5" x14ac:dyDescent="0.25"/>
  <cols>
    <col min="1" max="2" width="8.7265625" style="12"/>
    <col min="3" max="3" width="28.36328125" style="12" customWidth="1"/>
    <col min="4" max="4" width="69.08984375" style="12" bestFit="1" customWidth="1"/>
    <col min="5" max="5" width="23.90625" style="12" customWidth="1"/>
    <col min="6" max="6" width="18.7265625" style="12" customWidth="1"/>
    <col min="7" max="7" width="14.81640625" style="12" customWidth="1"/>
    <col min="8" max="8" width="8.7265625" style="12"/>
    <col min="9" max="9" width="10.6328125" style="12" bestFit="1" customWidth="1"/>
    <col min="10" max="16384" width="8.7265625" style="12"/>
  </cols>
  <sheetData>
    <row r="3" spans="2:6" x14ac:dyDescent="0.25">
      <c r="B3" s="442" t="s">
        <v>130</v>
      </c>
      <c r="C3" s="13" t="s">
        <v>114</v>
      </c>
      <c r="D3" s="13" t="s">
        <v>368</v>
      </c>
      <c r="E3" s="385"/>
      <c r="F3" s="385"/>
    </row>
    <row r="4" spans="2:6" x14ac:dyDescent="0.25">
      <c r="B4" s="443"/>
      <c r="C4" s="14" t="str">
        <f>'Emission Reduction'!D5</f>
        <v>20/01/2021-31/12/2021</v>
      </c>
      <c r="D4" s="14">
        <f>SUM('monitoring results'!C24:C35)</f>
        <v>26683.222309999994</v>
      </c>
      <c r="E4" s="385"/>
      <c r="F4" s="386"/>
    </row>
    <row r="5" spans="2:6" x14ac:dyDescent="0.25">
      <c r="B5" s="443"/>
      <c r="C5" s="14" t="str">
        <f>'Emission Reduction'!D6</f>
        <v>01/01/2022-31/03/2022</v>
      </c>
      <c r="D5" s="14">
        <f>SUM('monitoring results'!C36:C38)</f>
        <v>6944.8910799999994</v>
      </c>
      <c r="E5" s="385"/>
      <c r="F5" s="386"/>
    </row>
    <row r="6" spans="2:6" x14ac:dyDescent="0.25">
      <c r="B6" s="444"/>
      <c r="C6" s="14" t="str">
        <f>'Emission Reduction'!D7</f>
        <v>total</v>
      </c>
      <c r="D6" s="14">
        <f>D4+D5</f>
        <v>33628.113389999991</v>
      </c>
      <c r="E6" s="385"/>
      <c r="F6" s="386"/>
    </row>
    <row r="7" spans="2:6" x14ac:dyDescent="0.25">
      <c r="E7" s="385"/>
      <c r="F7" s="387"/>
    </row>
    <row r="9" spans="2:6" x14ac:dyDescent="0.25">
      <c r="B9" s="442" t="s">
        <v>115</v>
      </c>
      <c r="C9" s="13" t="s">
        <v>114</v>
      </c>
      <c r="D9" s="13" t="s">
        <v>131</v>
      </c>
    </row>
    <row r="10" spans="2:6" x14ac:dyDescent="0.25">
      <c r="B10" s="443"/>
      <c r="C10" s="14" t="str">
        <f>C4</f>
        <v>20/01/2021-31/12/2021</v>
      </c>
      <c r="D10" s="15" t="s">
        <v>336</v>
      </c>
    </row>
    <row r="11" spans="2:6" x14ac:dyDescent="0.25">
      <c r="B11" s="443"/>
      <c r="C11" s="14" t="str">
        <f>C5</f>
        <v>01/01/2022-31/03/2022</v>
      </c>
      <c r="D11" s="15" t="str">
        <f t="shared" ref="D11" si="0">D10</f>
        <v>18 full time jobs created,including 9 females and 9 males</v>
      </c>
    </row>
    <row r="12" spans="2:6" x14ac:dyDescent="0.25">
      <c r="B12" s="444"/>
      <c r="C12" s="14" t="str">
        <f>C6</f>
        <v>total</v>
      </c>
      <c r="D12" s="15" t="str">
        <f>D10</f>
        <v>18 full time jobs created,including 9 females and 9 males</v>
      </c>
    </row>
    <row r="16" spans="2:6" ht="33" customHeight="1" x14ac:dyDescent="0.25">
      <c r="B16" s="442" t="s">
        <v>116</v>
      </c>
      <c r="C16" s="13" t="s">
        <v>114</v>
      </c>
      <c r="D16" s="21" t="s">
        <v>132</v>
      </c>
    </row>
    <row r="17" spans="2:9" x14ac:dyDescent="0.25">
      <c r="B17" s="443"/>
      <c r="C17" s="14" t="str">
        <f t="shared" ref="C17:C19" si="1">C10</f>
        <v>20/01/2021-31/12/2021</v>
      </c>
      <c r="D17" s="16">
        <f>'Emission Reduction'!H5</f>
        <v>206817</v>
      </c>
    </row>
    <row r="18" spans="2:9" x14ac:dyDescent="0.25">
      <c r="B18" s="443"/>
      <c r="C18" s="14" t="str">
        <f t="shared" si="1"/>
        <v>01/01/2022-31/03/2022</v>
      </c>
      <c r="D18" s="16">
        <f>'Emission Reduction'!H6</f>
        <v>53875</v>
      </c>
    </row>
    <row r="19" spans="2:9" x14ac:dyDescent="0.25">
      <c r="B19" s="444"/>
      <c r="C19" s="14" t="str">
        <f t="shared" si="1"/>
        <v>total</v>
      </c>
      <c r="D19" s="16">
        <f>'Emission Reduction'!H7</f>
        <v>260692</v>
      </c>
    </row>
    <row r="21" spans="2:9" x14ac:dyDescent="0.25">
      <c r="I21" s="17"/>
    </row>
    <row r="24" spans="2:9" x14ac:dyDescent="0.25">
      <c r="I24" s="18"/>
    </row>
    <row r="25" spans="2:9" x14ac:dyDescent="0.25">
      <c r="I25" s="19"/>
    </row>
    <row r="28" spans="2:9" x14ac:dyDescent="0.25">
      <c r="F28" s="18"/>
    </row>
    <row r="29" spans="2:9" x14ac:dyDescent="0.25">
      <c r="G29" s="20"/>
    </row>
  </sheetData>
  <mergeCells count="3">
    <mergeCell ref="B3:B6"/>
    <mergeCell ref="B9:B12"/>
    <mergeCell ref="B16:B19"/>
  </mergeCells>
  <phoneticPr fontId="1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59B13-D96B-42AC-97BC-944ABA41687E}">
  <dimension ref="A1:G140"/>
  <sheetViews>
    <sheetView topLeftCell="A28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44.4</v>
      </c>
      <c r="C5" s="345">
        <v>51.5</v>
      </c>
      <c r="D5" s="345">
        <v>94.8</v>
      </c>
      <c r="E5" s="346">
        <v>50.9</v>
      </c>
      <c r="F5" s="346">
        <v>65.3</v>
      </c>
      <c r="G5" s="346">
        <v>117</v>
      </c>
    </row>
    <row r="6" spans="1:7" x14ac:dyDescent="0.25">
      <c r="A6" s="343">
        <v>2</v>
      </c>
      <c r="B6" s="345">
        <v>34.1</v>
      </c>
      <c r="C6" s="345">
        <v>67.2</v>
      </c>
      <c r="D6" s="345">
        <v>82.2</v>
      </c>
      <c r="E6" s="346">
        <v>34.9</v>
      </c>
      <c r="F6" s="346">
        <v>66.099999999999994</v>
      </c>
      <c r="G6" s="346">
        <v>119.5</v>
      </c>
    </row>
    <row r="7" spans="1:7" x14ac:dyDescent="0.25">
      <c r="A7" s="343">
        <v>3</v>
      </c>
      <c r="B7" s="345">
        <v>44.7</v>
      </c>
      <c r="C7" s="345">
        <v>65.900000000000006</v>
      </c>
      <c r="D7" s="345">
        <v>83.7</v>
      </c>
      <c r="E7" s="346">
        <v>63.7</v>
      </c>
      <c r="F7" s="346">
        <v>70.2</v>
      </c>
      <c r="G7" s="346">
        <v>118.4</v>
      </c>
    </row>
    <row r="8" spans="1:7" x14ac:dyDescent="0.25">
      <c r="A8" s="343">
        <v>4</v>
      </c>
      <c r="B8" s="345">
        <v>24.4</v>
      </c>
      <c r="C8" s="345">
        <v>52.5</v>
      </c>
      <c r="D8" s="345">
        <v>77.099999999999994</v>
      </c>
      <c r="E8" s="346">
        <v>42.4</v>
      </c>
      <c r="F8" s="346">
        <v>66.7</v>
      </c>
      <c r="G8" s="346">
        <v>103.3</v>
      </c>
    </row>
    <row r="9" spans="1:7" x14ac:dyDescent="0.25">
      <c r="A9" s="343">
        <v>5</v>
      </c>
      <c r="B9" s="345">
        <v>24.4</v>
      </c>
      <c r="C9" s="345">
        <v>65.8</v>
      </c>
      <c r="D9" s="345">
        <v>90.9</v>
      </c>
      <c r="E9" s="346">
        <v>56.8</v>
      </c>
      <c r="F9" s="346">
        <v>95</v>
      </c>
      <c r="G9" s="346">
        <v>102.2</v>
      </c>
    </row>
    <row r="10" spans="1:7" x14ac:dyDescent="0.25">
      <c r="A10" s="343">
        <v>6</v>
      </c>
      <c r="B10" s="345">
        <v>20.7</v>
      </c>
      <c r="C10" s="345">
        <v>52.2</v>
      </c>
      <c r="D10" s="345">
        <v>95.8</v>
      </c>
      <c r="E10" s="346">
        <v>41.8</v>
      </c>
      <c r="F10" s="346">
        <v>79.099999999999994</v>
      </c>
      <c r="G10" s="346">
        <v>114.6</v>
      </c>
    </row>
    <row r="11" spans="1:7" x14ac:dyDescent="0.25">
      <c r="A11" s="343">
        <v>7</v>
      </c>
      <c r="B11" s="345">
        <v>25</v>
      </c>
      <c r="C11" s="345">
        <v>65</v>
      </c>
      <c r="D11" s="345">
        <v>101.3</v>
      </c>
      <c r="E11" s="346">
        <v>48.3</v>
      </c>
      <c r="F11" s="346">
        <v>73.5</v>
      </c>
      <c r="G11" s="346">
        <v>107.7</v>
      </c>
    </row>
    <row r="12" spans="1:7" x14ac:dyDescent="0.25">
      <c r="A12" s="343">
        <v>8</v>
      </c>
      <c r="B12" s="345">
        <v>31.8</v>
      </c>
      <c r="C12" s="345">
        <v>51.4</v>
      </c>
      <c r="D12" s="345">
        <v>101.9</v>
      </c>
      <c r="E12" s="346">
        <v>39.1</v>
      </c>
      <c r="F12" s="346">
        <v>88.4</v>
      </c>
      <c r="G12" s="346">
        <v>119.3</v>
      </c>
    </row>
    <row r="13" spans="1:7" x14ac:dyDescent="0.25">
      <c r="A13" s="343">
        <v>9</v>
      </c>
      <c r="B13" s="345">
        <v>47.3</v>
      </c>
      <c r="C13" s="345">
        <v>54.5</v>
      </c>
      <c r="D13" s="345">
        <v>78.3</v>
      </c>
      <c r="E13" s="345"/>
      <c r="F13" s="345"/>
      <c r="G13" s="345"/>
    </row>
    <row r="14" spans="1:7" x14ac:dyDescent="0.25">
      <c r="A14" s="343">
        <v>10</v>
      </c>
      <c r="B14" s="345">
        <v>36.799999999999997</v>
      </c>
      <c r="C14" s="345">
        <v>59.1</v>
      </c>
      <c r="D14" s="345">
        <v>75</v>
      </c>
      <c r="E14" s="345"/>
      <c r="F14" s="345"/>
      <c r="G14" s="345"/>
    </row>
    <row r="15" spans="1:7" x14ac:dyDescent="0.25">
      <c r="A15" s="343">
        <v>11</v>
      </c>
      <c r="B15" s="345">
        <v>32</v>
      </c>
      <c r="C15" s="345">
        <v>61.8</v>
      </c>
      <c r="D15" s="345">
        <v>77.8</v>
      </c>
      <c r="E15" s="345"/>
      <c r="F15" s="345"/>
      <c r="G15" s="345"/>
    </row>
    <row r="16" spans="1:7" x14ac:dyDescent="0.25">
      <c r="A16" s="343">
        <v>12</v>
      </c>
      <c r="B16" s="345">
        <v>27.2</v>
      </c>
      <c r="C16" s="345">
        <v>57</v>
      </c>
      <c r="D16" s="345">
        <v>73.5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37.299999999999997</v>
      </c>
      <c r="C20" s="350">
        <v>67</v>
      </c>
      <c r="D20" s="350">
        <v>79.7</v>
      </c>
      <c r="E20" s="350">
        <v>54.8</v>
      </c>
      <c r="F20" s="350">
        <v>72.7</v>
      </c>
      <c r="G20" s="350">
        <v>98.9</v>
      </c>
    </row>
    <row r="21" spans="1:7" x14ac:dyDescent="0.25">
      <c r="A21" s="348">
        <v>2</v>
      </c>
      <c r="B21" s="350">
        <v>35.1</v>
      </c>
      <c r="C21" s="350">
        <v>60.1</v>
      </c>
      <c r="D21" s="350">
        <v>94.5</v>
      </c>
      <c r="E21" s="350">
        <v>36.1</v>
      </c>
      <c r="F21" s="350">
        <v>69.2</v>
      </c>
      <c r="G21" s="350">
        <v>100.5</v>
      </c>
    </row>
    <row r="22" spans="1:7" x14ac:dyDescent="0.25">
      <c r="A22" s="348">
        <v>3</v>
      </c>
      <c r="B22" s="350">
        <v>41.8</v>
      </c>
      <c r="C22" s="350">
        <v>58.6</v>
      </c>
      <c r="D22" s="350">
        <v>79.099999999999994</v>
      </c>
      <c r="E22" s="350">
        <v>63.3</v>
      </c>
      <c r="F22" s="350">
        <v>75.8</v>
      </c>
      <c r="G22" s="350">
        <v>98.8</v>
      </c>
    </row>
    <row r="23" spans="1:7" x14ac:dyDescent="0.25">
      <c r="A23" s="348">
        <v>4</v>
      </c>
      <c r="B23" s="350">
        <v>31.6</v>
      </c>
      <c r="C23" s="350">
        <v>56.3</v>
      </c>
      <c r="D23" s="350">
        <v>103.6</v>
      </c>
      <c r="E23" s="350">
        <v>62.3</v>
      </c>
      <c r="F23" s="350">
        <v>91.1</v>
      </c>
      <c r="G23" s="350">
        <v>110.1</v>
      </c>
    </row>
    <row r="24" spans="1:7" x14ac:dyDescent="0.25">
      <c r="A24" s="348">
        <v>5</v>
      </c>
      <c r="B24" s="350">
        <v>42.2</v>
      </c>
      <c r="C24" s="350">
        <v>68.900000000000006</v>
      </c>
      <c r="D24" s="350">
        <v>75.400000000000006</v>
      </c>
      <c r="E24" s="350"/>
      <c r="F24" s="350"/>
      <c r="G24" s="350"/>
    </row>
    <row r="25" spans="1:7" x14ac:dyDescent="0.25">
      <c r="A25" s="348">
        <v>6</v>
      </c>
      <c r="B25" s="350">
        <v>39.1</v>
      </c>
      <c r="C25" s="350">
        <v>57.3</v>
      </c>
      <c r="D25" s="350">
        <v>76</v>
      </c>
      <c r="E25" s="350"/>
      <c r="F25" s="350"/>
      <c r="G25" s="350"/>
    </row>
    <row r="26" spans="1:7" x14ac:dyDescent="0.25">
      <c r="A26" s="348">
        <v>7</v>
      </c>
      <c r="B26" s="350">
        <v>33.5</v>
      </c>
      <c r="C26" s="350">
        <v>56</v>
      </c>
      <c r="D26" s="350">
        <v>102.9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34.6</v>
      </c>
      <c r="C30" s="353">
        <v>50.2</v>
      </c>
      <c r="D30" s="353">
        <v>91.1</v>
      </c>
      <c r="E30" s="354">
        <v>36.700000000000003</v>
      </c>
      <c r="F30" s="354">
        <v>91.2</v>
      </c>
      <c r="G30" s="354">
        <v>110.3</v>
      </c>
    </row>
    <row r="31" spans="1:7" x14ac:dyDescent="0.25">
      <c r="A31" s="352">
        <v>2</v>
      </c>
      <c r="B31" s="353">
        <v>43.6</v>
      </c>
      <c r="C31" s="353">
        <v>56</v>
      </c>
      <c r="D31" s="353">
        <v>98.7</v>
      </c>
      <c r="E31" s="354">
        <v>38.5</v>
      </c>
      <c r="F31" s="354">
        <v>93.1</v>
      </c>
      <c r="G31" s="354">
        <v>103</v>
      </c>
    </row>
    <row r="32" spans="1:7" x14ac:dyDescent="0.25">
      <c r="A32" s="352">
        <v>3</v>
      </c>
      <c r="B32" s="353">
        <v>18.899999999999999</v>
      </c>
      <c r="C32" s="353">
        <v>55.6</v>
      </c>
      <c r="D32" s="353">
        <v>105.8</v>
      </c>
      <c r="E32" s="354">
        <v>41.8</v>
      </c>
      <c r="F32" s="354">
        <v>87.5</v>
      </c>
      <c r="G32" s="354">
        <v>101.4</v>
      </c>
    </row>
    <row r="33" spans="1:7" x14ac:dyDescent="0.25">
      <c r="A33" s="352">
        <v>4</v>
      </c>
      <c r="B33" s="353">
        <v>36.700000000000003</v>
      </c>
      <c r="C33" s="353">
        <v>66.5</v>
      </c>
      <c r="D33" s="353">
        <v>107.1</v>
      </c>
      <c r="E33" s="354">
        <v>47.7</v>
      </c>
      <c r="F33" s="354">
        <v>70.599999999999994</v>
      </c>
      <c r="G33" s="354">
        <v>103.3</v>
      </c>
    </row>
    <row r="34" spans="1:7" x14ac:dyDescent="0.25">
      <c r="A34" s="352">
        <v>5</v>
      </c>
      <c r="B34" s="353">
        <v>38.4</v>
      </c>
      <c r="C34" s="353">
        <v>65.5</v>
      </c>
      <c r="D34" s="353">
        <v>107.3</v>
      </c>
      <c r="E34" s="353"/>
      <c r="F34" s="353"/>
      <c r="G34" s="353"/>
    </row>
    <row r="35" spans="1:7" x14ac:dyDescent="0.25">
      <c r="A35" s="352">
        <v>6</v>
      </c>
      <c r="B35" s="353">
        <v>42</v>
      </c>
      <c r="C35" s="353">
        <v>69.5</v>
      </c>
      <c r="D35" s="353">
        <v>79.400000000000006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29.1</v>
      </c>
      <c r="C39" s="357">
        <v>62.5</v>
      </c>
      <c r="D39" s="357">
        <v>86.4</v>
      </c>
      <c r="E39" s="358">
        <v>33.1</v>
      </c>
      <c r="F39" s="358">
        <v>71.599999999999994</v>
      </c>
      <c r="G39" s="358">
        <v>107.1</v>
      </c>
    </row>
    <row r="40" spans="1:7" x14ac:dyDescent="0.25">
      <c r="A40" s="356">
        <v>2</v>
      </c>
      <c r="B40" s="357">
        <v>36.4</v>
      </c>
      <c r="C40" s="357">
        <v>62.1</v>
      </c>
      <c r="D40" s="357">
        <v>91.6</v>
      </c>
      <c r="E40" s="358">
        <v>46.5</v>
      </c>
      <c r="F40" s="358">
        <v>88.3</v>
      </c>
      <c r="G40" s="358">
        <v>115.8</v>
      </c>
    </row>
    <row r="41" spans="1:7" x14ac:dyDescent="0.25">
      <c r="A41" s="356">
        <v>3</v>
      </c>
      <c r="B41" s="357">
        <v>32.200000000000003</v>
      </c>
      <c r="C41" s="357">
        <v>55.2</v>
      </c>
      <c r="D41" s="357">
        <v>84.3</v>
      </c>
      <c r="E41" s="357"/>
      <c r="F41" s="358">
        <v>76.7</v>
      </c>
      <c r="G41" s="358">
        <v>117.5</v>
      </c>
    </row>
    <row r="42" spans="1:7" x14ac:dyDescent="0.25">
      <c r="A42" s="356">
        <v>4</v>
      </c>
      <c r="B42" s="357">
        <v>31.1</v>
      </c>
      <c r="C42" s="357">
        <v>61.8</v>
      </c>
      <c r="D42" s="357">
        <v>74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37.799999999999997</v>
      </c>
      <c r="C46" s="362">
        <v>63</v>
      </c>
      <c r="D46" s="362">
        <v>74.599999999999994</v>
      </c>
      <c r="E46" s="363">
        <v>44.8</v>
      </c>
      <c r="F46" s="363">
        <v>65.400000000000006</v>
      </c>
      <c r="G46" s="363">
        <v>98</v>
      </c>
    </row>
    <row r="47" spans="1:7" ht="14.5" x14ac:dyDescent="0.3">
      <c r="A47" s="360">
        <v>2</v>
      </c>
      <c r="B47" s="362">
        <v>34.6</v>
      </c>
      <c r="C47" s="362">
        <v>63.3</v>
      </c>
      <c r="D47" s="362">
        <v>108.9</v>
      </c>
      <c r="E47" s="363">
        <v>56.7</v>
      </c>
      <c r="F47" s="363">
        <v>66.2</v>
      </c>
      <c r="G47" s="363">
        <v>105.8</v>
      </c>
    </row>
    <row r="48" spans="1:7" ht="14.5" x14ac:dyDescent="0.3">
      <c r="A48" s="360">
        <v>3</v>
      </c>
      <c r="B48" s="362">
        <v>36.4</v>
      </c>
      <c r="C48" s="362">
        <v>66.900000000000006</v>
      </c>
      <c r="D48" s="362">
        <v>90.8</v>
      </c>
      <c r="E48" s="363">
        <v>51.2</v>
      </c>
      <c r="F48" s="363">
        <v>88.8</v>
      </c>
      <c r="G48" s="363">
        <v>117.9</v>
      </c>
    </row>
    <row r="49" spans="1:7" ht="14.5" x14ac:dyDescent="0.3">
      <c r="A49" s="360">
        <v>4</v>
      </c>
      <c r="B49" s="362">
        <v>29.2</v>
      </c>
      <c r="C49" s="362">
        <v>68.7</v>
      </c>
      <c r="D49" s="362">
        <v>97.6</v>
      </c>
      <c r="E49" s="363">
        <v>55.2</v>
      </c>
      <c r="F49" s="363">
        <v>74.2</v>
      </c>
      <c r="G49" s="363">
        <v>113.9</v>
      </c>
    </row>
    <row r="50" spans="1:7" ht="14.5" x14ac:dyDescent="0.3">
      <c r="A50" s="360">
        <v>5</v>
      </c>
      <c r="B50" s="362">
        <v>28.2</v>
      </c>
      <c r="C50" s="362">
        <v>58.1</v>
      </c>
      <c r="D50" s="362">
        <v>92.8</v>
      </c>
      <c r="E50" s="363">
        <v>52.3</v>
      </c>
      <c r="F50" s="363">
        <v>67.5</v>
      </c>
      <c r="G50" s="363">
        <v>114.8</v>
      </c>
    </row>
    <row r="51" spans="1:7" ht="14.5" x14ac:dyDescent="0.3">
      <c r="A51" s="360">
        <v>6</v>
      </c>
      <c r="B51" s="362">
        <v>19.2</v>
      </c>
      <c r="C51" s="362">
        <v>63.2</v>
      </c>
      <c r="D51" s="362">
        <v>75.400000000000006</v>
      </c>
      <c r="E51" s="363">
        <v>30</v>
      </c>
      <c r="F51" s="363">
        <v>82.9</v>
      </c>
      <c r="G51" s="363">
        <v>96.1</v>
      </c>
    </row>
    <row r="52" spans="1:7" ht="14.5" x14ac:dyDescent="0.3">
      <c r="A52" s="360">
        <v>7</v>
      </c>
      <c r="B52" s="362">
        <v>47.1</v>
      </c>
      <c r="C52" s="362">
        <v>64.400000000000006</v>
      </c>
      <c r="D52" s="362">
        <v>109.5</v>
      </c>
      <c r="E52" s="363">
        <v>30.6</v>
      </c>
      <c r="F52" s="363">
        <v>87.5</v>
      </c>
      <c r="G52" s="363">
        <v>100.2</v>
      </c>
    </row>
    <row r="53" spans="1:7" ht="14.5" x14ac:dyDescent="0.3">
      <c r="A53" s="360">
        <v>8</v>
      </c>
      <c r="B53" s="362">
        <v>41.7</v>
      </c>
      <c r="C53" s="362">
        <v>68.099999999999994</v>
      </c>
      <c r="D53" s="362">
        <v>86.2</v>
      </c>
      <c r="E53" s="363">
        <v>64.5</v>
      </c>
      <c r="F53" s="363">
        <v>75.400000000000006</v>
      </c>
      <c r="G53" s="363">
        <v>101.7</v>
      </c>
    </row>
    <row r="54" spans="1:7" ht="14.5" x14ac:dyDescent="0.3">
      <c r="A54" s="360">
        <v>9</v>
      </c>
      <c r="B54" s="362">
        <v>40.799999999999997</v>
      </c>
      <c r="C54" s="362">
        <v>50.7</v>
      </c>
      <c r="D54" s="362">
        <v>100.3</v>
      </c>
      <c r="E54" s="362"/>
      <c r="F54" s="362"/>
      <c r="G54" s="362"/>
    </row>
    <row r="55" spans="1:7" ht="14.5" x14ac:dyDescent="0.3">
      <c r="A55" s="360">
        <v>10</v>
      </c>
      <c r="B55" s="362">
        <v>40.1</v>
      </c>
      <c r="C55" s="362">
        <v>68.3</v>
      </c>
      <c r="D55" s="362">
        <v>95.3</v>
      </c>
      <c r="E55" s="364"/>
      <c r="F55" s="364"/>
      <c r="G55" s="364"/>
    </row>
    <row r="56" spans="1:7" ht="14.5" x14ac:dyDescent="0.3">
      <c r="A56" s="360">
        <v>11</v>
      </c>
      <c r="B56" s="362">
        <v>36.700000000000003</v>
      </c>
      <c r="C56" s="362">
        <v>65.599999999999994</v>
      </c>
      <c r="D56" s="362">
        <v>88.6</v>
      </c>
      <c r="E56" s="364"/>
      <c r="F56" s="364"/>
      <c r="G56" s="364"/>
    </row>
    <row r="57" spans="1:7" ht="14.5" x14ac:dyDescent="0.3">
      <c r="A57" s="360">
        <v>12</v>
      </c>
      <c r="B57" s="362">
        <v>28.8</v>
      </c>
      <c r="C57" s="362">
        <v>66.900000000000006</v>
      </c>
      <c r="D57" s="362">
        <v>104.5</v>
      </c>
      <c r="E57" s="364"/>
      <c r="F57" s="364"/>
      <c r="G57" s="364"/>
    </row>
    <row r="58" spans="1:7" ht="14.5" x14ac:dyDescent="0.3">
      <c r="A58" s="360">
        <v>13</v>
      </c>
      <c r="B58" s="362">
        <v>44.1</v>
      </c>
      <c r="C58" s="362">
        <v>53.3</v>
      </c>
      <c r="D58" s="362">
        <v>91.7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25</v>
      </c>
      <c r="C62" s="368">
        <v>54.5</v>
      </c>
      <c r="D62" s="368">
        <v>90.3</v>
      </c>
      <c r="E62" s="369">
        <v>46</v>
      </c>
      <c r="F62" s="369">
        <v>81.2</v>
      </c>
      <c r="G62" s="369">
        <v>95.2</v>
      </c>
    </row>
    <row r="63" spans="1:7" ht="14.5" x14ac:dyDescent="0.3">
      <c r="A63" s="366">
        <v>2</v>
      </c>
      <c r="B63" s="368">
        <v>18.100000000000001</v>
      </c>
      <c r="C63" s="368">
        <v>63</v>
      </c>
      <c r="D63" s="368">
        <v>88.2</v>
      </c>
      <c r="E63" s="369">
        <v>38.200000000000003</v>
      </c>
      <c r="F63" s="369">
        <v>66.5</v>
      </c>
      <c r="G63" s="369">
        <v>112</v>
      </c>
    </row>
    <row r="64" spans="1:7" ht="14.5" x14ac:dyDescent="0.3">
      <c r="A64" s="366">
        <v>3</v>
      </c>
      <c r="B64" s="368">
        <v>46.9</v>
      </c>
      <c r="C64" s="368">
        <v>63.7</v>
      </c>
      <c r="D64" s="368">
        <v>83.2</v>
      </c>
      <c r="E64" s="369">
        <v>60.4</v>
      </c>
      <c r="F64" s="369">
        <v>80.400000000000006</v>
      </c>
      <c r="G64" s="369">
        <v>116.1</v>
      </c>
    </row>
    <row r="65" spans="1:7" ht="14.5" x14ac:dyDescent="0.3">
      <c r="A65" s="366">
        <v>4</v>
      </c>
      <c r="B65" s="368">
        <v>47.7</v>
      </c>
      <c r="C65" s="368">
        <v>50.9</v>
      </c>
      <c r="D65" s="368">
        <v>105.9</v>
      </c>
      <c r="E65" s="369">
        <v>53</v>
      </c>
      <c r="F65" s="369">
        <v>65.8</v>
      </c>
      <c r="G65" s="369">
        <v>99.2</v>
      </c>
    </row>
    <row r="66" spans="1:7" ht="14.5" x14ac:dyDescent="0.3">
      <c r="A66" s="366">
        <v>5</v>
      </c>
      <c r="B66" s="368">
        <v>43.5</v>
      </c>
      <c r="C66" s="368">
        <v>57.8</v>
      </c>
      <c r="D66" s="368">
        <v>88.3</v>
      </c>
      <c r="E66" s="369">
        <v>43.1</v>
      </c>
      <c r="F66" s="369">
        <v>93.1</v>
      </c>
      <c r="G66" s="369">
        <v>117</v>
      </c>
    </row>
    <row r="67" spans="1:7" ht="14.5" x14ac:dyDescent="0.3">
      <c r="A67" s="366">
        <v>6</v>
      </c>
      <c r="B67" s="368">
        <v>22</v>
      </c>
      <c r="C67" s="368">
        <v>51.2</v>
      </c>
      <c r="D67" s="368">
        <v>97.6</v>
      </c>
      <c r="E67" s="369">
        <v>31.2</v>
      </c>
      <c r="F67" s="369">
        <v>72.400000000000006</v>
      </c>
      <c r="G67" s="369">
        <v>105.8</v>
      </c>
    </row>
    <row r="68" spans="1:7" ht="14.5" x14ac:dyDescent="0.3">
      <c r="A68" s="366">
        <v>7</v>
      </c>
      <c r="B68" s="368">
        <v>25.2</v>
      </c>
      <c r="C68" s="368">
        <v>58.9</v>
      </c>
      <c r="D68" s="368">
        <v>100.9</v>
      </c>
      <c r="E68" s="369">
        <v>59.6</v>
      </c>
      <c r="F68" s="369">
        <v>91.7</v>
      </c>
      <c r="G68" s="369">
        <v>112.2</v>
      </c>
    </row>
    <row r="69" spans="1:7" ht="14.5" x14ac:dyDescent="0.3">
      <c r="A69" s="366">
        <v>8</v>
      </c>
      <c r="B69" s="368">
        <v>25.3</v>
      </c>
      <c r="C69" s="368">
        <v>65.400000000000006</v>
      </c>
      <c r="D69" s="368">
        <v>82.3</v>
      </c>
      <c r="E69" s="369">
        <v>56</v>
      </c>
      <c r="F69" s="369">
        <v>69.900000000000006</v>
      </c>
      <c r="G69" s="369">
        <v>102.2</v>
      </c>
    </row>
    <row r="70" spans="1:7" ht="14.5" x14ac:dyDescent="0.3">
      <c r="A70" s="366">
        <v>9</v>
      </c>
      <c r="B70" s="368">
        <v>24.4</v>
      </c>
      <c r="C70" s="368">
        <v>68.599999999999994</v>
      </c>
      <c r="D70" s="368">
        <v>72.900000000000006</v>
      </c>
      <c r="E70" s="369">
        <v>46.9</v>
      </c>
      <c r="F70" s="369">
        <v>94.5</v>
      </c>
      <c r="G70" s="369">
        <v>108</v>
      </c>
    </row>
    <row r="71" spans="1:7" ht="14.5" x14ac:dyDescent="0.3">
      <c r="A71" s="366">
        <v>10</v>
      </c>
      <c r="B71" s="368">
        <v>43.2</v>
      </c>
      <c r="C71" s="368">
        <v>66.2</v>
      </c>
      <c r="D71" s="368">
        <v>77.599999999999994</v>
      </c>
      <c r="E71" s="369">
        <v>38.299999999999997</v>
      </c>
      <c r="F71" s="369">
        <v>80.599999999999994</v>
      </c>
      <c r="G71" s="369">
        <v>105.5</v>
      </c>
    </row>
    <row r="72" spans="1:7" ht="14.5" x14ac:dyDescent="0.3">
      <c r="A72" s="366">
        <v>11</v>
      </c>
      <c r="B72" s="368">
        <v>31</v>
      </c>
      <c r="C72" s="368">
        <v>51.6</v>
      </c>
      <c r="D72" s="368">
        <v>80.7</v>
      </c>
      <c r="E72" s="367"/>
      <c r="F72" s="367"/>
      <c r="G72" s="367"/>
    </row>
    <row r="73" spans="1:7" ht="14.5" x14ac:dyDescent="0.3">
      <c r="A73" s="366">
        <v>12</v>
      </c>
      <c r="B73" s="368">
        <v>39.200000000000003</v>
      </c>
      <c r="C73" s="368">
        <v>62.9</v>
      </c>
      <c r="D73" s="368">
        <v>88.7</v>
      </c>
      <c r="E73" s="367"/>
      <c r="F73" s="367"/>
      <c r="G73" s="367"/>
    </row>
    <row r="74" spans="1:7" ht="14.5" x14ac:dyDescent="0.3">
      <c r="A74" s="366">
        <v>13</v>
      </c>
      <c r="B74" s="368">
        <v>42.9</v>
      </c>
      <c r="C74" s="368">
        <v>52.2</v>
      </c>
      <c r="D74" s="368">
        <v>97.5</v>
      </c>
      <c r="E74" s="367"/>
      <c r="F74" s="367"/>
      <c r="G74" s="367"/>
    </row>
    <row r="75" spans="1:7" ht="14.5" x14ac:dyDescent="0.3">
      <c r="A75" s="366">
        <v>14</v>
      </c>
      <c r="B75" s="368">
        <v>24.1</v>
      </c>
      <c r="C75" s="368">
        <v>57.1</v>
      </c>
      <c r="D75" s="368">
        <v>109.8</v>
      </c>
      <c r="E75" s="367"/>
      <c r="F75" s="367"/>
      <c r="G75" s="367"/>
    </row>
    <row r="76" spans="1:7" ht="14.5" x14ac:dyDescent="0.3">
      <c r="A76" s="366">
        <v>15</v>
      </c>
      <c r="B76" s="368">
        <v>44</v>
      </c>
      <c r="C76" s="368">
        <v>53.4</v>
      </c>
      <c r="D76" s="368">
        <v>93.8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22.9</v>
      </c>
      <c r="C80" s="373">
        <v>59.8</v>
      </c>
      <c r="D80" s="373">
        <v>95.9</v>
      </c>
      <c r="E80" s="374">
        <v>38.799999999999997</v>
      </c>
      <c r="F80" s="374">
        <v>69.599999999999994</v>
      </c>
      <c r="G80" s="374">
        <v>118.9</v>
      </c>
    </row>
    <row r="81" spans="1:7" ht="14.5" x14ac:dyDescent="0.3">
      <c r="A81" s="371">
        <v>2</v>
      </c>
      <c r="B81" s="373">
        <v>46.8</v>
      </c>
      <c r="C81" s="373">
        <v>63</v>
      </c>
      <c r="D81" s="373">
        <v>86.7</v>
      </c>
      <c r="E81" s="374">
        <v>49.3</v>
      </c>
      <c r="F81" s="374">
        <v>88.7</v>
      </c>
      <c r="G81" s="374">
        <v>97.7</v>
      </c>
    </row>
    <row r="82" spans="1:7" ht="14.5" x14ac:dyDescent="0.3">
      <c r="A82" s="371">
        <v>3</v>
      </c>
      <c r="B82" s="373">
        <v>22.1</v>
      </c>
      <c r="C82" s="373">
        <v>65.900000000000006</v>
      </c>
      <c r="D82" s="373">
        <v>71.3</v>
      </c>
      <c r="E82" s="374">
        <v>34.299999999999997</v>
      </c>
      <c r="F82" s="374">
        <v>71</v>
      </c>
      <c r="G82" s="374">
        <v>104</v>
      </c>
    </row>
    <row r="83" spans="1:7" ht="14.5" x14ac:dyDescent="0.3">
      <c r="A83" s="371">
        <v>4</v>
      </c>
      <c r="B83" s="373">
        <v>43.4</v>
      </c>
      <c r="C83" s="373">
        <v>50.2</v>
      </c>
      <c r="D83" s="373">
        <v>99.8</v>
      </c>
      <c r="E83" s="374">
        <v>37.299999999999997</v>
      </c>
      <c r="F83" s="374">
        <v>71.599999999999994</v>
      </c>
      <c r="G83" s="374">
        <v>101.5</v>
      </c>
    </row>
    <row r="84" spans="1:7" ht="14.5" x14ac:dyDescent="0.3">
      <c r="A84" s="371">
        <v>5</v>
      </c>
      <c r="B84" s="373">
        <v>39.9</v>
      </c>
      <c r="C84" s="373">
        <v>59.1</v>
      </c>
      <c r="D84" s="373">
        <v>90.9</v>
      </c>
      <c r="E84" s="374">
        <v>35.4</v>
      </c>
      <c r="F84" s="374">
        <v>72.2</v>
      </c>
      <c r="G84" s="374">
        <v>114.4</v>
      </c>
    </row>
    <row r="85" spans="1:7" ht="14.5" x14ac:dyDescent="0.3">
      <c r="A85" s="371">
        <v>6</v>
      </c>
      <c r="B85" s="373">
        <v>48.3</v>
      </c>
      <c r="C85" s="373">
        <v>53.9</v>
      </c>
      <c r="D85" s="373">
        <v>74.900000000000006</v>
      </c>
      <c r="E85" s="374">
        <v>43.6</v>
      </c>
      <c r="F85" s="374">
        <v>86.9</v>
      </c>
      <c r="G85" s="374">
        <v>101.1</v>
      </c>
    </row>
    <row r="86" spans="1:7" ht="14.5" x14ac:dyDescent="0.3">
      <c r="A86" s="371">
        <v>7</v>
      </c>
      <c r="B86" s="373">
        <v>32.6</v>
      </c>
      <c r="C86" s="373">
        <v>58.2</v>
      </c>
      <c r="D86" s="373">
        <v>109.4</v>
      </c>
      <c r="E86" s="374">
        <v>35.5</v>
      </c>
      <c r="F86" s="374">
        <v>88.9</v>
      </c>
      <c r="G86" s="374">
        <v>101.7</v>
      </c>
    </row>
    <row r="87" spans="1:7" ht="14.5" x14ac:dyDescent="0.3">
      <c r="A87" s="371">
        <v>8</v>
      </c>
      <c r="B87" s="373">
        <v>28.3</v>
      </c>
      <c r="C87" s="373">
        <v>55.9</v>
      </c>
      <c r="D87" s="373">
        <v>105.1</v>
      </c>
      <c r="E87" s="374">
        <v>45.2</v>
      </c>
      <c r="F87" s="374">
        <v>76.2</v>
      </c>
      <c r="G87" s="374">
        <v>106.3</v>
      </c>
    </row>
    <row r="88" spans="1:7" ht="14.5" x14ac:dyDescent="0.3">
      <c r="A88" s="371">
        <v>9</v>
      </c>
      <c r="B88" s="373">
        <v>41.5</v>
      </c>
      <c r="C88" s="373">
        <v>57.2</v>
      </c>
      <c r="D88" s="373">
        <v>73.400000000000006</v>
      </c>
      <c r="E88" s="374">
        <v>62.4</v>
      </c>
      <c r="F88" s="374">
        <v>81.900000000000006</v>
      </c>
      <c r="G88" s="374">
        <v>98.8</v>
      </c>
    </row>
    <row r="89" spans="1:7" ht="14.5" x14ac:dyDescent="0.3">
      <c r="A89" s="371">
        <v>10</v>
      </c>
      <c r="B89" s="373">
        <v>19</v>
      </c>
      <c r="C89" s="373">
        <v>65.5</v>
      </c>
      <c r="D89" s="373">
        <v>81.8</v>
      </c>
      <c r="E89" s="374">
        <v>46.9</v>
      </c>
      <c r="F89" s="374">
        <v>83.6</v>
      </c>
      <c r="G89" s="374">
        <v>106.6</v>
      </c>
    </row>
    <row r="90" spans="1:7" ht="14.5" x14ac:dyDescent="0.3">
      <c r="A90" s="371">
        <v>11</v>
      </c>
      <c r="B90" s="373">
        <v>21.4</v>
      </c>
      <c r="C90" s="373">
        <v>68.099999999999994</v>
      </c>
      <c r="D90" s="373">
        <v>86</v>
      </c>
      <c r="E90" s="374">
        <v>56.9</v>
      </c>
      <c r="F90" s="374">
        <v>88.3</v>
      </c>
      <c r="G90" s="374">
        <v>98.3</v>
      </c>
    </row>
    <row r="91" spans="1:7" ht="14.5" x14ac:dyDescent="0.3">
      <c r="A91" s="371">
        <v>12</v>
      </c>
      <c r="B91" s="373">
        <v>49.7</v>
      </c>
      <c r="C91" s="373">
        <v>67.3</v>
      </c>
      <c r="D91" s="373">
        <v>97.1</v>
      </c>
      <c r="E91" s="374">
        <v>34.6</v>
      </c>
      <c r="F91" s="374">
        <v>66.5</v>
      </c>
      <c r="G91" s="374">
        <v>109.6</v>
      </c>
    </row>
    <row r="92" spans="1:7" ht="14.5" x14ac:dyDescent="0.3">
      <c r="A92" s="371">
        <v>13</v>
      </c>
      <c r="B92" s="373">
        <v>31.7</v>
      </c>
      <c r="C92" s="373">
        <v>55.1</v>
      </c>
      <c r="D92" s="373">
        <v>71</v>
      </c>
      <c r="E92" s="375"/>
      <c r="F92" s="375"/>
      <c r="G92" s="375"/>
    </row>
    <row r="93" spans="1:7" ht="14.5" x14ac:dyDescent="0.3">
      <c r="A93" s="371">
        <v>14</v>
      </c>
      <c r="B93" s="373">
        <v>26.3</v>
      </c>
      <c r="C93" s="373">
        <v>66.2</v>
      </c>
      <c r="D93" s="373">
        <v>75.599999999999994</v>
      </c>
      <c r="E93" s="375"/>
      <c r="F93" s="375"/>
      <c r="G93" s="375"/>
    </row>
    <row r="94" spans="1:7" ht="14.5" x14ac:dyDescent="0.3">
      <c r="A94" s="371">
        <v>15</v>
      </c>
      <c r="B94" s="373">
        <v>33.9</v>
      </c>
      <c r="C94" s="373">
        <v>65.8</v>
      </c>
      <c r="D94" s="373">
        <v>105</v>
      </c>
      <c r="E94" s="375"/>
      <c r="F94" s="375"/>
      <c r="G94" s="375"/>
    </row>
    <row r="95" spans="1:7" ht="14.5" x14ac:dyDescent="0.3">
      <c r="A95" s="371">
        <v>16</v>
      </c>
      <c r="B95" s="373">
        <v>31</v>
      </c>
      <c r="C95" s="373">
        <v>69.8</v>
      </c>
      <c r="D95" s="373">
        <v>97.5</v>
      </c>
      <c r="E95" s="375"/>
      <c r="F95" s="375"/>
      <c r="G95" s="375"/>
    </row>
    <row r="96" spans="1:7" ht="14.5" x14ac:dyDescent="0.3">
      <c r="A96" s="371">
        <v>17</v>
      </c>
      <c r="B96" s="373">
        <v>30.4</v>
      </c>
      <c r="C96" s="373">
        <v>51.5</v>
      </c>
      <c r="D96" s="373">
        <v>91.3</v>
      </c>
      <c r="E96" s="375"/>
      <c r="F96" s="375"/>
      <c r="G96" s="375"/>
    </row>
    <row r="97" spans="1:7" ht="14.5" x14ac:dyDescent="0.3">
      <c r="A97" s="371">
        <v>18</v>
      </c>
      <c r="B97" s="373">
        <v>30.1</v>
      </c>
      <c r="C97" s="373">
        <v>63.5</v>
      </c>
      <c r="D97" s="373">
        <v>79.7</v>
      </c>
      <c r="E97" s="376"/>
      <c r="F97" s="376"/>
      <c r="G97" s="376"/>
    </row>
    <row r="98" spans="1:7" ht="14.5" x14ac:dyDescent="0.3">
      <c r="A98" s="371">
        <v>19</v>
      </c>
      <c r="B98" s="373">
        <v>33.1</v>
      </c>
      <c r="C98" s="373">
        <v>60.4</v>
      </c>
      <c r="D98" s="373">
        <v>103.7</v>
      </c>
      <c r="E98" s="376"/>
      <c r="F98" s="376"/>
      <c r="G98" s="376"/>
    </row>
    <row r="99" spans="1:7" ht="14.5" x14ac:dyDescent="0.3">
      <c r="A99" s="371">
        <v>20</v>
      </c>
      <c r="B99" s="373">
        <v>34.4</v>
      </c>
      <c r="C99" s="373">
        <v>65.3</v>
      </c>
      <c r="D99" s="373">
        <v>82.4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26.6</v>
      </c>
      <c r="C103" s="367">
        <v>51.3</v>
      </c>
      <c r="D103" s="367">
        <v>80.3</v>
      </c>
      <c r="E103" s="369">
        <v>32.299999999999997</v>
      </c>
      <c r="F103" s="369">
        <v>67.3</v>
      </c>
      <c r="G103" s="369">
        <v>111.2</v>
      </c>
    </row>
    <row r="104" spans="1:7" x14ac:dyDescent="0.25">
      <c r="A104" s="366">
        <v>2</v>
      </c>
      <c r="B104" s="367">
        <v>24.2</v>
      </c>
      <c r="C104" s="367">
        <v>59.3</v>
      </c>
      <c r="D104" s="367">
        <v>109.1</v>
      </c>
      <c r="E104" s="369">
        <v>54.1</v>
      </c>
      <c r="F104" s="369">
        <v>92.1</v>
      </c>
      <c r="G104" s="369">
        <v>95.6</v>
      </c>
    </row>
    <row r="105" spans="1:7" x14ac:dyDescent="0.25">
      <c r="A105" s="366">
        <v>3</v>
      </c>
      <c r="B105" s="367">
        <v>46.5</v>
      </c>
      <c r="C105" s="367">
        <v>57.5</v>
      </c>
      <c r="D105" s="367">
        <v>104.8</v>
      </c>
      <c r="E105" s="369">
        <v>49.4</v>
      </c>
      <c r="F105" s="369">
        <v>93.5</v>
      </c>
      <c r="G105" s="369">
        <v>112</v>
      </c>
    </row>
    <row r="106" spans="1:7" x14ac:dyDescent="0.25">
      <c r="A106" s="366">
        <v>4</v>
      </c>
      <c r="B106" s="367">
        <v>26.7</v>
      </c>
      <c r="C106" s="367">
        <v>61.2</v>
      </c>
      <c r="D106" s="367">
        <v>81.599999999999994</v>
      </c>
      <c r="E106" s="369">
        <v>43.1</v>
      </c>
      <c r="F106" s="369">
        <v>73.8</v>
      </c>
      <c r="G106" s="369">
        <v>114.7</v>
      </c>
    </row>
    <row r="107" spans="1:7" x14ac:dyDescent="0.25">
      <c r="A107" s="366">
        <v>5</v>
      </c>
      <c r="B107" s="367">
        <v>23.6</v>
      </c>
      <c r="C107" s="367">
        <v>58.1</v>
      </c>
      <c r="D107" s="367">
        <v>100.7</v>
      </c>
      <c r="E107" s="369">
        <v>60.3</v>
      </c>
      <c r="F107" s="369">
        <v>76.400000000000006</v>
      </c>
      <c r="G107" s="369">
        <v>117.8</v>
      </c>
    </row>
    <row r="108" spans="1:7" x14ac:dyDescent="0.25">
      <c r="A108" s="366">
        <v>6</v>
      </c>
      <c r="B108" s="367">
        <v>47.9</v>
      </c>
      <c r="C108" s="367">
        <v>57.5</v>
      </c>
      <c r="D108" s="367">
        <v>96.8</v>
      </c>
      <c r="E108" s="369">
        <v>55.4</v>
      </c>
      <c r="F108" s="369">
        <v>73.7</v>
      </c>
      <c r="G108" s="369">
        <v>111.4</v>
      </c>
    </row>
    <row r="109" spans="1:7" x14ac:dyDescent="0.25">
      <c r="A109" s="366">
        <v>7</v>
      </c>
      <c r="B109" s="367">
        <v>22.3</v>
      </c>
      <c r="C109" s="367">
        <v>54.9</v>
      </c>
      <c r="D109" s="367">
        <v>77.3</v>
      </c>
      <c r="E109" s="367"/>
      <c r="F109" s="367"/>
      <c r="G109" s="367"/>
    </row>
    <row r="110" spans="1:7" x14ac:dyDescent="0.25">
      <c r="A110" s="366">
        <v>8</v>
      </c>
      <c r="B110" s="367">
        <v>25.9</v>
      </c>
      <c r="C110" s="367">
        <v>56.1</v>
      </c>
      <c r="D110" s="367">
        <v>94.2</v>
      </c>
      <c r="E110" s="367"/>
      <c r="F110" s="367"/>
      <c r="G110" s="367"/>
    </row>
    <row r="111" spans="1:7" x14ac:dyDescent="0.25">
      <c r="A111" s="366">
        <v>9</v>
      </c>
      <c r="B111" s="367">
        <v>49.5</v>
      </c>
      <c r="C111" s="367">
        <v>59.6</v>
      </c>
      <c r="D111" s="367">
        <v>95.2</v>
      </c>
      <c r="E111" s="367"/>
      <c r="F111" s="367"/>
      <c r="G111" s="367"/>
    </row>
    <row r="112" spans="1:7" x14ac:dyDescent="0.25">
      <c r="A112" s="366">
        <v>10</v>
      </c>
      <c r="B112" s="367">
        <v>22.4</v>
      </c>
      <c r="C112" s="367">
        <v>67.099999999999994</v>
      </c>
      <c r="D112" s="367">
        <v>91.5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92.3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21.5</v>
      </c>
      <c r="C117" s="357">
        <v>66.900000000000006</v>
      </c>
      <c r="D117" s="357">
        <v>101.6</v>
      </c>
      <c r="E117" s="357"/>
      <c r="F117" s="357"/>
      <c r="G117" s="357"/>
    </row>
    <row r="118" spans="1:7" x14ac:dyDescent="0.25">
      <c r="A118" s="356">
        <v>2</v>
      </c>
      <c r="B118" s="357">
        <v>37.799999999999997</v>
      </c>
      <c r="C118" s="357">
        <v>54.3</v>
      </c>
      <c r="D118" s="357">
        <v>98</v>
      </c>
      <c r="E118" s="357"/>
      <c r="F118" s="357"/>
      <c r="G118" s="357"/>
    </row>
    <row r="119" spans="1:7" x14ac:dyDescent="0.25">
      <c r="A119" s="356">
        <v>3</v>
      </c>
      <c r="B119" s="357">
        <v>34.6</v>
      </c>
      <c r="C119" s="357">
        <v>65.599999999999994</v>
      </c>
      <c r="D119" s="357">
        <v>96.7</v>
      </c>
      <c r="E119" s="357"/>
      <c r="F119" s="357"/>
      <c r="G119" s="357"/>
    </row>
    <row r="120" spans="1:7" x14ac:dyDescent="0.25">
      <c r="A120" s="356">
        <v>4</v>
      </c>
      <c r="B120" s="357">
        <v>24.1</v>
      </c>
      <c r="C120" s="357">
        <v>69.599999999999994</v>
      </c>
      <c r="D120" s="357">
        <v>108.4</v>
      </c>
      <c r="E120" s="357"/>
      <c r="F120" s="357"/>
      <c r="G120" s="357"/>
    </row>
    <row r="121" spans="1:7" x14ac:dyDescent="0.25">
      <c r="A121" s="356">
        <v>5</v>
      </c>
      <c r="B121" s="357">
        <v>21.5</v>
      </c>
      <c r="C121" s="357">
        <v>55.1</v>
      </c>
      <c r="D121" s="357">
        <v>106.1</v>
      </c>
      <c r="E121" s="357"/>
      <c r="F121" s="357"/>
      <c r="G121" s="357"/>
    </row>
    <row r="122" spans="1:7" x14ac:dyDescent="0.25">
      <c r="A122" s="356">
        <v>6</v>
      </c>
      <c r="B122" s="357">
        <v>48.5</v>
      </c>
      <c r="C122" s="357">
        <v>50.8</v>
      </c>
      <c r="D122" s="357">
        <v>99.7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59.1</v>
      </c>
      <c r="C127" s="380">
        <f>ROUNDDOWN(AVERAGE(E5:G12),1)</f>
        <v>78.5</v>
      </c>
      <c r="D127" s="378">
        <v>19899</v>
      </c>
      <c r="E127" s="378">
        <v>12581</v>
      </c>
      <c r="F127" s="378">
        <f>B127*D127</f>
        <v>1176030.9000000001</v>
      </c>
      <c r="G127" s="378">
        <f>C127*E127</f>
        <v>987608.5</v>
      </c>
    </row>
    <row r="128" spans="1:7" x14ac:dyDescent="0.25">
      <c r="A128" s="379" t="str">
        <f>A17</f>
        <v>Chongzuo Zuozhou swine Farm</v>
      </c>
      <c r="B128" s="380">
        <f>ROUNDDOWN(AVERAGE(B20:D26),1)</f>
        <v>61.7</v>
      </c>
      <c r="C128" s="380">
        <f>ROUNDDOWN(AVERAGE(E20:G23),1)</f>
        <v>77.8</v>
      </c>
      <c r="D128" s="378">
        <v>10998</v>
      </c>
      <c r="E128" s="378">
        <v>6997</v>
      </c>
      <c r="F128" s="378">
        <f t="shared" ref="F128:G135" si="0">B128*D128</f>
        <v>678576.6</v>
      </c>
      <c r="G128" s="378">
        <f>C128*E128</f>
        <v>544366.6</v>
      </c>
    </row>
    <row r="129" spans="1:7" x14ac:dyDescent="0.25">
      <c r="A129" s="379" t="str">
        <f>A27</f>
        <v>Tianyang Wucun swine Farm</v>
      </c>
      <c r="B129" s="380">
        <f>ROUNDDOWN(AVERAGE(B30:D35),1)</f>
        <v>64.8</v>
      </c>
      <c r="C129" s="380">
        <f>ROUNDDOWN(AVERAGE(E30:G35),1)</f>
        <v>77</v>
      </c>
      <c r="D129" s="378">
        <v>9501</v>
      </c>
      <c r="E129" s="378">
        <v>6022</v>
      </c>
      <c r="F129" s="378">
        <f t="shared" si="0"/>
        <v>615664.79999999993</v>
      </c>
      <c r="G129" s="378">
        <f>C129*E129</f>
        <v>463694</v>
      </c>
    </row>
    <row r="130" spans="1:7" x14ac:dyDescent="0.25">
      <c r="A130" s="379" t="str">
        <f>A36</f>
        <v>Quanzhou Dengjiabu swine Farm</v>
      </c>
      <c r="B130" s="380">
        <f>ROUNDDOWN(AVERAGE(B39:D42),1)</f>
        <v>58.8</v>
      </c>
      <c r="C130" s="380">
        <f>ROUNDDOWN(AVERAGE(E39:G42),1)</f>
        <v>82</v>
      </c>
      <c r="D130" s="378">
        <v>5446</v>
      </c>
      <c r="E130" s="378">
        <v>3360</v>
      </c>
      <c r="F130" s="378">
        <f t="shared" si="0"/>
        <v>320224.8</v>
      </c>
      <c r="G130" s="378">
        <f t="shared" si="0"/>
        <v>275520</v>
      </c>
    </row>
    <row r="131" spans="1:7" x14ac:dyDescent="0.25">
      <c r="A131" s="379" t="str">
        <f>A43</f>
        <v>Chongzuo Quming swine Farm</v>
      </c>
      <c r="B131" s="380">
        <f>ROUNDDOWN(AVERAGE(B46:D58),1)</f>
        <v>64.099999999999994</v>
      </c>
      <c r="C131" s="380">
        <f>ROUNDDOWN(AVERAGE(E46:G53),1)</f>
        <v>76.7</v>
      </c>
      <c r="D131" s="378">
        <v>22352</v>
      </c>
      <c r="E131" s="378">
        <v>14009</v>
      </c>
      <c r="F131" s="378">
        <f t="shared" si="0"/>
        <v>1432763.2</v>
      </c>
      <c r="G131" s="378">
        <f t="shared" si="0"/>
        <v>1074490.3</v>
      </c>
    </row>
    <row r="132" spans="1:7" x14ac:dyDescent="0.25">
      <c r="A132" s="379" t="str">
        <f>A59</f>
        <v>Jingxi swine Farm</v>
      </c>
      <c r="B132" s="380">
        <f>ROUNDDOWN(AVERAGE(B62:D76),1)</f>
        <v>60.8</v>
      </c>
      <c r="C132" s="380">
        <f>ROUNDDOWN(AVERAGE(E62:G71),1)</f>
        <v>78</v>
      </c>
      <c r="D132" s="378">
        <v>26116</v>
      </c>
      <c r="E132" s="378">
        <v>15890</v>
      </c>
      <c r="F132" s="378">
        <f t="shared" si="0"/>
        <v>1587852.7999999998</v>
      </c>
      <c r="G132" s="378">
        <f t="shared" si="0"/>
        <v>1239420</v>
      </c>
    </row>
    <row r="133" spans="1:7" x14ac:dyDescent="0.25">
      <c r="A133" s="379" t="str">
        <f>A77</f>
        <v>Liucheng Mashan swine Farm</v>
      </c>
      <c r="B133" s="380">
        <f>ROUNDDOWN(AVERAGE(B80:D99),1)</f>
        <v>61.1</v>
      </c>
      <c r="C133" s="378">
        <f>ROUNDDOWN(AVERAGE(E80:G91),1)</f>
        <v>75.599999999999994</v>
      </c>
      <c r="D133" s="378">
        <v>33500</v>
      </c>
      <c r="E133" s="378">
        <v>20528</v>
      </c>
      <c r="F133" s="378">
        <f t="shared" si="0"/>
        <v>2046850</v>
      </c>
      <c r="G133" s="378">
        <f t="shared" si="0"/>
        <v>1551916.7999999998</v>
      </c>
    </row>
    <row r="134" spans="1:7" x14ac:dyDescent="0.25">
      <c r="A134" s="379" t="str">
        <f>A100</f>
        <v>Tengxian Tianping swine Farm</v>
      </c>
      <c r="B134" s="380">
        <f>ROUNDDOWN(AVERAGE(B103:D113),1)</f>
        <v>62</v>
      </c>
      <c r="C134" s="378">
        <f>ROUNDDOWN(AVERAGE(E103:G108),1)</f>
        <v>79.599999999999994</v>
      </c>
      <c r="D134" s="378">
        <v>16255</v>
      </c>
      <c r="E134" s="378">
        <v>10374</v>
      </c>
      <c r="F134" s="378">
        <f t="shared" si="0"/>
        <v>1007810</v>
      </c>
      <c r="G134" s="378">
        <f t="shared" si="0"/>
        <v>825770.39999999991</v>
      </c>
    </row>
    <row r="135" spans="1:7" x14ac:dyDescent="0.25">
      <c r="A135" s="379" t="str">
        <f>A114</f>
        <v>Debao Chengguan swine Farm</v>
      </c>
      <c r="B135" s="380">
        <f>ROUNDDOWN(AVERAGE(B117:D122),1)</f>
        <v>64.400000000000006</v>
      </c>
      <c r="C135" s="378">
        <v>0</v>
      </c>
      <c r="D135" s="378">
        <v>8758</v>
      </c>
      <c r="E135" s="378">
        <v>0</v>
      </c>
      <c r="F135" s="378">
        <f t="shared" si="0"/>
        <v>564015.20000000007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89761</v>
      </c>
      <c r="F136" s="378">
        <f>SUM(F127:F135)</f>
        <v>9429788.2999999989</v>
      </c>
      <c r="G136" s="378">
        <f>SUM(G127:G134)</f>
        <v>6962786.5999999996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61.7</v>
      </c>
      <c r="D140" s="381">
        <f>ROUNDDOWN(G136/E136,1)</f>
        <v>77.5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584E-B919-4D64-BC0D-B5929289289E}">
  <dimension ref="A1:G140"/>
  <sheetViews>
    <sheetView topLeftCell="A28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37.299999999999997</v>
      </c>
      <c r="C5" s="345">
        <v>64.599999999999994</v>
      </c>
      <c r="D5" s="345">
        <v>97.8</v>
      </c>
      <c r="E5" s="346">
        <v>49.8</v>
      </c>
      <c r="F5" s="346">
        <v>77.3</v>
      </c>
      <c r="G5" s="346">
        <v>95.6</v>
      </c>
    </row>
    <row r="6" spans="1:7" x14ac:dyDescent="0.25">
      <c r="A6" s="343">
        <v>2</v>
      </c>
      <c r="B6" s="345">
        <v>39</v>
      </c>
      <c r="C6" s="345">
        <v>50</v>
      </c>
      <c r="D6" s="345">
        <v>95.1</v>
      </c>
      <c r="E6" s="346">
        <v>48.4</v>
      </c>
      <c r="F6" s="346">
        <v>72.8</v>
      </c>
      <c r="G6" s="346">
        <v>103</v>
      </c>
    </row>
    <row r="7" spans="1:7" x14ac:dyDescent="0.25">
      <c r="A7" s="343">
        <v>3</v>
      </c>
      <c r="B7" s="345">
        <v>18.899999999999999</v>
      </c>
      <c r="C7" s="345">
        <v>64.5</v>
      </c>
      <c r="D7" s="345">
        <v>102.5</v>
      </c>
      <c r="E7" s="346">
        <v>58.9</v>
      </c>
      <c r="F7" s="346">
        <v>86.1</v>
      </c>
      <c r="G7" s="346">
        <v>113.3</v>
      </c>
    </row>
    <row r="8" spans="1:7" x14ac:dyDescent="0.25">
      <c r="A8" s="343">
        <v>4</v>
      </c>
      <c r="B8" s="345">
        <v>37.700000000000003</v>
      </c>
      <c r="C8" s="345">
        <v>57</v>
      </c>
      <c r="D8" s="345">
        <v>80.7</v>
      </c>
      <c r="E8" s="346">
        <v>54.8</v>
      </c>
      <c r="F8" s="346">
        <v>70.900000000000006</v>
      </c>
      <c r="G8" s="346">
        <v>118.2</v>
      </c>
    </row>
    <row r="9" spans="1:7" x14ac:dyDescent="0.25">
      <c r="A9" s="343">
        <v>5</v>
      </c>
      <c r="B9" s="345">
        <v>23.4</v>
      </c>
      <c r="C9" s="345">
        <v>64.400000000000006</v>
      </c>
      <c r="D9" s="345">
        <v>107.9</v>
      </c>
      <c r="E9" s="346">
        <v>58</v>
      </c>
      <c r="F9" s="346">
        <v>86.4</v>
      </c>
      <c r="G9" s="346">
        <v>113.1</v>
      </c>
    </row>
    <row r="10" spans="1:7" x14ac:dyDescent="0.25">
      <c r="A10" s="343">
        <v>6</v>
      </c>
      <c r="B10" s="345">
        <v>47</v>
      </c>
      <c r="C10" s="345">
        <v>69.400000000000006</v>
      </c>
      <c r="D10" s="345">
        <v>74.900000000000006</v>
      </c>
      <c r="E10" s="346">
        <v>58.3</v>
      </c>
      <c r="F10" s="346">
        <v>93.1</v>
      </c>
      <c r="G10" s="346">
        <v>111.7</v>
      </c>
    </row>
    <row r="11" spans="1:7" x14ac:dyDescent="0.25">
      <c r="A11" s="343">
        <v>7</v>
      </c>
      <c r="B11" s="345">
        <v>39.1</v>
      </c>
      <c r="C11" s="345">
        <v>53</v>
      </c>
      <c r="D11" s="345">
        <v>103.3</v>
      </c>
      <c r="E11" s="346">
        <v>59.9</v>
      </c>
      <c r="F11" s="346">
        <v>76.3</v>
      </c>
      <c r="G11" s="346">
        <v>111.6</v>
      </c>
    </row>
    <row r="12" spans="1:7" x14ac:dyDescent="0.25">
      <c r="A12" s="343">
        <v>8</v>
      </c>
      <c r="B12" s="345">
        <v>39.4</v>
      </c>
      <c r="C12" s="345">
        <v>67.8</v>
      </c>
      <c r="D12" s="345">
        <v>79.7</v>
      </c>
      <c r="E12" s="346">
        <v>60.1</v>
      </c>
      <c r="F12" s="346">
        <v>66.900000000000006</v>
      </c>
      <c r="G12" s="346">
        <v>116.3</v>
      </c>
    </row>
    <row r="13" spans="1:7" x14ac:dyDescent="0.25">
      <c r="A13" s="343">
        <v>9</v>
      </c>
      <c r="B13" s="345">
        <v>25.2</v>
      </c>
      <c r="C13" s="345">
        <v>60.3</v>
      </c>
      <c r="D13" s="345">
        <v>92.5</v>
      </c>
      <c r="E13" s="345"/>
      <c r="F13" s="345"/>
      <c r="G13" s="345"/>
    </row>
    <row r="14" spans="1:7" x14ac:dyDescent="0.25">
      <c r="A14" s="343">
        <v>10</v>
      </c>
      <c r="B14" s="345">
        <v>31</v>
      </c>
      <c r="C14" s="345">
        <v>57</v>
      </c>
      <c r="D14" s="345">
        <v>94</v>
      </c>
      <c r="E14" s="345"/>
      <c r="F14" s="345"/>
      <c r="G14" s="345"/>
    </row>
    <row r="15" spans="1:7" x14ac:dyDescent="0.25">
      <c r="A15" s="343">
        <v>11</v>
      </c>
      <c r="B15" s="345">
        <v>26.6</v>
      </c>
      <c r="C15" s="345">
        <v>62.7</v>
      </c>
      <c r="D15" s="345">
        <v>108.8</v>
      </c>
      <c r="E15" s="345"/>
      <c r="F15" s="345"/>
      <c r="G15" s="345"/>
    </row>
    <row r="16" spans="1:7" x14ac:dyDescent="0.25">
      <c r="A16" s="343">
        <v>12</v>
      </c>
      <c r="B16" s="345">
        <v>36.200000000000003</v>
      </c>
      <c r="C16" s="345">
        <v>65.900000000000006</v>
      </c>
      <c r="D16" s="345">
        <v>107.2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18.3</v>
      </c>
      <c r="C20" s="350">
        <v>55.6</v>
      </c>
      <c r="D20" s="350">
        <v>71.5</v>
      </c>
      <c r="E20" s="350">
        <v>43.4</v>
      </c>
      <c r="F20" s="350">
        <v>91.2</v>
      </c>
      <c r="G20" s="350">
        <v>117.2</v>
      </c>
    </row>
    <row r="21" spans="1:7" x14ac:dyDescent="0.25">
      <c r="A21" s="348">
        <v>2</v>
      </c>
      <c r="B21" s="350">
        <v>28.8</v>
      </c>
      <c r="C21" s="350">
        <v>51.7</v>
      </c>
      <c r="D21" s="350">
        <v>79.099999999999994</v>
      </c>
      <c r="E21" s="350">
        <v>42.9</v>
      </c>
      <c r="F21" s="350">
        <v>78.3</v>
      </c>
      <c r="G21" s="350">
        <v>115.1</v>
      </c>
    </row>
    <row r="22" spans="1:7" x14ac:dyDescent="0.25">
      <c r="A22" s="348">
        <v>3</v>
      </c>
      <c r="B22" s="350">
        <v>19.3</v>
      </c>
      <c r="C22" s="350">
        <v>65.5</v>
      </c>
      <c r="D22" s="350">
        <v>80.599999999999994</v>
      </c>
      <c r="E22" s="350">
        <v>53.6</v>
      </c>
      <c r="F22" s="350">
        <v>66</v>
      </c>
      <c r="G22" s="350">
        <v>111.9</v>
      </c>
    </row>
    <row r="23" spans="1:7" x14ac:dyDescent="0.25">
      <c r="A23" s="348">
        <v>4</v>
      </c>
      <c r="B23" s="350">
        <v>27.7</v>
      </c>
      <c r="C23" s="350">
        <v>56.8</v>
      </c>
      <c r="D23" s="350">
        <v>80.099999999999994</v>
      </c>
      <c r="E23" s="350">
        <v>64.900000000000006</v>
      </c>
      <c r="F23" s="350">
        <v>73</v>
      </c>
      <c r="G23" s="350">
        <v>119.4</v>
      </c>
    </row>
    <row r="24" spans="1:7" x14ac:dyDescent="0.25">
      <c r="A24" s="348">
        <v>5</v>
      </c>
      <c r="B24" s="350">
        <v>29.9</v>
      </c>
      <c r="C24" s="350">
        <v>58.5</v>
      </c>
      <c r="D24" s="350">
        <v>72.400000000000006</v>
      </c>
      <c r="E24" s="350"/>
      <c r="F24" s="350"/>
      <c r="G24" s="350"/>
    </row>
    <row r="25" spans="1:7" x14ac:dyDescent="0.25">
      <c r="A25" s="348">
        <v>6</v>
      </c>
      <c r="B25" s="350">
        <v>19.600000000000001</v>
      </c>
      <c r="C25" s="350">
        <v>64.3</v>
      </c>
      <c r="D25" s="350">
        <v>77.900000000000006</v>
      </c>
      <c r="E25" s="350"/>
      <c r="F25" s="350"/>
      <c r="G25" s="350"/>
    </row>
    <row r="26" spans="1:7" x14ac:dyDescent="0.25">
      <c r="A26" s="348">
        <v>7</v>
      </c>
      <c r="B26" s="350">
        <v>36.4</v>
      </c>
      <c r="C26" s="350">
        <v>66.5</v>
      </c>
      <c r="D26" s="350">
        <v>89.4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21</v>
      </c>
      <c r="C30" s="353">
        <v>63.3</v>
      </c>
      <c r="D30" s="353">
        <v>76.900000000000006</v>
      </c>
      <c r="E30" s="354">
        <v>35.6</v>
      </c>
      <c r="F30" s="354">
        <v>70.2</v>
      </c>
      <c r="G30" s="354">
        <v>114.6</v>
      </c>
    </row>
    <row r="31" spans="1:7" x14ac:dyDescent="0.25">
      <c r="A31" s="352">
        <v>2</v>
      </c>
      <c r="B31" s="353">
        <v>26.3</v>
      </c>
      <c r="C31" s="353">
        <v>69.8</v>
      </c>
      <c r="D31" s="353">
        <v>98.2</v>
      </c>
      <c r="E31" s="354">
        <v>54.5</v>
      </c>
      <c r="F31" s="354">
        <v>90</v>
      </c>
      <c r="G31" s="354">
        <v>107.1</v>
      </c>
    </row>
    <row r="32" spans="1:7" x14ac:dyDescent="0.25">
      <c r="A32" s="352">
        <v>3</v>
      </c>
      <c r="B32" s="353">
        <v>40.700000000000003</v>
      </c>
      <c r="C32" s="353">
        <v>69.5</v>
      </c>
      <c r="D32" s="353">
        <v>76.2</v>
      </c>
      <c r="E32" s="354">
        <v>55.5</v>
      </c>
      <c r="F32" s="354">
        <v>92.7</v>
      </c>
      <c r="G32" s="354">
        <v>98.3</v>
      </c>
    </row>
    <row r="33" spans="1:7" x14ac:dyDescent="0.25">
      <c r="A33" s="352">
        <v>4</v>
      </c>
      <c r="B33" s="353">
        <v>36.299999999999997</v>
      </c>
      <c r="C33" s="353">
        <v>51.4</v>
      </c>
      <c r="D33" s="353">
        <v>105.6</v>
      </c>
      <c r="E33" s="354">
        <v>42.4</v>
      </c>
      <c r="F33" s="354">
        <v>84.7</v>
      </c>
      <c r="G33" s="354">
        <v>111.8</v>
      </c>
    </row>
    <row r="34" spans="1:7" x14ac:dyDescent="0.25">
      <c r="A34" s="352">
        <v>5</v>
      </c>
      <c r="B34" s="353">
        <v>22.6</v>
      </c>
      <c r="C34" s="353">
        <v>59.7</v>
      </c>
      <c r="D34" s="353">
        <v>84.3</v>
      </c>
      <c r="E34" s="353"/>
      <c r="F34" s="353"/>
      <c r="G34" s="353"/>
    </row>
    <row r="35" spans="1:7" x14ac:dyDescent="0.25">
      <c r="A35" s="352">
        <v>6</v>
      </c>
      <c r="B35" s="353">
        <v>32.200000000000003</v>
      </c>
      <c r="C35" s="353">
        <v>53.8</v>
      </c>
      <c r="D35" s="353">
        <v>102.9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18.3</v>
      </c>
      <c r="C39" s="357">
        <v>56.5</v>
      </c>
      <c r="D39" s="357">
        <v>98.7</v>
      </c>
      <c r="E39" s="358">
        <v>50</v>
      </c>
      <c r="F39" s="358">
        <v>84.4</v>
      </c>
      <c r="G39" s="358">
        <v>103.4</v>
      </c>
    </row>
    <row r="40" spans="1:7" x14ac:dyDescent="0.25">
      <c r="A40" s="356">
        <v>2</v>
      </c>
      <c r="B40" s="357">
        <v>47.5</v>
      </c>
      <c r="C40" s="357">
        <v>55.3</v>
      </c>
      <c r="D40" s="357">
        <v>108.4</v>
      </c>
      <c r="E40" s="358">
        <v>41.9</v>
      </c>
      <c r="F40" s="358">
        <v>85.3</v>
      </c>
      <c r="G40" s="358">
        <v>103.2</v>
      </c>
    </row>
    <row r="41" spans="1:7" x14ac:dyDescent="0.25">
      <c r="A41" s="356">
        <v>3</v>
      </c>
      <c r="B41" s="357">
        <v>37.1</v>
      </c>
      <c r="C41" s="357">
        <v>53.9</v>
      </c>
      <c r="D41" s="357">
        <v>92.6</v>
      </c>
      <c r="E41" s="357"/>
      <c r="F41" s="358">
        <v>74.5</v>
      </c>
      <c r="G41" s="358">
        <v>104.8</v>
      </c>
    </row>
    <row r="42" spans="1:7" x14ac:dyDescent="0.25">
      <c r="A42" s="356">
        <v>4</v>
      </c>
      <c r="B42" s="357">
        <v>32.700000000000003</v>
      </c>
      <c r="C42" s="357">
        <v>65.099999999999994</v>
      </c>
      <c r="D42" s="357">
        <v>85.7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38.9</v>
      </c>
      <c r="C46" s="362">
        <v>69.099999999999994</v>
      </c>
      <c r="D46" s="362">
        <v>84.3</v>
      </c>
      <c r="E46" s="363">
        <v>57.5</v>
      </c>
      <c r="F46" s="363">
        <v>84.3</v>
      </c>
      <c r="G46" s="363">
        <v>104.5</v>
      </c>
    </row>
    <row r="47" spans="1:7" ht="14.5" x14ac:dyDescent="0.3">
      <c r="A47" s="360">
        <v>2</v>
      </c>
      <c r="B47" s="362">
        <v>28.2</v>
      </c>
      <c r="C47" s="362">
        <v>62.4</v>
      </c>
      <c r="D47" s="362">
        <v>105.7</v>
      </c>
      <c r="E47" s="363">
        <v>40.700000000000003</v>
      </c>
      <c r="F47" s="363">
        <v>91.6</v>
      </c>
      <c r="G47" s="363">
        <v>106</v>
      </c>
    </row>
    <row r="48" spans="1:7" ht="14.5" x14ac:dyDescent="0.3">
      <c r="A48" s="360">
        <v>3</v>
      </c>
      <c r="B48" s="362">
        <v>20.6</v>
      </c>
      <c r="C48" s="362">
        <v>64</v>
      </c>
      <c r="D48" s="362">
        <v>105.6</v>
      </c>
      <c r="E48" s="363">
        <v>62.3</v>
      </c>
      <c r="F48" s="363">
        <v>94.8</v>
      </c>
      <c r="G48" s="363">
        <v>102</v>
      </c>
    </row>
    <row r="49" spans="1:7" ht="14.5" x14ac:dyDescent="0.3">
      <c r="A49" s="360">
        <v>4</v>
      </c>
      <c r="B49" s="362">
        <v>41.2</v>
      </c>
      <c r="C49" s="362">
        <v>67.400000000000006</v>
      </c>
      <c r="D49" s="362">
        <v>103.7</v>
      </c>
      <c r="E49" s="363">
        <v>33</v>
      </c>
      <c r="F49" s="363">
        <v>90.4</v>
      </c>
      <c r="G49" s="363">
        <v>102.1</v>
      </c>
    </row>
    <row r="50" spans="1:7" ht="14.5" x14ac:dyDescent="0.3">
      <c r="A50" s="360">
        <v>5</v>
      </c>
      <c r="B50" s="362">
        <v>29.6</v>
      </c>
      <c r="C50" s="362">
        <v>69.900000000000006</v>
      </c>
      <c r="D50" s="362">
        <v>109.9</v>
      </c>
      <c r="E50" s="363">
        <v>48.2</v>
      </c>
      <c r="F50" s="363">
        <v>92.2</v>
      </c>
      <c r="G50" s="363">
        <v>118.7</v>
      </c>
    </row>
    <row r="51" spans="1:7" ht="14.5" x14ac:dyDescent="0.3">
      <c r="A51" s="360">
        <v>6</v>
      </c>
      <c r="B51" s="362">
        <v>29.3</v>
      </c>
      <c r="C51" s="362">
        <v>52.5</v>
      </c>
      <c r="D51" s="362">
        <v>71.900000000000006</v>
      </c>
      <c r="E51" s="363">
        <v>42.7</v>
      </c>
      <c r="F51" s="363">
        <v>90.8</v>
      </c>
      <c r="G51" s="363">
        <v>108.3</v>
      </c>
    </row>
    <row r="52" spans="1:7" ht="14.5" x14ac:dyDescent="0.3">
      <c r="A52" s="360">
        <v>7</v>
      </c>
      <c r="B52" s="362">
        <v>47.4</v>
      </c>
      <c r="C52" s="362">
        <v>67.900000000000006</v>
      </c>
      <c r="D52" s="362">
        <v>79.599999999999994</v>
      </c>
      <c r="E52" s="363">
        <v>44.3</v>
      </c>
      <c r="F52" s="363">
        <v>86.3</v>
      </c>
      <c r="G52" s="363">
        <v>97</v>
      </c>
    </row>
    <row r="53" spans="1:7" ht="14.5" x14ac:dyDescent="0.3">
      <c r="A53" s="360">
        <v>8</v>
      </c>
      <c r="B53" s="362">
        <v>33.799999999999997</v>
      </c>
      <c r="C53" s="362">
        <v>64.5</v>
      </c>
      <c r="D53" s="362">
        <v>94.2</v>
      </c>
      <c r="E53" s="363">
        <v>44.6</v>
      </c>
      <c r="F53" s="363">
        <v>74.3</v>
      </c>
      <c r="G53" s="363">
        <v>102.9</v>
      </c>
    </row>
    <row r="54" spans="1:7" ht="14.5" x14ac:dyDescent="0.3">
      <c r="A54" s="360">
        <v>9</v>
      </c>
      <c r="B54" s="362">
        <v>38.1</v>
      </c>
      <c r="C54" s="362">
        <v>53.9</v>
      </c>
      <c r="D54" s="362">
        <v>76.599999999999994</v>
      </c>
      <c r="E54" s="362"/>
      <c r="F54" s="362"/>
      <c r="G54" s="362"/>
    </row>
    <row r="55" spans="1:7" ht="14.5" x14ac:dyDescent="0.3">
      <c r="A55" s="360">
        <v>10</v>
      </c>
      <c r="B55" s="362">
        <v>31.5</v>
      </c>
      <c r="C55" s="362">
        <v>69.3</v>
      </c>
      <c r="D55" s="362">
        <v>102.6</v>
      </c>
      <c r="E55" s="364"/>
      <c r="F55" s="364"/>
      <c r="G55" s="364"/>
    </row>
    <row r="56" spans="1:7" ht="14.5" x14ac:dyDescent="0.3">
      <c r="A56" s="360">
        <v>11</v>
      </c>
      <c r="B56" s="362">
        <v>49.9</v>
      </c>
      <c r="C56" s="362">
        <v>51.7</v>
      </c>
      <c r="D56" s="362">
        <v>98.8</v>
      </c>
      <c r="E56" s="364"/>
      <c r="F56" s="364"/>
      <c r="G56" s="364"/>
    </row>
    <row r="57" spans="1:7" ht="14.5" x14ac:dyDescent="0.3">
      <c r="A57" s="360">
        <v>12</v>
      </c>
      <c r="B57" s="362">
        <v>26.7</v>
      </c>
      <c r="C57" s="362">
        <v>55.6</v>
      </c>
      <c r="D57" s="362">
        <v>88.9</v>
      </c>
      <c r="E57" s="364"/>
      <c r="F57" s="364"/>
      <c r="G57" s="364"/>
    </row>
    <row r="58" spans="1:7" ht="14.5" x14ac:dyDescent="0.3">
      <c r="A58" s="360">
        <v>13</v>
      </c>
      <c r="B58" s="362">
        <v>32.9</v>
      </c>
      <c r="C58" s="362">
        <v>64.5</v>
      </c>
      <c r="D58" s="362">
        <v>73.5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44.2</v>
      </c>
      <c r="C62" s="368">
        <v>61.3</v>
      </c>
      <c r="D62" s="368">
        <v>77.900000000000006</v>
      </c>
      <c r="E62" s="369">
        <v>39.1</v>
      </c>
      <c r="F62" s="369">
        <v>74.400000000000006</v>
      </c>
      <c r="G62" s="369">
        <v>113.8</v>
      </c>
    </row>
    <row r="63" spans="1:7" ht="14.5" x14ac:dyDescent="0.3">
      <c r="A63" s="366">
        <v>2</v>
      </c>
      <c r="B63" s="368">
        <v>34</v>
      </c>
      <c r="C63" s="368">
        <v>68.3</v>
      </c>
      <c r="D63" s="368">
        <v>93.7</v>
      </c>
      <c r="E63" s="369">
        <v>52.1</v>
      </c>
      <c r="F63" s="369">
        <v>85.2</v>
      </c>
      <c r="G63" s="369">
        <v>114.8</v>
      </c>
    </row>
    <row r="64" spans="1:7" ht="14.5" x14ac:dyDescent="0.3">
      <c r="A64" s="366">
        <v>3</v>
      </c>
      <c r="B64" s="368">
        <v>39.700000000000003</v>
      </c>
      <c r="C64" s="368">
        <v>65.599999999999994</v>
      </c>
      <c r="D64" s="368">
        <v>79.3</v>
      </c>
      <c r="E64" s="369">
        <v>35.299999999999997</v>
      </c>
      <c r="F64" s="369">
        <v>69.8</v>
      </c>
      <c r="G64" s="369">
        <v>95.8</v>
      </c>
    </row>
    <row r="65" spans="1:7" ht="14.5" x14ac:dyDescent="0.3">
      <c r="A65" s="366">
        <v>4</v>
      </c>
      <c r="B65" s="368">
        <v>20.7</v>
      </c>
      <c r="C65" s="368">
        <v>68</v>
      </c>
      <c r="D65" s="368">
        <v>79.900000000000006</v>
      </c>
      <c r="E65" s="369">
        <v>36.1</v>
      </c>
      <c r="F65" s="369">
        <v>68.5</v>
      </c>
      <c r="G65" s="369">
        <v>109.7</v>
      </c>
    </row>
    <row r="66" spans="1:7" ht="14.5" x14ac:dyDescent="0.3">
      <c r="A66" s="366">
        <v>5</v>
      </c>
      <c r="B66" s="368">
        <v>22.8</v>
      </c>
      <c r="C66" s="368">
        <v>64.599999999999994</v>
      </c>
      <c r="D66" s="368">
        <v>105.1</v>
      </c>
      <c r="E66" s="369">
        <v>56.5</v>
      </c>
      <c r="F66" s="369">
        <v>90.6</v>
      </c>
      <c r="G66" s="369">
        <v>97.4</v>
      </c>
    </row>
    <row r="67" spans="1:7" ht="14.5" x14ac:dyDescent="0.3">
      <c r="A67" s="366">
        <v>6</v>
      </c>
      <c r="B67" s="368">
        <v>42.4</v>
      </c>
      <c r="C67" s="368">
        <v>52.5</v>
      </c>
      <c r="D67" s="368">
        <v>78.599999999999994</v>
      </c>
      <c r="E67" s="369">
        <v>60.9</v>
      </c>
      <c r="F67" s="369">
        <v>86.3</v>
      </c>
      <c r="G67" s="369">
        <v>103</v>
      </c>
    </row>
    <row r="68" spans="1:7" ht="14.5" x14ac:dyDescent="0.3">
      <c r="A68" s="366">
        <v>7</v>
      </c>
      <c r="B68" s="368">
        <v>42.5</v>
      </c>
      <c r="C68" s="368">
        <v>57.5</v>
      </c>
      <c r="D68" s="368">
        <v>107.4</v>
      </c>
      <c r="E68" s="369">
        <v>44.8</v>
      </c>
      <c r="F68" s="369">
        <v>93.5</v>
      </c>
      <c r="G68" s="369">
        <v>98.6</v>
      </c>
    </row>
    <row r="69" spans="1:7" ht="14.5" x14ac:dyDescent="0.3">
      <c r="A69" s="366">
        <v>8</v>
      </c>
      <c r="B69" s="368">
        <v>19.5</v>
      </c>
      <c r="C69" s="368">
        <v>58.3</v>
      </c>
      <c r="D69" s="368">
        <v>83.5</v>
      </c>
      <c r="E69" s="369">
        <v>47.1</v>
      </c>
      <c r="F69" s="369">
        <v>92.1</v>
      </c>
      <c r="G69" s="369">
        <v>118.2</v>
      </c>
    </row>
    <row r="70" spans="1:7" ht="14.5" x14ac:dyDescent="0.3">
      <c r="A70" s="366">
        <v>9</v>
      </c>
      <c r="B70" s="368">
        <v>28.6</v>
      </c>
      <c r="C70" s="368">
        <v>63.7</v>
      </c>
      <c r="D70" s="368">
        <v>88.9</v>
      </c>
      <c r="E70" s="369">
        <v>62.9</v>
      </c>
      <c r="F70" s="369">
        <v>94.6</v>
      </c>
      <c r="G70" s="369">
        <v>111.1</v>
      </c>
    </row>
    <row r="71" spans="1:7" ht="14.5" x14ac:dyDescent="0.3">
      <c r="A71" s="366">
        <v>10</v>
      </c>
      <c r="B71" s="368">
        <v>37.6</v>
      </c>
      <c r="C71" s="368">
        <v>57.6</v>
      </c>
      <c r="D71" s="368">
        <v>81.900000000000006</v>
      </c>
      <c r="E71" s="369">
        <v>62.9</v>
      </c>
      <c r="F71" s="369">
        <v>81.7</v>
      </c>
      <c r="G71" s="369">
        <v>96</v>
      </c>
    </row>
    <row r="72" spans="1:7" ht="14.5" x14ac:dyDescent="0.3">
      <c r="A72" s="366">
        <v>11</v>
      </c>
      <c r="B72" s="368">
        <v>18</v>
      </c>
      <c r="C72" s="368">
        <v>60.4</v>
      </c>
      <c r="D72" s="368">
        <v>84.1</v>
      </c>
      <c r="E72" s="367"/>
      <c r="F72" s="367"/>
      <c r="G72" s="367"/>
    </row>
    <row r="73" spans="1:7" ht="14.5" x14ac:dyDescent="0.3">
      <c r="A73" s="366">
        <v>12</v>
      </c>
      <c r="B73" s="368">
        <v>37</v>
      </c>
      <c r="C73" s="368">
        <v>59.6</v>
      </c>
      <c r="D73" s="368">
        <v>71.5</v>
      </c>
      <c r="E73" s="367"/>
      <c r="F73" s="367"/>
      <c r="G73" s="367"/>
    </row>
    <row r="74" spans="1:7" ht="14.5" x14ac:dyDescent="0.3">
      <c r="A74" s="366">
        <v>13</v>
      </c>
      <c r="B74" s="368">
        <v>31.9</v>
      </c>
      <c r="C74" s="368">
        <v>54.7</v>
      </c>
      <c r="D74" s="368">
        <v>98.1</v>
      </c>
      <c r="E74" s="367"/>
      <c r="F74" s="367"/>
      <c r="G74" s="367"/>
    </row>
    <row r="75" spans="1:7" ht="14.5" x14ac:dyDescent="0.3">
      <c r="A75" s="366">
        <v>14</v>
      </c>
      <c r="B75" s="368">
        <v>28</v>
      </c>
      <c r="C75" s="368">
        <v>56.2</v>
      </c>
      <c r="D75" s="368">
        <v>73.400000000000006</v>
      </c>
      <c r="E75" s="367"/>
      <c r="F75" s="367"/>
      <c r="G75" s="367"/>
    </row>
    <row r="76" spans="1:7" ht="14.5" x14ac:dyDescent="0.3">
      <c r="A76" s="366">
        <v>15</v>
      </c>
      <c r="B76" s="368">
        <v>49.7</v>
      </c>
      <c r="C76" s="368">
        <v>53</v>
      </c>
      <c r="D76" s="368">
        <v>91.8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44.9</v>
      </c>
      <c r="C80" s="373">
        <v>54.3</v>
      </c>
      <c r="D80" s="373">
        <v>88.4</v>
      </c>
      <c r="E80" s="374">
        <v>30.7</v>
      </c>
      <c r="F80" s="374">
        <v>77.900000000000006</v>
      </c>
      <c r="G80" s="374">
        <v>99.7</v>
      </c>
    </row>
    <row r="81" spans="1:7" ht="14.5" x14ac:dyDescent="0.3">
      <c r="A81" s="371">
        <v>2</v>
      </c>
      <c r="B81" s="373">
        <v>47.9</v>
      </c>
      <c r="C81" s="373">
        <v>54</v>
      </c>
      <c r="D81" s="373">
        <v>107.2</v>
      </c>
      <c r="E81" s="374">
        <v>49.7</v>
      </c>
      <c r="F81" s="374">
        <v>72.7</v>
      </c>
      <c r="G81" s="374">
        <v>106.8</v>
      </c>
    </row>
    <row r="82" spans="1:7" ht="14.5" x14ac:dyDescent="0.3">
      <c r="A82" s="371">
        <v>3</v>
      </c>
      <c r="B82" s="373">
        <v>18</v>
      </c>
      <c r="C82" s="373">
        <v>67.400000000000006</v>
      </c>
      <c r="D82" s="373">
        <v>84.3</v>
      </c>
      <c r="E82" s="374">
        <v>50.5</v>
      </c>
      <c r="F82" s="374">
        <v>80.599999999999994</v>
      </c>
      <c r="G82" s="374">
        <v>111.1</v>
      </c>
    </row>
    <row r="83" spans="1:7" ht="14.5" x14ac:dyDescent="0.3">
      <c r="A83" s="371">
        <v>4</v>
      </c>
      <c r="B83" s="373">
        <v>34.700000000000003</v>
      </c>
      <c r="C83" s="373">
        <v>69</v>
      </c>
      <c r="D83" s="373">
        <v>90.7</v>
      </c>
      <c r="E83" s="374">
        <v>43.3</v>
      </c>
      <c r="F83" s="374">
        <v>84.7</v>
      </c>
      <c r="G83" s="374">
        <v>105.1</v>
      </c>
    </row>
    <row r="84" spans="1:7" ht="14.5" x14ac:dyDescent="0.3">
      <c r="A84" s="371">
        <v>5</v>
      </c>
      <c r="B84" s="373">
        <v>18.2</v>
      </c>
      <c r="C84" s="373">
        <v>60</v>
      </c>
      <c r="D84" s="373">
        <v>95.8</v>
      </c>
      <c r="E84" s="374">
        <v>49.2</v>
      </c>
      <c r="F84" s="374">
        <v>86.5</v>
      </c>
      <c r="G84" s="374">
        <v>98.3</v>
      </c>
    </row>
    <row r="85" spans="1:7" ht="14.5" x14ac:dyDescent="0.3">
      <c r="A85" s="371">
        <v>6</v>
      </c>
      <c r="B85" s="373">
        <v>44.7</v>
      </c>
      <c r="C85" s="373">
        <v>56.6</v>
      </c>
      <c r="D85" s="373">
        <v>85.4</v>
      </c>
      <c r="E85" s="374">
        <v>49.5</v>
      </c>
      <c r="F85" s="374">
        <v>83.8</v>
      </c>
      <c r="G85" s="374">
        <v>117.7</v>
      </c>
    </row>
    <row r="86" spans="1:7" ht="14.5" x14ac:dyDescent="0.3">
      <c r="A86" s="371">
        <v>7</v>
      </c>
      <c r="B86" s="373">
        <v>19.600000000000001</v>
      </c>
      <c r="C86" s="373">
        <v>64</v>
      </c>
      <c r="D86" s="373">
        <v>108.1</v>
      </c>
      <c r="E86" s="374">
        <v>50.1</v>
      </c>
      <c r="F86" s="374">
        <v>80.900000000000006</v>
      </c>
      <c r="G86" s="374">
        <v>113.3</v>
      </c>
    </row>
    <row r="87" spans="1:7" ht="14.5" x14ac:dyDescent="0.3">
      <c r="A87" s="371">
        <v>8</v>
      </c>
      <c r="B87" s="373">
        <v>43.1</v>
      </c>
      <c r="C87" s="373">
        <v>56.9</v>
      </c>
      <c r="D87" s="373">
        <v>83.1</v>
      </c>
      <c r="E87" s="374">
        <v>61.4</v>
      </c>
      <c r="F87" s="374">
        <v>93</v>
      </c>
      <c r="G87" s="374">
        <v>104.5</v>
      </c>
    </row>
    <row r="88" spans="1:7" ht="14.5" x14ac:dyDescent="0.3">
      <c r="A88" s="371">
        <v>9</v>
      </c>
      <c r="B88" s="373">
        <v>44.3</v>
      </c>
      <c r="C88" s="373">
        <v>52.5</v>
      </c>
      <c r="D88" s="373">
        <v>87.5</v>
      </c>
      <c r="E88" s="374">
        <v>48.6</v>
      </c>
      <c r="F88" s="374">
        <v>94.5</v>
      </c>
      <c r="G88" s="374">
        <v>106.7</v>
      </c>
    </row>
    <row r="89" spans="1:7" ht="14.5" x14ac:dyDescent="0.3">
      <c r="A89" s="371">
        <v>10</v>
      </c>
      <c r="B89" s="373">
        <v>33.700000000000003</v>
      </c>
      <c r="C89" s="373">
        <v>65.599999999999994</v>
      </c>
      <c r="D89" s="373">
        <v>90.5</v>
      </c>
      <c r="E89" s="374">
        <v>52.5</v>
      </c>
      <c r="F89" s="374">
        <v>90.3</v>
      </c>
      <c r="G89" s="374">
        <v>101.2</v>
      </c>
    </row>
    <row r="90" spans="1:7" ht="14.5" x14ac:dyDescent="0.3">
      <c r="A90" s="371">
        <v>11</v>
      </c>
      <c r="B90" s="373">
        <v>30.6</v>
      </c>
      <c r="C90" s="373">
        <v>59.2</v>
      </c>
      <c r="D90" s="373">
        <v>95.3</v>
      </c>
      <c r="E90" s="374">
        <v>43.1</v>
      </c>
      <c r="F90" s="374">
        <v>67.900000000000006</v>
      </c>
      <c r="G90" s="374">
        <v>110.3</v>
      </c>
    </row>
    <row r="91" spans="1:7" ht="14.5" x14ac:dyDescent="0.3">
      <c r="A91" s="371">
        <v>12</v>
      </c>
      <c r="B91" s="373">
        <v>26.6</v>
      </c>
      <c r="C91" s="373">
        <v>54.5</v>
      </c>
      <c r="D91" s="373">
        <v>84.7</v>
      </c>
      <c r="E91" s="374">
        <v>52.6</v>
      </c>
      <c r="F91" s="374">
        <v>91.2</v>
      </c>
      <c r="G91" s="374">
        <v>116.1</v>
      </c>
    </row>
    <row r="92" spans="1:7" ht="14.5" x14ac:dyDescent="0.3">
      <c r="A92" s="371">
        <v>13</v>
      </c>
      <c r="B92" s="373">
        <v>27.2</v>
      </c>
      <c r="C92" s="373">
        <v>54.4</v>
      </c>
      <c r="D92" s="373">
        <v>79</v>
      </c>
      <c r="E92" s="375"/>
      <c r="F92" s="375"/>
      <c r="G92" s="375"/>
    </row>
    <row r="93" spans="1:7" ht="14.5" x14ac:dyDescent="0.3">
      <c r="A93" s="371">
        <v>14</v>
      </c>
      <c r="B93" s="373">
        <v>25.8</v>
      </c>
      <c r="C93" s="373">
        <v>57.8</v>
      </c>
      <c r="D93" s="373">
        <v>83.2</v>
      </c>
      <c r="E93" s="375"/>
      <c r="F93" s="375"/>
      <c r="G93" s="375"/>
    </row>
    <row r="94" spans="1:7" ht="14.5" x14ac:dyDescent="0.3">
      <c r="A94" s="371">
        <v>15</v>
      </c>
      <c r="B94" s="373">
        <v>28.4</v>
      </c>
      <c r="C94" s="373">
        <v>57.1</v>
      </c>
      <c r="D94" s="373">
        <v>98.5</v>
      </c>
      <c r="E94" s="375"/>
      <c r="F94" s="375"/>
      <c r="G94" s="375"/>
    </row>
    <row r="95" spans="1:7" ht="14.5" x14ac:dyDescent="0.3">
      <c r="A95" s="371">
        <v>16</v>
      </c>
      <c r="B95" s="373">
        <v>24.5</v>
      </c>
      <c r="C95" s="373">
        <v>58.6</v>
      </c>
      <c r="D95" s="373">
        <v>98.4</v>
      </c>
      <c r="E95" s="375"/>
      <c r="F95" s="375"/>
      <c r="G95" s="375"/>
    </row>
    <row r="96" spans="1:7" ht="14.5" x14ac:dyDescent="0.3">
      <c r="A96" s="371">
        <v>17</v>
      </c>
      <c r="B96" s="373">
        <v>31.7</v>
      </c>
      <c r="C96" s="373">
        <v>61.4</v>
      </c>
      <c r="D96" s="373">
        <v>107.6</v>
      </c>
      <c r="E96" s="375"/>
      <c r="F96" s="375"/>
      <c r="G96" s="375"/>
    </row>
    <row r="97" spans="1:7" ht="14.5" x14ac:dyDescent="0.3">
      <c r="A97" s="371">
        <v>18</v>
      </c>
      <c r="B97" s="373">
        <v>50</v>
      </c>
      <c r="C97" s="373">
        <v>52.1</v>
      </c>
      <c r="D97" s="373">
        <v>83.2</v>
      </c>
      <c r="E97" s="376"/>
      <c r="F97" s="376"/>
      <c r="G97" s="376"/>
    </row>
    <row r="98" spans="1:7" ht="14.5" x14ac:dyDescent="0.3">
      <c r="A98" s="371">
        <v>19</v>
      </c>
      <c r="B98" s="373">
        <v>43.6</v>
      </c>
      <c r="C98" s="373">
        <v>51.5</v>
      </c>
      <c r="D98" s="373">
        <v>76.400000000000006</v>
      </c>
      <c r="E98" s="376"/>
      <c r="F98" s="376"/>
      <c r="G98" s="376"/>
    </row>
    <row r="99" spans="1:7" ht="14.5" x14ac:dyDescent="0.3">
      <c r="A99" s="371">
        <v>20</v>
      </c>
      <c r="B99" s="373">
        <v>24.7</v>
      </c>
      <c r="C99" s="373">
        <v>53.9</v>
      </c>
      <c r="D99" s="373">
        <v>77.400000000000006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35.799999999999997</v>
      </c>
      <c r="C103" s="367">
        <v>61.7</v>
      </c>
      <c r="D103" s="367">
        <v>84.8</v>
      </c>
      <c r="E103" s="369">
        <v>33.200000000000003</v>
      </c>
      <c r="F103" s="369">
        <v>86.9</v>
      </c>
      <c r="G103" s="369">
        <v>109.9</v>
      </c>
    </row>
    <row r="104" spans="1:7" x14ac:dyDescent="0.25">
      <c r="A104" s="366">
        <v>2</v>
      </c>
      <c r="B104" s="367">
        <v>32.9</v>
      </c>
      <c r="C104" s="367">
        <v>50.8</v>
      </c>
      <c r="D104" s="367">
        <v>103.9</v>
      </c>
      <c r="E104" s="369">
        <v>37.9</v>
      </c>
      <c r="F104" s="369">
        <v>90.6</v>
      </c>
      <c r="G104" s="369">
        <v>101.2</v>
      </c>
    </row>
    <row r="105" spans="1:7" x14ac:dyDescent="0.25">
      <c r="A105" s="366">
        <v>3</v>
      </c>
      <c r="B105" s="367">
        <v>33.700000000000003</v>
      </c>
      <c r="C105" s="367">
        <v>66.900000000000006</v>
      </c>
      <c r="D105" s="367">
        <v>73.7</v>
      </c>
      <c r="E105" s="369">
        <v>38.6</v>
      </c>
      <c r="F105" s="369">
        <v>77.400000000000006</v>
      </c>
      <c r="G105" s="369">
        <v>104.2</v>
      </c>
    </row>
    <row r="106" spans="1:7" x14ac:dyDescent="0.25">
      <c r="A106" s="366">
        <v>4</v>
      </c>
      <c r="B106" s="367">
        <v>45</v>
      </c>
      <c r="C106" s="367">
        <v>64.3</v>
      </c>
      <c r="D106" s="367">
        <v>94.2</v>
      </c>
      <c r="E106" s="369">
        <v>55.3</v>
      </c>
      <c r="F106" s="369">
        <v>76.400000000000006</v>
      </c>
      <c r="G106" s="369">
        <v>100.4</v>
      </c>
    </row>
    <row r="107" spans="1:7" x14ac:dyDescent="0.25">
      <c r="A107" s="366">
        <v>5</v>
      </c>
      <c r="B107" s="367">
        <v>34.700000000000003</v>
      </c>
      <c r="C107" s="367">
        <v>50.1</v>
      </c>
      <c r="D107" s="367">
        <v>71.2</v>
      </c>
      <c r="E107" s="369">
        <v>36.6</v>
      </c>
      <c r="F107" s="369">
        <v>70</v>
      </c>
      <c r="G107" s="369">
        <v>101.3</v>
      </c>
    </row>
    <row r="108" spans="1:7" x14ac:dyDescent="0.25">
      <c r="A108" s="366">
        <v>6</v>
      </c>
      <c r="B108" s="367">
        <v>27.2</v>
      </c>
      <c r="C108" s="367">
        <v>54.7</v>
      </c>
      <c r="D108" s="367">
        <v>105.9</v>
      </c>
      <c r="E108" s="369">
        <v>31.3</v>
      </c>
      <c r="F108" s="369">
        <v>76.099999999999994</v>
      </c>
      <c r="G108" s="369">
        <v>97.2</v>
      </c>
    </row>
    <row r="109" spans="1:7" x14ac:dyDescent="0.25">
      <c r="A109" s="366">
        <v>7</v>
      </c>
      <c r="B109" s="367">
        <v>26.9</v>
      </c>
      <c r="C109" s="367">
        <v>53.1</v>
      </c>
      <c r="D109" s="367">
        <v>74.400000000000006</v>
      </c>
      <c r="E109" s="367"/>
      <c r="F109" s="367"/>
      <c r="G109" s="367"/>
    </row>
    <row r="110" spans="1:7" x14ac:dyDescent="0.25">
      <c r="A110" s="366">
        <v>8</v>
      </c>
      <c r="B110" s="367">
        <v>26.8</v>
      </c>
      <c r="C110" s="367">
        <v>60.4</v>
      </c>
      <c r="D110" s="367">
        <v>74.3</v>
      </c>
      <c r="E110" s="367"/>
      <c r="F110" s="367"/>
      <c r="G110" s="367"/>
    </row>
    <row r="111" spans="1:7" x14ac:dyDescent="0.25">
      <c r="A111" s="366">
        <v>9</v>
      </c>
      <c r="B111" s="367">
        <v>23.7</v>
      </c>
      <c r="C111" s="367">
        <v>52.1</v>
      </c>
      <c r="D111" s="367">
        <v>86.1</v>
      </c>
      <c r="E111" s="367"/>
      <c r="F111" s="367"/>
      <c r="G111" s="367"/>
    </row>
    <row r="112" spans="1:7" x14ac:dyDescent="0.25">
      <c r="A112" s="366">
        <v>10</v>
      </c>
      <c r="B112" s="367">
        <v>33.6</v>
      </c>
      <c r="C112" s="367">
        <v>57.1</v>
      </c>
      <c r="D112" s="367">
        <v>96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101.4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18.5</v>
      </c>
      <c r="C117" s="357">
        <v>50.9</v>
      </c>
      <c r="D117" s="357">
        <v>90.3</v>
      </c>
      <c r="E117" s="357"/>
      <c r="F117" s="357"/>
      <c r="G117" s="357"/>
    </row>
    <row r="118" spans="1:7" x14ac:dyDescent="0.25">
      <c r="A118" s="356">
        <v>2</v>
      </c>
      <c r="B118" s="357">
        <v>25</v>
      </c>
      <c r="C118" s="357">
        <v>56.3</v>
      </c>
      <c r="D118" s="357">
        <v>93.5</v>
      </c>
      <c r="E118" s="357"/>
      <c r="F118" s="357"/>
      <c r="G118" s="357"/>
    </row>
    <row r="119" spans="1:7" x14ac:dyDescent="0.25">
      <c r="A119" s="356">
        <v>3</v>
      </c>
      <c r="B119" s="357">
        <v>41</v>
      </c>
      <c r="C119" s="357">
        <v>68.900000000000006</v>
      </c>
      <c r="D119" s="357">
        <v>70.400000000000006</v>
      </c>
      <c r="E119" s="357"/>
      <c r="F119" s="357"/>
      <c r="G119" s="357"/>
    </row>
    <row r="120" spans="1:7" x14ac:dyDescent="0.25">
      <c r="A120" s="356">
        <v>4</v>
      </c>
      <c r="B120" s="357">
        <v>23.3</v>
      </c>
      <c r="C120" s="357">
        <v>54.4</v>
      </c>
      <c r="D120" s="357">
        <v>80.2</v>
      </c>
      <c r="E120" s="357"/>
      <c r="F120" s="357"/>
      <c r="G120" s="357"/>
    </row>
    <row r="121" spans="1:7" x14ac:dyDescent="0.25">
      <c r="A121" s="356">
        <v>5</v>
      </c>
      <c r="B121" s="357">
        <v>43.7</v>
      </c>
      <c r="C121" s="357">
        <v>51.9</v>
      </c>
      <c r="D121" s="357">
        <v>87.5</v>
      </c>
      <c r="E121" s="357"/>
      <c r="F121" s="357"/>
      <c r="G121" s="357"/>
    </row>
    <row r="122" spans="1:7" x14ac:dyDescent="0.25">
      <c r="A122" s="356">
        <v>6</v>
      </c>
      <c r="B122" s="357">
        <v>39.299999999999997</v>
      </c>
      <c r="C122" s="357">
        <v>53.1</v>
      </c>
      <c r="D122" s="357">
        <v>72.099999999999994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63.3</v>
      </c>
      <c r="C127" s="380">
        <f>ROUNDDOWN(AVERAGE(E5:G12),1)</f>
        <v>81.7</v>
      </c>
      <c r="D127" s="378">
        <v>19899</v>
      </c>
      <c r="E127" s="378">
        <v>12594</v>
      </c>
      <c r="F127" s="378">
        <f>B127*D127</f>
        <v>1259606.7</v>
      </c>
      <c r="G127" s="378">
        <f>C127*E127</f>
        <v>1028929.8</v>
      </c>
    </row>
    <row r="128" spans="1:7" x14ac:dyDescent="0.25">
      <c r="A128" s="379" t="str">
        <f>A17</f>
        <v>Chongzuo Zuozhou swine Farm</v>
      </c>
      <c r="B128" s="380">
        <f>ROUNDDOWN(AVERAGE(B20:D26),1)</f>
        <v>54.7</v>
      </c>
      <c r="C128" s="380">
        <f>ROUNDDOWN(AVERAGE(E20:G23),1)</f>
        <v>81.400000000000006</v>
      </c>
      <c r="D128" s="378">
        <v>10998</v>
      </c>
      <c r="E128" s="378">
        <v>6931</v>
      </c>
      <c r="F128" s="378">
        <f t="shared" ref="F128:G135" si="0">B128*D128</f>
        <v>601590.6</v>
      </c>
      <c r="G128" s="378">
        <f>C128*E128</f>
        <v>564183.4</v>
      </c>
    </row>
    <row r="129" spans="1:7" x14ac:dyDescent="0.25">
      <c r="A129" s="379" t="str">
        <f>A27</f>
        <v>Tianyang Wucun swine Farm</v>
      </c>
      <c r="B129" s="380">
        <f>ROUNDDOWN(AVERAGE(B30:D35),1)</f>
        <v>60.5</v>
      </c>
      <c r="C129" s="380">
        <f>ROUNDDOWN(AVERAGE(E30:G35),1)</f>
        <v>79.7</v>
      </c>
      <c r="D129" s="378">
        <v>9501</v>
      </c>
      <c r="E129" s="378">
        <v>6004</v>
      </c>
      <c r="F129" s="378">
        <f t="shared" si="0"/>
        <v>574810.5</v>
      </c>
      <c r="G129" s="378">
        <f>C129*E129</f>
        <v>478518.8</v>
      </c>
    </row>
    <row r="130" spans="1:7" x14ac:dyDescent="0.25">
      <c r="A130" s="379" t="str">
        <f>A36</f>
        <v>Quanzhou Dengjiabu swine Farm</v>
      </c>
      <c r="B130" s="380">
        <f>ROUNDDOWN(AVERAGE(B39:D42),1)</f>
        <v>62.6</v>
      </c>
      <c r="C130" s="380">
        <f>ROUNDDOWN(AVERAGE(E39:G42),1)</f>
        <v>80.900000000000006</v>
      </c>
      <c r="D130" s="378">
        <v>5446</v>
      </c>
      <c r="E130" s="378">
        <v>3360</v>
      </c>
      <c r="F130" s="378">
        <f t="shared" si="0"/>
        <v>340919.60000000003</v>
      </c>
      <c r="G130" s="378">
        <f t="shared" si="0"/>
        <v>271824</v>
      </c>
    </row>
    <row r="131" spans="1:7" x14ac:dyDescent="0.25">
      <c r="A131" s="379" t="str">
        <f>A43</f>
        <v>Chongzuo Quming swine Farm</v>
      </c>
      <c r="B131" s="380">
        <f>ROUNDDOWN(AVERAGE(B46:D58),1)</f>
        <v>62.9</v>
      </c>
      <c r="C131" s="380">
        <f>ROUNDDOWN(AVERAGE(E46:G53),1)</f>
        <v>79.900000000000006</v>
      </c>
      <c r="D131" s="378">
        <v>22352</v>
      </c>
      <c r="E131" s="378">
        <v>14009</v>
      </c>
      <c r="F131" s="378">
        <f t="shared" si="0"/>
        <v>1405940.8</v>
      </c>
      <c r="G131" s="378">
        <f t="shared" si="0"/>
        <v>1119319.1000000001</v>
      </c>
    </row>
    <row r="132" spans="1:7" x14ac:dyDescent="0.25">
      <c r="A132" s="379" t="str">
        <f>A59</f>
        <v>Jingxi swine Farm</v>
      </c>
      <c r="B132" s="380">
        <f>ROUNDDOWN(AVERAGE(B62:D76),1)</f>
        <v>59.8</v>
      </c>
      <c r="C132" s="380">
        <f>ROUNDDOWN(AVERAGE(E62:G71),1)</f>
        <v>79.7</v>
      </c>
      <c r="D132" s="378">
        <v>26116</v>
      </c>
      <c r="E132" s="378">
        <v>15907</v>
      </c>
      <c r="F132" s="378">
        <f t="shared" si="0"/>
        <v>1561736.7999999998</v>
      </c>
      <c r="G132" s="378">
        <f t="shared" si="0"/>
        <v>1267787.9000000001</v>
      </c>
    </row>
    <row r="133" spans="1:7" x14ac:dyDescent="0.25">
      <c r="A133" s="379" t="str">
        <f>A77</f>
        <v>Liucheng Mashan swine Farm</v>
      </c>
      <c r="B133" s="380">
        <f>ROUNDDOWN(AVERAGE(B80:D99),1)</f>
        <v>60.4</v>
      </c>
      <c r="C133" s="378">
        <f>ROUNDDOWN(AVERAGE(E80:G91),1)</f>
        <v>79.8</v>
      </c>
      <c r="D133" s="378">
        <v>33500</v>
      </c>
      <c r="E133" s="378">
        <v>20682</v>
      </c>
      <c r="F133" s="378">
        <f t="shared" si="0"/>
        <v>2023400</v>
      </c>
      <c r="G133" s="378">
        <f t="shared" si="0"/>
        <v>1650423.5999999999</v>
      </c>
    </row>
    <row r="134" spans="1:7" x14ac:dyDescent="0.25">
      <c r="A134" s="379" t="str">
        <f>A100</f>
        <v>Tengxian Tianping swine Farm</v>
      </c>
      <c r="B134" s="380">
        <f>ROUNDDOWN(AVERAGE(B103:D113),1)</f>
        <v>59.9</v>
      </c>
      <c r="C134" s="378">
        <f>ROUNDDOWN(AVERAGE(E103:G108),1)</f>
        <v>73.5</v>
      </c>
      <c r="D134" s="378">
        <v>16255</v>
      </c>
      <c r="E134" s="378">
        <v>10407</v>
      </c>
      <c r="F134" s="378">
        <f t="shared" si="0"/>
        <v>973674.5</v>
      </c>
      <c r="G134" s="378">
        <f t="shared" si="0"/>
        <v>764914.5</v>
      </c>
    </row>
    <row r="135" spans="1:7" x14ac:dyDescent="0.25">
      <c r="A135" s="379" t="str">
        <f>A114</f>
        <v>Debao Chengguan swine Farm</v>
      </c>
      <c r="B135" s="380">
        <f>ROUNDDOWN(AVERAGE(B117:D122),1)</f>
        <v>56.6</v>
      </c>
      <c r="C135" s="378">
        <v>0</v>
      </c>
      <c r="D135" s="378">
        <v>8758</v>
      </c>
      <c r="E135" s="378">
        <v>0</v>
      </c>
      <c r="F135" s="378">
        <f t="shared" si="0"/>
        <v>495702.8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89894</v>
      </c>
      <c r="F136" s="378">
        <f>SUM(F127:F135)</f>
        <v>9237382.3000000007</v>
      </c>
      <c r="G136" s="378">
        <f>SUM(G127:G134)</f>
        <v>7145901.0999999996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60.4</v>
      </c>
      <c r="D140" s="381">
        <f>ROUNDDOWN(G136/E136,1)</f>
        <v>79.400000000000006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F0D7-8B15-49CC-BC77-B69EEB93D784}">
  <dimension ref="A1:G140"/>
  <sheetViews>
    <sheetView topLeftCell="A34" workbookViewId="0">
      <selection activeCell="G42" sqref="G42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31.4</v>
      </c>
      <c r="C5" s="345">
        <v>56.4</v>
      </c>
      <c r="D5" s="345">
        <v>85.7</v>
      </c>
      <c r="E5" s="346">
        <v>36.6</v>
      </c>
      <c r="F5" s="346">
        <v>78.8</v>
      </c>
      <c r="G5" s="346">
        <v>115.3</v>
      </c>
    </row>
    <row r="6" spans="1:7" x14ac:dyDescent="0.25">
      <c r="A6" s="343">
        <v>2</v>
      </c>
      <c r="B6" s="345">
        <v>44.8</v>
      </c>
      <c r="C6" s="345">
        <v>56.7</v>
      </c>
      <c r="D6" s="345">
        <v>108.3</v>
      </c>
      <c r="E6" s="346">
        <v>46.5</v>
      </c>
      <c r="F6" s="346">
        <v>86.6</v>
      </c>
      <c r="G6" s="346">
        <v>95.8</v>
      </c>
    </row>
    <row r="7" spans="1:7" x14ac:dyDescent="0.25">
      <c r="A7" s="343">
        <v>3</v>
      </c>
      <c r="B7" s="345">
        <v>49</v>
      </c>
      <c r="C7" s="345">
        <v>50.6</v>
      </c>
      <c r="D7" s="345">
        <v>71.2</v>
      </c>
      <c r="E7" s="346">
        <v>32.200000000000003</v>
      </c>
      <c r="F7" s="346">
        <v>92</v>
      </c>
      <c r="G7" s="346">
        <v>107.6</v>
      </c>
    </row>
    <row r="8" spans="1:7" x14ac:dyDescent="0.25">
      <c r="A8" s="343">
        <v>4</v>
      </c>
      <c r="B8" s="345">
        <v>25.8</v>
      </c>
      <c r="C8" s="345">
        <v>59.9</v>
      </c>
      <c r="D8" s="345">
        <v>108.9</v>
      </c>
      <c r="E8" s="346">
        <v>46</v>
      </c>
      <c r="F8" s="346">
        <v>89.7</v>
      </c>
      <c r="G8" s="346">
        <v>118.3</v>
      </c>
    </row>
    <row r="9" spans="1:7" x14ac:dyDescent="0.25">
      <c r="A9" s="343">
        <v>5</v>
      </c>
      <c r="B9" s="345">
        <v>35.6</v>
      </c>
      <c r="C9" s="345">
        <v>63.2</v>
      </c>
      <c r="D9" s="345">
        <v>106.5</v>
      </c>
      <c r="E9" s="346">
        <v>62.8</v>
      </c>
      <c r="F9" s="346">
        <v>65.7</v>
      </c>
      <c r="G9" s="346">
        <v>115.5</v>
      </c>
    </row>
    <row r="10" spans="1:7" x14ac:dyDescent="0.25">
      <c r="A10" s="343">
        <v>6</v>
      </c>
      <c r="B10" s="345">
        <v>37.1</v>
      </c>
      <c r="C10" s="345">
        <v>60</v>
      </c>
      <c r="D10" s="345">
        <v>90.1</v>
      </c>
      <c r="E10" s="346">
        <v>63.6</v>
      </c>
      <c r="F10" s="346">
        <v>80.400000000000006</v>
      </c>
      <c r="G10" s="346">
        <v>115</v>
      </c>
    </row>
    <row r="11" spans="1:7" x14ac:dyDescent="0.25">
      <c r="A11" s="343">
        <v>7</v>
      </c>
      <c r="B11" s="345">
        <v>43</v>
      </c>
      <c r="C11" s="345">
        <v>67.400000000000006</v>
      </c>
      <c r="D11" s="345">
        <v>89.2</v>
      </c>
      <c r="E11" s="346">
        <v>31.4</v>
      </c>
      <c r="F11" s="346">
        <v>65.099999999999994</v>
      </c>
      <c r="G11" s="346">
        <v>113.2</v>
      </c>
    </row>
    <row r="12" spans="1:7" x14ac:dyDescent="0.25">
      <c r="A12" s="343">
        <v>8</v>
      </c>
      <c r="B12" s="345">
        <v>47.9</v>
      </c>
      <c r="C12" s="345">
        <v>50.3</v>
      </c>
      <c r="D12" s="345">
        <v>85.1</v>
      </c>
      <c r="E12" s="346">
        <v>57</v>
      </c>
      <c r="F12" s="346">
        <v>74.5</v>
      </c>
      <c r="G12" s="346">
        <v>114.6</v>
      </c>
    </row>
    <row r="13" spans="1:7" x14ac:dyDescent="0.25">
      <c r="A13" s="343">
        <v>9</v>
      </c>
      <c r="B13" s="345">
        <v>24.6</v>
      </c>
      <c r="C13" s="345">
        <v>54.5</v>
      </c>
      <c r="D13" s="345">
        <v>101.7</v>
      </c>
      <c r="E13" s="345"/>
      <c r="F13" s="345"/>
      <c r="G13" s="345"/>
    </row>
    <row r="14" spans="1:7" x14ac:dyDescent="0.25">
      <c r="A14" s="343">
        <v>10</v>
      </c>
      <c r="B14" s="345">
        <v>32.799999999999997</v>
      </c>
      <c r="C14" s="345">
        <v>56.7</v>
      </c>
      <c r="D14" s="345">
        <v>103.1</v>
      </c>
      <c r="E14" s="345"/>
      <c r="F14" s="345"/>
      <c r="G14" s="345"/>
    </row>
    <row r="15" spans="1:7" x14ac:dyDescent="0.25">
      <c r="A15" s="343">
        <v>11</v>
      </c>
      <c r="B15" s="345">
        <v>23.2</v>
      </c>
      <c r="C15" s="345">
        <v>64.900000000000006</v>
      </c>
      <c r="D15" s="345">
        <v>109.8</v>
      </c>
      <c r="E15" s="345"/>
      <c r="F15" s="345"/>
      <c r="G15" s="345"/>
    </row>
    <row r="16" spans="1:7" x14ac:dyDescent="0.25">
      <c r="A16" s="343">
        <v>12</v>
      </c>
      <c r="B16" s="345">
        <v>39.1</v>
      </c>
      <c r="C16" s="345">
        <v>58</v>
      </c>
      <c r="D16" s="345">
        <v>77.8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47.3</v>
      </c>
      <c r="C20" s="350">
        <v>62.5</v>
      </c>
      <c r="D20" s="350">
        <v>74.900000000000006</v>
      </c>
      <c r="E20" s="350">
        <v>38.1</v>
      </c>
      <c r="F20" s="350">
        <v>89.6</v>
      </c>
      <c r="G20" s="350">
        <v>98.9</v>
      </c>
    </row>
    <row r="21" spans="1:7" x14ac:dyDescent="0.25">
      <c r="A21" s="348">
        <v>2</v>
      </c>
      <c r="B21" s="350">
        <v>25.1</v>
      </c>
      <c r="C21" s="350">
        <v>65.599999999999994</v>
      </c>
      <c r="D21" s="350">
        <v>81.2</v>
      </c>
      <c r="E21" s="350">
        <v>59.6</v>
      </c>
      <c r="F21" s="350">
        <v>81.900000000000006</v>
      </c>
      <c r="G21" s="350">
        <v>102.9</v>
      </c>
    </row>
    <row r="22" spans="1:7" x14ac:dyDescent="0.25">
      <c r="A22" s="348">
        <v>3</v>
      </c>
      <c r="B22" s="350">
        <v>30.5</v>
      </c>
      <c r="C22" s="350">
        <v>52.6</v>
      </c>
      <c r="D22" s="350">
        <v>96.6</v>
      </c>
      <c r="E22" s="350">
        <v>58.5</v>
      </c>
      <c r="F22" s="350">
        <v>92.1</v>
      </c>
      <c r="G22" s="350">
        <v>111.3</v>
      </c>
    </row>
    <row r="23" spans="1:7" x14ac:dyDescent="0.25">
      <c r="A23" s="348">
        <v>4</v>
      </c>
      <c r="B23" s="350">
        <v>42.3</v>
      </c>
      <c r="C23" s="350">
        <v>60.8</v>
      </c>
      <c r="D23" s="350">
        <v>87.3</v>
      </c>
      <c r="E23" s="350">
        <v>33.4</v>
      </c>
      <c r="F23" s="350">
        <v>90.9</v>
      </c>
      <c r="G23" s="350">
        <v>114.8</v>
      </c>
    </row>
    <row r="24" spans="1:7" x14ac:dyDescent="0.25">
      <c r="A24" s="348">
        <v>5</v>
      </c>
      <c r="B24" s="350">
        <v>35.9</v>
      </c>
      <c r="C24" s="350">
        <v>69.099999999999994</v>
      </c>
      <c r="D24" s="350">
        <v>101.8</v>
      </c>
      <c r="E24" s="350"/>
      <c r="F24" s="350"/>
      <c r="G24" s="350"/>
    </row>
    <row r="25" spans="1:7" x14ac:dyDescent="0.25">
      <c r="A25" s="348">
        <v>6</v>
      </c>
      <c r="B25" s="350">
        <v>39.700000000000003</v>
      </c>
      <c r="C25" s="350">
        <v>60.8</v>
      </c>
      <c r="D25" s="350">
        <v>84.4</v>
      </c>
      <c r="E25" s="350"/>
      <c r="F25" s="350"/>
      <c r="G25" s="350"/>
    </row>
    <row r="26" spans="1:7" x14ac:dyDescent="0.25">
      <c r="A26" s="348">
        <v>7</v>
      </c>
      <c r="B26" s="350">
        <v>24.5</v>
      </c>
      <c r="C26" s="350">
        <v>70</v>
      </c>
      <c r="D26" s="350">
        <v>71.900000000000006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40.299999999999997</v>
      </c>
      <c r="C30" s="353">
        <v>66.099999999999994</v>
      </c>
      <c r="D30" s="353">
        <v>71</v>
      </c>
      <c r="E30" s="354">
        <v>42.6</v>
      </c>
      <c r="F30" s="354">
        <v>89.7</v>
      </c>
      <c r="G30" s="354">
        <v>103.3</v>
      </c>
    </row>
    <row r="31" spans="1:7" x14ac:dyDescent="0.25">
      <c r="A31" s="352">
        <v>2</v>
      </c>
      <c r="B31" s="353">
        <v>28.4</v>
      </c>
      <c r="C31" s="353">
        <v>56.4</v>
      </c>
      <c r="D31" s="353">
        <v>87.3</v>
      </c>
      <c r="E31" s="354">
        <v>35.6</v>
      </c>
      <c r="F31" s="354">
        <v>70</v>
      </c>
      <c r="G31" s="354">
        <v>118.5</v>
      </c>
    </row>
    <row r="32" spans="1:7" x14ac:dyDescent="0.25">
      <c r="A32" s="352">
        <v>3</v>
      </c>
      <c r="B32" s="353">
        <v>20.100000000000001</v>
      </c>
      <c r="C32" s="353">
        <v>62.9</v>
      </c>
      <c r="D32" s="353">
        <v>73.3</v>
      </c>
      <c r="E32" s="354">
        <v>39.6</v>
      </c>
      <c r="F32" s="354">
        <v>82.5</v>
      </c>
      <c r="G32" s="354">
        <v>110.1</v>
      </c>
    </row>
    <row r="33" spans="1:7" x14ac:dyDescent="0.25">
      <c r="A33" s="352">
        <v>4</v>
      </c>
      <c r="B33" s="353">
        <v>48</v>
      </c>
      <c r="C33" s="353">
        <v>53.6</v>
      </c>
      <c r="D33" s="353">
        <v>88.3</v>
      </c>
      <c r="E33" s="354">
        <v>33</v>
      </c>
      <c r="F33" s="354">
        <v>89.5</v>
      </c>
      <c r="G33" s="354">
        <v>109.5</v>
      </c>
    </row>
    <row r="34" spans="1:7" x14ac:dyDescent="0.25">
      <c r="A34" s="352">
        <v>5</v>
      </c>
      <c r="B34" s="353">
        <v>37</v>
      </c>
      <c r="C34" s="353">
        <v>62.7</v>
      </c>
      <c r="D34" s="353">
        <v>96.3</v>
      </c>
      <c r="E34" s="353"/>
      <c r="F34" s="353"/>
      <c r="G34" s="353"/>
    </row>
    <row r="35" spans="1:7" x14ac:dyDescent="0.25">
      <c r="A35" s="352">
        <v>6</v>
      </c>
      <c r="B35" s="353">
        <v>41.5</v>
      </c>
      <c r="C35" s="353">
        <v>55.4</v>
      </c>
      <c r="D35" s="353">
        <v>99.6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35.799999999999997</v>
      </c>
      <c r="C39" s="357">
        <v>61.3</v>
      </c>
      <c r="D39" s="357">
        <v>73.2</v>
      </c>
      <c r="E39" s="358">
        <v>36.299999999999997</v>
      </c>
      <c r="F39" s="358">
        <v>85.6</v>
      </c>
      <c r="G39" s="358">
        <v>117.4</v>
      </c>
    </row>
    <row r="40" spans="1:7" x14ac:dyDescent="0.25">
      <c r="A40" s="356">
        <v>2</v>
      </c>
      <c r="B40" s="357">
        <v>21.6</v>
      </c>
      <c r="C40" s="357">
        <v>51.4</v>
      </c>
      <c r="D40" s="357">
        <v>81.099999999999994</v>
      </c>
      <c r="E40" s="358">
        <v>35.6</v>
      </c>
      <c r="F40" s="358">
        <v>80.8</v>
      </c>
      <c r="G40" s="358">
        <v>110.1</v>
      </c>
    </row>
    <row r="41" spans="1:7" x14ac:dyDescent="0.25">
      <c r="A41" s="356">
        <v>3</v>
      </c>
      <c r="B41" s="357">
        <v>39.9</v>
      </c>
      <c r="C41" s="357">
        <v>63.7</v>
      </c>
      <c r="D41" s="357">
        <v>107</v>
      </c>
      <c r="E41" s="357"/>
      <c r="F41" s="358">
        <v>80.2</v>
      </c>
      <c r="G41" s="358">
        <v>104.5</v>
      </c>
    </row>
    <row r="42" spans="1:7" x14ac:dyDescent="0.25">
      <c r="A42" s="356">
        <v>4</v>
      </c>
      <c r="B42" s="357">
        <v>42.3</v>
      </c>
      <c r="C42" s="357">
        <v>63.4</v>
      </c>
      <c r="D42" s="357">
        <v>72.5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37.6</v>
      </c>
      <c r="C46" s="362">
        <v>54.1</v>
      </c>
      <c r="D46" s="362">
        <v>73.3</v>
      </c>
      <c r="E46" s="363">
        <v>36.700000000000003</v>
      </c>
      <c r="F46" s="363">
        <v>92.8</v>
      </c>
      <c r="G46" s="363">
        <v>116.7</v>
      </c>
    </row>
    <row r="47" spans="1:7" ht="14.5" x14ac:dyDescent="0.3">
      <c r="A47" s="360">
        <v>2</v>
      </c>
      <c r="B47" s="362">
        <v>38.6</v>
      </c>
      <c r="C47" s="362">
        <v>52</v>
      </c>
      <c r="D47" s="362">
        <v>89.2</v>
      </c>
      <c r="E47" s="363">
        <v>49.6</v>
      </c>
      <c r="F47" s="363">
        <v>82.2</v>
      </c>
      <c r="G47" s="363">
        <v>104.6</v>
      </c>
    </row>
    <row r="48" spans="1:7" ht="14.5" x14ac:dyDescent="0.3">
      <c r="A48" s="360">
        <v>3</v>
      </c>
      <c r="B48" s="362">
        <v>27.2</v>
      </c>
      <c r="C48" s="362">
        <v>51.5</v>
      </c>
      <c r="D48" s="362">
        <v>93.2</v>
      </c>
      <c r="E48" s="363">
        <v>49.2</v>
      </c>
      <c r="F48" s="363">
        <v>66.7</v>
      </c>
      <c r="G48" s="363">
        <v>107.9</v>
      </c>
    </row>
    <row r="49" spans="1:7" ht="14.5" x14ac:dyDescent="0.3">
      <c r="A49" s="360">
        <v>4</v>
      </c>
      <c r="B49" s="362">
        <v>30.4</v>
      </c>
      <c r="C49" s="362">
        <v>50.3</v>
      </c>
      <c r="D49" s="362">
        <v>97.7</v>
      </c>
      <c r="E49" s="363">
        <v>61.2</v>
      </c>
      <c r="F49" s="363">
        <v>78.5</v>
      </c>
      <c r="G49" s="363">
        <v>103.2</v>
      </c>
    </row>
    <row r="50" spans="1:7" ht="14.5" x14ac:dyDescent="0.3">
      <c r="A50" s="360">
        <v>5</v>
      </c>
      <c r="B50" s="362">
        <v>43.6</v>
      </c>
      <c r="C50" s="362">
        <v>65.3</v>
      </c>
      <c r="D50" s="362">
        <v>72.599999999999994</v>
      </c>
      <c r="E50" s="363">
        <v>42.6</v>
      </c>
      <c r="F50" s="363">
        <v>69.900000000000006</v>
      </c>
      <c r="G50" s="363">
        <v>104</v>
      </c>
    </row>
    <row r="51" spans="1:7" ht="14.5" x14ac:dyDescent="0.3">
      <c r="A51" s="360">
        <v>6</v>
      </c>
      <c r="B51" s="362">
        <v>36</v>
      </c>
      <c r="C51" s="362">
        <v>66.900000000000006</v>
      </c>
      <c r="D51" s="362">
        <v>76.5</v>
      </c>
      <c r="E51" s="363">
        <v>63.3</v>
      </c>
      <c r="F51" s="363">
        <v>66</v>
      </c>
      <c r="G51" s="363">
        <v>115.1</v>
      </c>
    </row>
    <row r="52" spans="1:7" ht="14.5" x14ac:dyDescent="0.3">
      <c r="A52" s="360">
        <v>7</v>
      </c>
      <c r="B52" s="362">
        <v>43.6</v>
      </c>
      <c r="C52" s="362">
        <v>67.099999999999994</v>
      </c>
      <c r="D52" s="362">
        <v>93.3</v>
      </c>
      <c r="E52" s="363">
        <v>37.4</v>
      </c>
      <c r="F52" s="363">
        <v>89.6</v>
      </c>
      <c r="G52" s="363">
        <v>120</v>
      </c>
    </row>
    <row r="53" spans="1:7" ht="14.5" x14ac:dyDescent="0.3">
      <c r="A53" s="360">
        <v>8</v>
      </c>
      <c r="B53" s="362">
        <v>30.8</v>
      </c>
      <c r="C53" s="362">
        <v>53.5</v>
      </c>
      <c r="D53" s="362">
        <v>76.3</v>
      </c>
      <c r="E53" s="363">
        <v>45.5</v>
      </c>
      <c r="F53" s="363">
        <v>86.1</v>
      </c>
      <c r="G53" s="363">
        <v>119.9</v>
      </c>
    </row>
    <row r="54" spans="1:7" ht="14.5" x14ac:dyDescent="0.3">
      <c r="A54" s="360">
        <v>9</v>
      </c>
      <c r="B54" s="362">
        <v>47.3</v>
      </c>
      <c r="C54" s="362">
        <v>55.2</v>
      </c>
      <c r="D54" s="362">
        <v>107.8</v>
      </c>
      <c r="E54" s="362"/>
      <c r="F54" s="362"/>
      <c r="G54" s="362"/>
    </row>
    <row r="55" spans="1:7" ht="14.5" x14ac:dyDescent="0.3">
      <c r="A55" s="360">
        <v>10</v>
      </c>
      <c r="B55" s="362">
        <v>37.9</v>
      </c>
      <c r="C55" s="362">
        <v>56.6</v>
      </c>
      <c r="D55" s="362">
        <v>80.099999999999994</v>
      </c>
      <c r="E55" s="364"/>
      <c r="F55" s="364"/>
      <c r="G55" s="364"/>
    </row>
    <row r="56" spans="1:7" ht="14.5" x14ac:dyDescent="0.3">
      <c r="A56" s="360">
        <v>11</v>
      </c>
      <c r="B56" s="362">
        <v>36.4</v>
      </c>
      <c r="C56" s="362">
        <v>56.3</v>
      </c>
      <c r="D56" s="362">
        <v>87.1</v>
      </c>
      <c r="E56" s="364"/>
      <c r="F56" s="364"/>
      <c r="G56" s="364"/>
    </row>
    <row r="57" spans="1:7" ht="14.5" x14ac:dyDescent="0.3">
      <c r="A57" s="360">
        <v>12</v>
      </c>
      <c r="B57" s="362">
        <v>24.9</v>
      </c>
      <c r="C57" s="362">
        <v>52.3</v>
      </c>
      <c r="D57" s="362">
        <v>71.2</v>
      </c>
      <c r="E57" s="364"/>
      <c r="F57" s="364"/>
      <c r="G57" s="364"/>
    </row>
    <row r="58" spans="1:7" ht="14.5" x14ac:dyDescent="0.3">
      <c r="A58" s="360">
        <v>13</v>
      </c>
      <c r="B58" s="362">
        <v>20</v>
      </c>
      <c r="C58" s="362">
        <v>51.3</v>
      </c>
      <c r="D58" s="362">
        <v>109.1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24.6</v>
      </c>
      <c r="C62" s="368">
        <v>59.6</v>
      </c>
      <c r="D62" s="368">
        <v>101</v>
      </c>
      <c r="E62" s="369">
        <v>62.4</v>
      </c>
      <c r="F62" s="369">
        <v>71.2</v>
      </c>
      <c r="G62" s="369">
        <v>108.3</v>
      </c>
    </row>
    <row r="63" spans="1:7" ht="14.5" x14ac:dyDescent="0.3">
      <c r="A63" s="366">
        <v>2</v>
      </c>
      <c r="B63" s="368">
        <v>27</v>
      </c>
      <c r="C63" s="368">
        <v>67.3</v>
      </c>
      <c r="D63" s="368">
        <v>104.9</v>
      </c>
      <c r="E63" s="369">
        <v>42.4</v>
      </c>
      <c r="F63" s="369">
        <v>86.6</v>
      </c>
      <c r="G63" s="369">
        <v>105.3</v>
      </c>
    </row>
    <row r="64" spans="1:7" ht="14.5" x14ac:dyDescent="0.3">
      <c r="A64" s="366">
        <v>3</v>
      </c>
      <c r="B64" s="368">
        <v>38.4</v>
      </c>
      <c r="C64" s="368">
        <v>60.4</v>
      </c>
      <c r="D64" s="368">
        <v>81.099999999999994</v>
      </c>
      <c r="E64" s="369">
        <v>32.1</v>
      </c>
      <c r="F64" s="369">
        <v>65.3</v>
      </c>
      <c r="G64" s="369">
        <v>98.3</v>
      </c>
    </row>
    <row r="65" spans="1:7" ht="14.5" x14ac:dyDescent="0.3">
      <c r="A65" s="366">
        <v>4</v>
      </c>
      <c r="B65" s="368">
        <v>46.9</v>
      </c>
      <c r="C65" s="368">
        <v>65.5</v>
      </c>
      <c r="D65" s="368">
        <v>86.1</v>
      </c>
      <c r="E65" s="369">
        <v>43.7</v>
      </c>
      <c r="F65" s="369">
        <v>91.3</v>
      </c>
      <c r="G65" s="369">
        <v>111.4</v>
      </c>
    </row>
    <row r="66" spans="1:7" ht="14.5" x14ac:dyDescent="0.3">
      <c r="A66" s="366">
        <v>5</v>
      </c>
      <c r="B66" s="368">
        <v>49</v>
      </c>
      <c r="C66" s="368">
        <v>64.900000000000006</v>
      </c>
      <c r="D66" s="368">
        <v>80</v>
      </c>
      <c r="E66" s="369">
        <v>47</v>
      </c>
      <c r="F66" s="369">
        <v>93.9</v>
      </c>
      <c r="G66" s="369">
        <v>101.8</v>
      </c>
    </row>
    <row r="67" spans="1:7" ht="14.5" x14ac:dyDescent="0.3">
      <c r="A67" s="366">
        <v>6</v>
      </c>
      <c r="B67" s="368">
        <v>34.799999999999997</v>
      </c>
      <c r="C67" s="368">
        <v>57.7</v>
      </c>
      <c r="D67" s="368">
        <v>87.6</v>
      </c>
      <c r="E67" s="369">
        <v>52.1</v>
      </c>
      <c r="F67" s="369">
        <v>80.599999999999994</v>
      </c>
      <c r="G67" s="369">
        <v>96.2</v>
      </c>
    </row>
    <row r="68" spans="1:7" ht="14.5" x14ac:dyDescent="0.3">
      <c r="A68" s="366">
        <v>7</v>
      </c>
      <c r="B68" s="368">
        <v>20.100000000000001</v>
      </c>
      <c r="C68" s="368">
        <v>51.5</v>
      </c>
      <c r="D68" s="368">
        <v>87.2</v>
      </c>
      <c r="E68" s="369">
        <v>38.6</v>
      </c>
      <c r="F68" s="369">
        <v>69.3</v>
      </c>
      <c r="G68" s="369">
        <v>106</v>
      </c>
    </row>
    <row r="69" spans="1:7" ht="14.5" x14ac:dyDescent="0.3">
      <c r="A69" s="366">
        <v>8</v>
      </c>
      <c r="B69" s="368">
        <v>29.7</v>
      </c>
      <c r="C69" s="368">
        <v>52.6</v>
      </c>
      <c r="D69" s="368">
        <v>94.7</v>
      </c>
      <c r="E69" s="369">
        <v>45.1</v>
      </c>
      <c r="F69" s="369">
        <v>79.7</v>
      </c>
      <c r="G69" s="369">
        <v>101.3</v>
      </c>
    </row>
    <row r="70" spans="1:7" ht="14.5" x14ac:dyDescent="0.3">
      <c r="A70" s="366">
        <v>9</v>
      </c>
      <c r="B70" s="368">
        <v>40</v>
      </c>
      <c r="C70" s="368">
        <v>68.2</v>
      </c>
      <c r="D70" s="368">
        <v>92.6</v>
      </c>
      <c r="E70" s="369">
        <v>60.1</v>
      </c>
      <c r="F70" s="369">
        <v>92.9</v>
      </c>
      <c r="G70" s="369">
        <v>98.7</v>
      </c>
    </row>
    <row r="71" spans="1:7" ht="14.5" x14ac:dyDescent="0.3">
      <c r="A71" s="366">
        <v>10</v>
      </c>
      <c r="B71" s="368">
        <v>20.7</v>
      </c>
      <c r="C71" s="368">
        <v>57.6</v>
      </c>
      <c r="D71" s="368">
        <v>105.9</v>
      </c>
      <c r="E71" s="369">
        <v>52.2</v>
      </c>
      <c r="F71" s="369">
        <v>72.599999999999994</v>
      </c>
      <c r="G71" s="369">
        <v>102.4</v>
      </c>
    </row>
    <row r="72" spans="1:7" ht="14.5" x14ac:dyDescent="0.3">
      <c r="A72" s="366">
        <v>11</v>
      </c>
      <c r="B72" s="368">
        <v>31.3</v>
      </c>
      <c r="C72" s="368">
        <v>67</v>
      </c>
      <c r="D72" s="368">
        <v>100.3</v>
      </c>
      <c r="E72" s="367"/>
      <c r="F72" s="367"/>
      <c r="G72" s="367"/>
    </row>
    <row r="73" spans="1:7" ht="14.5" x14ac:dyDescent="0.3">
      <c r="A73" s="366">
        <v>12</v>
      </c>
      <c r="B73" s="368">
        <v>49.1</v>
      </c>
      <c r="C73" s="368">
        <v>57</v>
      </c>
      <c r="D73" s="368">
        <v>85.4</v>
      </c>
      <c r="E73" s="367"/>
      <c r="F73" s="367"/>
      <c r="G73" s="367"/>
    </row>
    <row r="74" spans="1:7" ht="14.5" x14ac:dyDescent="0.3">
      <c r="A74" s="366">
        <v>13</v>
      </c>
      <c r="B74" s="368">
        <v>26</v>
      </c>
      <c r="C74" s="368">
        <v>57</v>
      </c>
      <c r="D74" s="368">
        <v>70.2</v>
      </c>
      <c r="E74" s="367"/>
      <c r="F74" s="367"/>
      <c r="G74" s="367"/>
    </row>
    <row r="75" spans="1:7" ht="14.5" x14ac:dyDescent="0.3">
      <c r="A75" s="366">
        <v>14</v>
      </c>
      <c r="B75" s="368">
        <v>46.5</v>
      </c>
      <c r="C75" s="368">
        <v>57.3</v>
      </c>
      <c r="D75" s="368">
        <v>81.599999999999994</v>
      </c>
      <c r="E75" s="367"/>
      <c r="F75" s="367"/>
      <c r="G75" s="367"/>
    </row>
    <row r="76" spans="1:7" ht="14.5" x14ac:dyDescent="0.3">
      <c r="A76" s="366">
        <v>15</v>
      </c>
      <c r="B76" s="368">
        <v>43.5</v>
      </c>
      <c r="C76" s="368">
        <v>60.9</v>
      </c>
      <c r="D76" s="368">
        <v>106.1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37.200000000000003</v>
      </c>
      <c r="C80" s="373">
        <v>62.9</v>
      </c>
      <c r="D80" s="373">
        <v>105.1</v>
      </c>
      <c r="E80" s="374">
        <v>34.6</v>
      </c>
      <c r="F80" s="374">
        <v>78.900000000000006</v>
      </c>
      <c r="G80" s="374">
        <v>119.4</v>
      </c>
    </row>
    <row r="81" spans="1:7" ht="14.5" x14ac:dyDescent="0.3">
      <c r="A81" s="371">
        <v>2</v>
      </c>
      <c r="B81" s="373">
        <v>18</v>
      </c>
      <c r="C81" s="373">
        <v>60.6</v>
      </c>
      <c r="D81" s="373">
        <v>91.8</v>
      </c>
      <c r="E81" s="374">
        <v>45.2</v>
      </c>
      <c r="F81" s="374">
        <v>73.400000000000006</v>
      </c>
      <c r="G81" s="374">
        <v>118.1</v>
      </c>
    </row>
    <row r="82" spans="1:7" ht="14.5" x14ac:dyDescent="0.3">
      <c r="A82" s="371">
        <v>3</v>
      </c>
      <c r="B82" s="373">
        <v>39.6</v>
      </c>
      <c r="C82" s="373">
        <v>64</v>
      </c>
      <c r="D82" s="373">
        <v>106.3</v>
      </c>
      <c r="E82" s="374">
        <v>45.1</v>
      </c>
      <c r="F82" s="374">
        <v>78.2</v>
      </c>
      <c r="G82" s="374">
        <v>118.6</v>
      </c>
    </row>
    <row r="83" spans="1:7" ht="14.5" x14ac:dyDescent="0.3">
      <c r="A83" s="371">
        <v>4</v>
      </c>
      <c r="B83" s="373">
        <v>42.7</v>
      </c>
      <c r="C83" s="373">
        <v>65.099999999999994</v>
      </c>
      <c r="D83" s="373">
        <v>103.5</v>
      </c>
      <c r="E83" s="374">
        <v>44</v>
      </c>
      <c r="F83" s="374">
        <v>92.9</v>
      </c>
      <c r="G83" s="374">
        <v>107.7</v>
      </c>
    </row>
    <row r="84" spans="1:7" ht="14.5" x14ac:dyDescent="0.3">
      <c r="A84" s="371">
        <v>5</v>
      </c>
      <c r="B84" s="373">
        <v>45.3</v>
      </c>
      <c r="C84" s="373">
        <v>67.900000000000006</v>
      </c>
      <c r="D84" s="373">
        <v>100</v>
      </c>
      <c r="E84" s="374">
        <v>45.2</v>
      </c>
      <c r="F84" s="374">
        <v>77.8</v>
      </c>
      <c r="G84" s="374">
        <v>98.4</v>
      </c>
    </row>
    <row r="85" spans="1:7" ht="14.5" x14ac:dyDescent="0.3">
      <c r="A85" s="371">
        <v>6</v>
      </c>
      <c r="B85" s="373">
        <v>25.2</v>
      </c>
      <c r="C85" s="373">
        <v>59.9</v>
      </c>
      <c r="D85" s="373">
        <v>93.9</v>
      </c>
      <c r="E85" s="374">
        <v>39.700000000000003</v>
      </c>
      <c r="F85" s="374">
        <v>72</v>
      </c>
      <c r="G85" s="374">
        <v>101.8</v>
      </c>
    </row>
    <row r="86" spans="1:7" ht="14.5" x14ac:dyDescent="0.3">
      <c r="A86" s="371">
        <v>7</v>
      </c>
      <c r="B86" s="373">
        <v>29.7</v>
      </c>
      <c r="C86" s="373">
        <v>63.2</v>
      </c>
      <c r="D86" s="373">
        <v>77.599999999999994</v>
      </c>
      <c r="E86" s="374">
        <v>37.700000000000003</v>
      </c>
      <c r="F86" s="374">
        <v>72.400000000000006</v>
      </c>
      <c r="G86" s="374">
        <v>101</v>
      </c>
    </row>
    <row r="87" spans="1:7" ht="14.5" x14ac:dyDescent="0.3">
      <c r="A87" s="371">
        <v>8</v>
      </c>
      <c r="B87" s="373">
        <v>35.299999999999997</v>
      </c>
      <c r="C87" s="373">
        <v>67.400000000000006</v>
      </c>
      <c r="D87" s="373">
        <v>84.6</v>
      </c>
      <c r="E87" s="374">
        <v>63.7</v>
      </c>
      <c r="F87" s="374">
        <v>74.3</v>
      </c>
      <c r="G87" s="374">
        <v>99.6</v>
      </c>
    </row>
    <row r="88" spans="1:7" ht="14.5" x14ac:dyDescent="0.3">
      <c r="A88" s="371">
        <v>9</v>
      </c>
      <c r="B88" s="373">
        <v>49.7</v>
      </c>
      <c r="C88" s="373">
        <v>68</v>
      </c>
      <c r="D88" s="373">
        <v>93.7</v>
      </c>
      <c r="E88" s="374">
        <v>57.1</v>
      </c>
      <c r="F88" s="374">
        <v>71.599999999999994</v>
      </c>
      <c r="G88" s="374">
        <v>105.8</v>
      </c>
    </row>
    <row r="89" spans="1:7" ht="14.5" x14ac:dyDescent="0.3">
      <c r="A89" s="371">
        <v>10</v>
      </c>
      <c r="B89" s="373">
        <v>19.100000000000001</v>
      </c>
      <c r="C89" s="373">
        <v>68.400000000000006</v>
      </c>
      <c r="D89" s="373">
        <v>104.4</v>
      </c>
      <c r="E89" s="374">
        <v>49.9</v>
      </c>
      <c r="F89" s="374">
        <v>93.7</v>
      </c>
      <c r="G89" s="374">
        <v>110.5</v>
      </c>
    </row>
    <row r="90" spans="1:7" ht="14.5" x14ac:dyDescent="0.3">
      <c r="A90" s="371">
        <v>11</v>
      </c>
      <c r="B90" s="373">
        <v>48.4</v>
      </c>
      <c r="C90" s="373">
        <v>63.1</v>
      </c>
      <c r="D90" s="373">
        <v>73.599999999999994</v>
      </c>
      <c r="E90" s="374">
        <v>42.6</v>
      </c>
      <c r="F90" s="374">
        <v>76.599999999999994</v>
      </c>
      <c r="G90" s="374">
        <v>100.6</v>
      </c>
    </row>
    <row r="91" spans="1:7" ht="14.5" x14ac:dyDescent="0.3">
      <c r="A91" s="371">
        <v>12</v>
      </c>
      <c r="B91" s="373">
        <v>40.799999999999997</v>
      </c>
      <c r="C91" s="373">
        <v>69.7</v>
      </c>
      <c r="D91" s="373">
        <v>88.5</v>
      </c>
      <c r="E91" s="374">
        <v>52.5</v>
      </c>
      <c r="F91" s="374">
        <v>70</v>
      </c>
      <c r="G91" s="374">
        <v>110.7</v>
      </c>
    </row>
    <row r="92" spans="1:7" ht="14.5" x14ac:dyDescent="0.3">
      <c r="A92" s="371">
        <v>13</v>
      </c>
      <c r="B92" s="373">
        <v>43.8</v>
      </c>
      <c r="C92" s="373">
        <v>52.8</v>
      </c>
      <c r="D92" s="373">
        <v>103.7</v>
      </c>
      <c r="E92" s="375"/>
      <c r="F92" s="375"/>
      <c r="G92" s="375"/>
    </row>
    <row r="93" spans="1:7" ht="14.5" x14ac:dyDescent="0.3">
      <c r="A93" s="371">
        <v>14</v>
      </c>
      <c r="B93" s="373">
        <v>35.299999999999997</v>
      </c>
      <c r="C93" s="373">
        <v>58.1</v>
      </c>
      <c r="D93" s="373">
        <v>106.6</v>
      </c>
      <c r="E93" s="375"/>
      <c r="F93" s="375"/>
      <c r="G93" s="375"/>
    </row>
    <row r="94" spans="1:7" ht="14.5" x14ac:dyDescent="0.3">
      <c r="A94" s="371">
        <v>15</v>
      </c>
      <c r="B94" s="373">
        <v>27.9</v>
      </c>
      <c r="C94" s="373">
        <v>51.4</v>
      </c>
      <c r="D94" s="373">
        <v>101</v>
      </c>
      <c r="E94" s="375"/>
      <c r="F94" s="375"/>
      <c r="G94" s="375"/>
    </row>
    <row r="95" spans="1:7" ht="14.5" x14ac:dyDescent="0.3">
      <c r="A95" s="371">
        <v>16</v>
      </c>
      <c r="B95" s="373">
        <v>40.200000000000003</v>
      </c>
      <c r="C95" s="373">
        <v>66.900000000000006</v>
      </c>
      <c r="D95" s="373">
        <v>70.400000000000006</v>
      </c>
      <c r="E95" s="375"/>
      <c r="F95" s="375"/>
      <c r="G95" s="375"/>
    </row>
    <row r="96" spans="1:7" ht="14.5" x14ac:dyDescent="0.3">
      <c r="A96" s="371">
        <v>17</v>
      </c>
      <c r="B96" s="373">
        <v>34.5</v>
      </c>
      <c r="C96" s="373">
        <v>53.3</v>
      </c>
      <c r="D96" s="373">
        <v>84.1</v>
      </c>
      <c r="E96" s="375"/>
      <c r="F96" s="375"/>
      <c r="G96" s="375"/>
    </row>
    <row r="97" spans="1:7" ht="14.5" x14ac:dyDescent="0.3">
      <c r="A97" s="371">
        <v>18</v>
      </c>
      <c r="B97" s="373">
        <v>30.4</v>
      </c>
      <c r="C97" s="373">
        <v>52.9</v>
      </c>
      <c r="D97" s="373">
        <v>97.7</v>
      </c>
      <c r="E97" s="376"/>
      <c r="F97" s="376"/>
      <c r="G97" s="376"/>
    </row>
    <row r="98" spans="1:7" ht="14.5" x14ac:dyDescent="0.3">
      <c r="A98" s="371">
        <v>19</v>
      </c>
      <c r="B98" s="373">
        <v>34.200000000000003</v>
      </c>
      <c r="C98" s="373">
        <v>60</v>
      </c>
      <c r="D98" s="373">
        <v>109.3</v>
      </c>
      <c r="E98" s="376"/>
      <c r="F98" s="376"/>
      <c r="G98" s="376"/>
    </row>
    <row r="99" spans="1:7" ht="14.5" x14ac:dyDescent="0.3">
      <c r="A99" s="371">
        <v>20</v>
      </c>
      <c r="B99" s="373">
        <v>24.2</v>
      </c>
      <c r="C99" s="373">
        <v>51.1</v>
      </c>
      <c r="D99" s="373">
        <v>74.3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28.5</v>
      </c>
      <c r="C103" s="367">
        <v>62.7</v>
      </c>
      <c r="D103" s="367">
        <v>86.6</v>
      </c>
      <c r="E103" s="369">
        <v>53.4</v>
      </c>
      <c r="F103" s="369">
        <v>70.7</v>
      </c>
      <c r="G103" s="369">
        <v>114.9</v>
      </c>
    </row>
    <row r="104" spans="1:7" x14ac:dyDescent="0.25">
      <c r="A104" s="366">
        <v>2</v>
      </c>
      <c r="B104" s="367">
        <v>41.9</v>
      </c>
      <c r="C104" s="367">
        <v>65.2</v>
      </c>
      <c r="D104" s="367">
        <v>94.5</v>
      </c>
      <c r="E104" s="369">
        <v>33.5</v>
      </c>
      <c r="F104" s="369">
        <v>76.599999999999994</v>
      </c>
      <c r="G104" s="369">
        <v>105.5</v>
      </c>
    </row>
    <row r="105" spans="1:7" x14ac:dyDescent="0.25">
      <c r="A105" s="366">
        <v>3</v>
      </c>
      <c r="B105" s="367">
        <v>39.4</v>
      </c>
      <c r="C105" s="367">
        <v>56.7</v>
      </c>
      <c r="D105" s="367">
        <v>98.8</v>
      </c>
      <c r="E105" s="369">
        <v>39.6</v>
      </c>
      <c r="F105" s="369">
        <v>67.099999999999994</v>
      </c>
      <c r="G105" s="369">
        <v>98.6</v>
      </c>
    </row>
    <row r="106" spans="1:7" x14ac:dyDescent="0.25">
      <c r="A106" s="366">
        <v>4</v>
      </c>
      <c r="B106" s="367">
        <v>42.5</v>
      </c>
      <c r="C106" s="367">
        <v>51.2</v>
      </c>
      <c r="D106" s="367">
        <v>86.1</v>
      </c>
      <c r="E106" s="369">
        <v>50.1</v>
      </c>
      <c r="F106" s="369">
        <v>76.7</v>
      </c>
      <c r="G106" s="369">
        <v>98.7</v>
      </c>
    </row>
    <row r="107" spans="1:7" x14ac:dyDescent="0.25">
      <c r="A107" s="366">
        <v>5</v>
      </c>
      <c r="B107" s="367">
        <v>29.6</v>
      </c>
      <c r="C107" s="367">
        <v>66.400000000000006</v>
      </c>
      <c r="D107" s="367">
        <v>77.8</v>
      </c>
      <c r="E107" s="369">
        <v>49.8</v>
      </c>
      <c r="F107" s="369">
        <v>81.099999999999994</v>
      </c>
      <c r="G107" s="369">
        <v>101.4</v>
      </c>
    </row>
    <row r="108" spans="1:7" x14ac:dyDescent="0.25">
      <c r="A108" s="366">
        <v>6</v>
      </c>
      <c r="B108" s="367">
        <v>28.8</v>
      </c>
      <c r="C108" s="367">
        <v>62.2</v>
      </c>
      <c r="D108" s="367">
        <v>70.5</v>
      </c>
      <c r="E108" s="369">
        <v>40.700000000000003</v>
      </c>
      <c r="F108" s="369">
        <v>93.5</v>
      </c>
      <c r="G108" s="369">
        <v>101.1</v>
      </c>
    </row>
    <row r="109" spans="1:7" x14ac:dyDescent="0.25">
      <c r="A109" s="366">
        <v>7</v>
      </c>
      <c r="B109" s="367">
        <v>47.5</v>
      </c>
      <c r="C109" s="367">
        <v>64.400000000000006</v>
      </c>
      <c r="D109" s="367">
        <v>87.4</v>
      </c>
      <c r="E109" s="367"/>
      <c r="F109" s="367"/>
      <c r="G109" s="367"/>
    </row>
    <row r="110" spans="1:7" x14ac:dyDescent="0.25">
      <c r="A110" s="366">
        <v>8</v>
      </c>
      <c r="B110" s="367">
        <v>48.7</v>
      </c>
      <c r="C110" s="367">
        <v>60.8</v>
      </c>
      <c r="D110" s="367">
        <v>93</v>
      </c>
      <c r="E110" s="367"/>
      <c r="F110" s="367"/>
      <c r="G110" s="367"/>
    </row>
    <row r="111" spans="1:7" x14ac:dyDescent="0.25">
      <c r="A111" s="366">
        <v>9</v>
      </c>
      <c r="B111" s="367">
        <v>29.2</v>
      </c>
      <c r="C111" s="367">
        <v>69</v>
      </c>
      <c r="D111" s="367">
        <v>87.8</v>
      </c>
      <c r="E111" s="367"/>
      <c r="F111" s="367"/>
      <c r="G111" s="367"/>
    </row>
    <row r="112" spans="1:7" x14ac:dyDescent="0.25">
      <c r="A112" s="366">
        <v>10</v>
      </c>
      <c r="B112" s="367">
        <v>18.7</v>
      </c>
      <c r="C112" s="367">
        <v>58.4</v>
      </c>
      <c r="D112" s="367">
        <v>86.4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78.8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35.9</v>
      </c>
      <c r="C117" s="357">
        <v>54.2</v>
      </c>
      <c r="D117" s="357">
        <v>77.5</v>
      </c>
      <c r="E117" s="357"/>
      <c r="F117" s="357"/>
      <c r="G117" s="357"/>
    </row>
    <row r="118" spans="1:7" x14ac:dyDescent="0.25">
      <c r="A118" s="356">
        <v>2</v>
      </c>
      <c r="B118" s="357">
        <v>21.3</v>
      </c>
      <c r="C118" s="357">
        <v>64.2</v>
      </c>
      <c r="D118" s="357">
        <v>76.8</v>
      </c>
      <c r="E118" s="357"/>
      <c r="F118" s="357"/>
      <c r="G118" s="357"/>
    </row>
    <row r="119" spans="1:7" x14ac:dyDescent="0.25">
      <c r="A119" s="356">
        <v>3</v>
      </c>
      <c r="B119" s="357">
        <v>24.4</v>
      </c>
      <c r="C119" s="357">
        <v>51.7</v>
      </c>
      <c r="D119" s="357">
        <v>102.6</v>
      </c>
      <c r="E119" s="357"/>
      <c r="F119" s="357"/>
      <c r="G119" s="357"/>
    </row>
    <row r="120" spans="1:7" x14ac:dyDescent="0.25">
      <c r="A120" s="356">
        <v>4</v>
      </c>
      <c r="B120" s="357">
        <v>30.4</v>
      </c>
      <c r="C120" s="357">
        <v>57.2</v>
      </c>
      <c r="D120" s="357">
        <v>90.4</v>
      </c>
      <c r="E120" s="357"/>
      <c r="F120" s="357"/>
      <c r="G120" s="357"/>
    </row>
    <row r="121" spans="1:7" x14ac:dyDescent="0.25">
      <c r="A121" s="356">
        <v>5</v>
      </c>
      <c r="B121" s="357">
        <v>32.799999999999997</v>
      </c>
      <c r="C121" s="357">
        <v>51.6</v>
      </c>
      <c r="D121" s="357">
        <v>104</v>
      </c>
      <c r="E121" s="357"/>
      <c r="F121" s="357"/>
      <c r="G121" s="357"/>
    </row>
    <row r="122" spans="1:7" x14ac:dyDescent="0.25">
      <c r="A122" s="356">
        <v>6</v>
      </c>
      <c r="B122" s="357">
        <v>27</v>
      </c>
      <c r="C122" s="357">
        <v>63.8</v>
      </c>
      <c r="D122" s="357">
        <v>109.1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63</v>
      </c>
      <c r="C127" s="380">
        <f>ROUNDDOWN(AVERAGE(E5:G12),1)</f>
        <v>79.3</v>
      </c>
      <c r="D127" s="378">
        <v>19899</v>
      </c>
      <c r="E127" s="378">
        <v>12608</v>
      </c>
      <c r="F127" s="378">
        <f>B127*D127</f>
        <v>1253637</v>
      </c>
      <c r="G127" s="378">
        <f>C127*E127</f>
        <v>999814.39999999991</v>
      </c>
    </row>
    <row r="128" spans="1:7" x14ac:dyDescent="0.25">
      <c r="A128" s="379" t="str">
        <f>A17</f>
        <v>Chongzuo Zuozhou swine Farm</v>
      </c>
      <c r="B128" s="380">
        <f>ROUNDDOWN(AVERAGE(B20:D26),1)</f>
        <v>61.1</v>
      </c>
      <c r="C128" s="380">
        <f>ROUNDDOWN(AVERAGE(E20:G23),1)</f>
        <v>81</v>
      </c>
      <c r="D128" s="378">
        <v>10998</v>
      </c>
      <c r="E128" s="378">
        <v>6997</v>
      </c>
      <c r="F128" s="378">
        <f t="shared" ref="F128:G135" si="0">B128*D128</f>
        <v>671977.8</v>
      </c>
      <c r="G128" s="378">
        <f>C128*E128</f>
        <v>566757</v>
      </c>
    </row>
    <row r="129" spans="1:7" x14ac:dyDescent="0.25">
      <c r="A129" s="379" t="str">
        <f>A27</f>
        <v>Tianyang Wucun swine Farm</v>
      </c>
      <c r="B129" s="380">
        <f>ROUNDDOWN(AVERAGE(B30:D35),1)</f>
        <v>60.4</v>
      </c>
      <c r="C129" s="380">
        <f>ROUNDDOWN(AVERAGE(E30:G35),1)</f>
        <v>76.900000000000006</v>
      </c>
      <c r="D129" s="378">
        <v>9501</v>
      </c>
      <c r="E129" s="378">
        <v>6022</v>
      </c>
      <c r="F129" s="378">
        <f t="shared" si="0"/>
        <v>573860.4</v>
      </c>
      <c r="G129" s="378">
        <f>C129*E129</f>
        <v>463091.80000000005</v>
      </c>
    </row>
    <row r="130" spans="1:7" x14ac:dyDescent="0.25">
      <c r="A130" s="379" t="str">
        <f>A36</f>
        <v>Quanzhou Dengjiabu swine Farm</v>
      </c>
      <c r="B130" s="380">
        <f>ROUNDDOWN(AVERAGE(B39:D42),1)</f>
        <v>59.4</v>
      </c>
      <c r="C130" s="380">
        <f>ROUNDDOWN(AVERAGE(E39:G42),1)</f>
        <v>81.3</v>
      </c>
      <c r="D130" s="378">
        <v>5446</v>
      </c>
      <c r="E130" s="378">
        <v>3364</v>
      </c>
      <c r="F130" s="378">
        <f t="shared" si="0"/>
        <v>323492.39999999997</v>
      </c>
      <c r="G130" s="378">
        <f t="shared" si="0"/>
        <v>273493.2</v>
      </c>
    </row>
    <row r="131" spans="1:7" x14ac:dyDescent="0.25">
      <c r="A131" s="379" t="str">
        <f>A43</f>
        <v>Chongzuo Quming swine Farm</v>
      </c>
      <c r="B131" s="380">
        <f>ROUNDDOWN(AVERAGE(B46:D58),1)</f>
        <v>59.3</v>
      </c>
      <c r="C131" s="380">
        <f>ROUNDDOWN(AVERAGE(E46:G53),1)</f>
        <v>79.5</v>
      </c>
      <c r="D131" s="378">
        <v>22352</v>
      </c>
      <c r="E131" s="378">
        <v>14009</v>
      </c>
      <c r="F131" s="378">
        <f t="shared" si="0"/>
        <v>1325473.5999999999</v>
      </c>
      <c r="G131" s="378">
        <f t="shared" si="0"/>
        <v>1113715.5</v>
      </c>
    </row>
    <row r="132" spans="1:7" x14ac:dyDescent="0.25">
      <c r="A132" s="379" t="str">
        <f>A59</f>
        <v>Jingxi swine Farm</v>
      </c>
      <c r="B132" s="380">
        <f>ROUNDDOWN(AVERAGE(B62:D76),1)</f>
        <v>62.1</v>
      </c>
      <c r="C132" s="380">
        <f>ROUNDDOWN(AVERAGE(E62:G71),1)</f>
        <v>76.900000000000006</v>
      </c>
      <c r="D132" s="378">
        <v>26116</v>
      </c>
      <c r="E132" s="378">
        <v>15907</v>
      </c>
      <c r="F132" s="378">
        <f t="shared" si="0"/>
        <v>1621803.6</v>
      </c>
      <c r="G132" s="378">
        <f t="shared" si="0"/>
        <v>1223248.3</v>
      </c>
    </row>
    <row r="133" spans="1:7" x14ac:dyDescent="0.25">
      <c r="A133" s="379" t="str">
        <f>A77</f>
        <v>Liucheng Mashan swine Farm</v>
      </c>
      <c r="B133" s="380">
        <f>ROUNDDOWN(AVERAGE(B80:D99),1)</f>
        <v>63.3</v>
      </c>
      <c r="C133" s="378">
        <f>ROUNDDOWN(AVERAGE(E80:G91),1)</f>
        <v>77.2</v>
      </c>
      <c r="D133" s="378">
        <v>33500</v>
      </c>
      <c r="E133" s="378">
        <v>20528</v>
      </c>
      <c r="F133" s="378">
        <f t="shared" si="0"/>
        <v>2120550</v>
      </c>
      <c r="G133" s="378">
        <f t="shared" si="0"/>
        <v>1584761.6</v>
      </c>
    </row>
    <row r="134" spans="1:7" x14ac:dyDescent="0.25">
      <c r="A134" s="379" t="str">
        <f>A100</f>
        <v>Tengxian Tianping swine Farm</v>
      </c>
      <c r="B134" s="380">
        <f>ROUNDDOWN(AVERAGE(B103:D113),1)</f>
        <v>61.9</v>
      </c>
      <c r="C134" s="378">
        <f>ROUNDDOWN(AVERAGE(E103:G108),1)</f>
        <v>75.099999999999994</v>
      </c>
      <c r="D134" s="378">
        <v>16255</v>
      </c>
      <c r="E134" s="378">
        <v>10385</v>
      </c>
      <c r="F134" s="378">
        <f t="shared" si="0"/>
        <v>1006184.5</v>
      </c>
      <c r="G134" s="378">
        <f t="shared" si="0"/>
        <v>779913.49999999988</v>
      </c>
    </row>
    <row r="135" spans="1:7" x14ac:dyDescent="0.25">
      <c r="A135" s="379" t="str">
        <f>A114</f>
        <v>Debao Chengguan swine Farm</v>
      </c>
      <c r="B135" s="380">
        <f>ROUNDDOWN(AVERAGE(B117:D122),1)</f>
        <v>59.7</v>
      </c>
      <c r="C135" s="378">
        <v>0</v>
      </c>
      <c r="D135" s="378">
        <v>8758</v>
      </c>
      <c r="E135" s="378">
        <v>0</v>
      </c>
      <c r="F135" s="378">
        <f t="shared" si="0"/>
        <v>522852.60000000003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89820</v>
      </c>
      <c r="F136" s="378">
        <f>SUM(F127:F135)</f>
        <v>9419831.9000000004</v>
      </c>
      <c r="G136" s="378">
        <f>SUM(G127:G134)</f>
        <v>7004795.3000000007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61.6</v>
      </c>
      <c r="D140" s="381">
        <f>ROUNDDOWN(G136/E136,1)</f>
        <v>77.900000000000006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B0C8-CEE2-430D-B25C-77DA498B6E87}">
  <dimension ref="A1:G140"/>
  <sheetViews>
    <sheetView topLeftCell="A28" workbookViewId="0">
      <selection activeCell="F40" sqref="F40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43</v>
      </c>
      <c r="C5" s="345">
        <v>58.7</v>
      </c>
      <c r="D5" s="345">
        <v>104.4</v>
      </c>
      <c r="E5" s="346">
        <v>64.400000000000006</v>
      </c>
      <c r="F5" s="346">
        <v>91</v>
      </c>
      <c r="G5" s="346">
        <v>116.3</v>
      </c>
    </row>
    <row r="6" spans="1:7" x14ac:dyDescent="0.25">
      <c r="A6" s="343">
        <v>2</v>
      </c>
      <c r="B6" s="345">
        <v>30.7</v>
      </c>
      <c r="C6" s="345">
        <v>57.4</v>
      </c>
      <c r="D6" s="345">
        <v>104.6</v>
      </c>
      <c r="E6" s="346">
        <v>32.4</v>
      </c>
      <c r="F6" s="346">
        <v>86.5</v>
      </c>
      <c r="G6" s="346">
        <v>118.1</v>
      </c>
    </row>
    <row r="7" spans="1:7" x14ac:dyDescent="0.25">
      <c r="A7" s="343">
        <v>3</v>
      </c>
      <c r="B7" s="345">
        <v>19.7</v>
      </c>
      <c r="C7" s="345">
        <v>53.3</v>
      </c>
      <c r="D7" s="345">
        <v>94.5</v>
      </c>
      <c r="E7" s="346">
        <v>60.7</v>
      </c>
      <c r="F7" s="346">
        <v>84.7</v>
      </c>
      <c r="G7" s="346">
        <v>109.2</v>
      </c>
    </row>
    <row r="8" spans="1:7" x14ac:dyDescent="0.25">
      <c r="A8" s="343">
        <v>4</v>
      </c>
      <c r="B8" s="345">
        <v>19.600000000000001</v>
      </c>
      <c r="C8" s="345">
        <v>50.2</v>
      </c>
      <c r="D8" s="345">
        <v>82.8</v>
      </c>
      <c r="E8" s="346">
        <v>49.3</v>
      </c>
      <c r="F8" s="346">
        <v>67</v>
      </c>
      <c r="G8" s="346">
        <v>101.7</v>
      </c>
    </row>
    <row r="9" spans="1:7" x14ac:dyDescent="0.25">
      <c r="A9" s="343">
        <v>5</v>
      </c>
      <c r="B9" s="345">
        <v>20</v>
      </c>
      <c r="C9" s="345">
        <v>68.7</v>
      </c>
      <c r="D9" s="345">
        <v>77.900000000000006</v>
      </c>
      <c r="E9" s="346">
        <v>64.5</v>
      </c>
      <c r="F9" s="346">
        <v>75.7</v>
      </c>
      <c r="G9" s="346">
        <v>117.5</v>
      </c>
    </row>
    <row r="10" spans="1:7" x14ac:dyDescent="0.25">
      <c r="A10" s="343">
        <v>6</v>
      </c>
      <c r="B10" s="345">
        <v>21.1</v>
      </c>
      <c r="C10" s="345">
        <v>63.5</v>
      </c>
      <c r="D10" s="345">
        <v>98.6</v>
      </c>
      <c r="E10" s="346">
        <v>57.1</v>
      </c>
      <c r="F10" s="346">
        <v>71.5</v>
      </c>
      <c r="G10" s="346">
        <v>118.3</v>
      </c>
    </row>
    <row r="11" spans="1:7" x14ac:dyDescent="0.25">
      <c r="A11" s="343">
        <v>7</v>
      </c>
      <c r="B11" s="345">
        <v>34.5</v>
      </c>
      <c r="C11" s="345">
        <v>58.8</v>
      </c>
      <c r="D11" s="345">
        <v>80.5</v>
      </c>
      <c r="E11" s="346">
        <v>53.8</v>
      </c>
      <c r="F11" s="346">
        <v>84.9</v>
      </c>
      <c r="G11" s="346">
        <v>113.8</v>
      </c>
    </row>
    <row r="12" spans="1:7" x14ac:dyDescent="0.25">
      <c r="A12" s="343">
        <v>8</v>
      </c>
      <c r="B12" s="345">
        <v>42.8</v>
      </c>
      <c r="C12" s="345">
        <v>62.8</v>
      </c>
      <c r="D12" s="345">
        <v>78.8</v>
      </c>
      <c r="E12" s="346">
        <v>36.1</v>
      </c>
      <c r="F12" s="346">
        <v>94.3</v>
      </c>
      <c r="G12" s="346">
        <v>104.8</v>
      </c>
    </row>
    <row r="13" spans="1:7" x14ac:dyDescent="0.25">
      <c r="A13" s="343">
        <v>9</v>
      </c>
      <c r="B13" s="345">
        <v>45.5</v>
      </c>
      <c r="C13" s="345">
        <v>55.5</v>
      </c>
      <c r="D13" s="345">
        <v>74.8</v>
      </c>
      <c r="E13" s="345"/>
      <c r="F13" s="345"/>
      <c r="G13" s="345"/>
    </row>
    <row r="14" spans="1:7" x14ac:dyDescent="0.25">
      <c r="A14" s="343">
        <v>10</v>
      </c>
      <c r="B14" s="345">
        <v>46.6</v>
      </c>
      <c r="C14" s="345">
        <v>50.4</v>
      </c>
      <c r="D14" s="345">
        <v>70.8</v>
      </c>
      <c r="E14" s="345"/>
      <c r="F14" s="345"/>
      <c r="G14" s="345"/>
    </row>
    <row r="15" spans="1:7" x14ac:dyDescent="0.25">
      <c r="A15" s="343">
        <v>11</v>
      </c>
      <c r="B15" s="345">
        <v>45.4</v>
      </c>
      <c r="C15" s="345">
        <v>62.6</v>
      </c>
      <c r="D15" s="345">
        <v>70.099999999999994</v>
      </c>
      <c r="E15" s="345"/>
      <c r="F15" s="345"/>
      <c r="G15" s="345"/>
    </row>
    <row r="16" spans="1:7" x14ac:dyDescent="0.25">
      <c r="A16" s="343">
        <v>12</v>
      </c>
      <c r="B16" s="345">
        <v>46.1</v>
      </c>
      <c r="C16" s="345">
        <v>68</v>
      </c>
      <c r="D16" s="345">
        <v>102.1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40.5</v>
      </c>
      <c r="C20" s="350">
        <v>58.8</v>
      </c>
      <c r="D20" s="350">
        <v>101.1</v>
      </c>
      <c r="E20" s="350">
        <v>36.700000000000003</v>
      </c>
      <c r="F20" s="350">
        <v>67.599999999999994</v>
      </c>
      <c r="G20" s="350">
        <v>95.4</v>
      </c>
    </row>
    <row r="21" spans="1:7" x14ac:dyDescent="0.25">
      <c r="A21" s="348">
        <v>2</v>
      </c>
      <c r="B21" s="350">
        <v>27.7</v>
      </c>
      <c r="C21" s="350">
        <v>60</v>
      </c>
      <c r="D21" s="350">
        <v>107.5</v>
      </c>
      <c r="E21" s="350">
        <v>48.7</v>
      </c>
      <c r="F21" s="350">
        <v>69.2</v>
      </c>
      <c r="G21" s="350">
        <v>104.7</v>
      </c>
    </row>
    <row r="22" spans="1:7" x14ac:dyDescent="0.25">
      <c r="A22" s="348">
        <v>3</v>
      </c>
      <c r="B22" s="350">
        <v>49.3</v>
      </c>
      <c r="C22" s="350">
        <v>69.599999999999994</v>
      </c>
      <c r="D22" s="350">
        <v>93.2</v>
      </c>
      <c r="E22" s="350">
        <v>35</v>
      </c>
      <c r="F22" s="350">
        <v>90.4</v>
      </c>
      <c r="G22" s="350">
        <v>103</v>
      </c>
    </row>
    <row r="23" spans="1:7" x14ac:dyDescent="0.25">
      <c r="A23" s="348">
        <v>4</v>
      </c>
      <c r="B23" s="350">
        <v>49.1</v>
      </c>
      <c r="C23" s="350">
        <v>67.599999999999994</v>
      </c>
      <c r="D23" s="350">
        <v>84.5</v>
      </c>
      <c r="E23" s="350">
        <v>63.9</v>
      </c>
      <c r="F23" s="350">
        <v>84.3</v>
      </c>
      <c r="G23" s="350">
        <v>105.9</v>
      </c>
    </row>
    <row r="24" spans="1:7" x14ac:dyDescent="0.25">
      <c r="A24" s="348">
        <v>5</v>
      </c>
      <c r="B24" s="350">
        <v>32.299999999999997</v>
      </c>
      <c r="C24" s="350">
        <v>57.8</v>
      </c>
      <c r="D24" s="350">
        <v>109.9</v>
      </c>
      <c r="E24" s="350"/>
      <c r="F24" s="350"/>
      <c r="G24" s="350"/>
    </row>
    <row r="25" spans="1:7" x14ac:dyDescent="0.25">
      <c r="A25" s="348">
        <v>6</v>
      </c>
      <c r="B25" s="350">
        <v>48.9</v>
      </c>
      <c r="C25" s="350">
        <v>55</v>
      </c>
      <c r="D25" s="350">
        <v>76.900000000000006</v>
      </c>
      <c r="E25" s="350"/>
      <c r="F25" s="350"/>
      <c r="G25" s="350"/>
    </row>
    <row r="26" spans="1:7" x14ac:dyDescent="0.25">
      <c r="A26" s="348">
        <v>7</v>
      </c>
      <c r="B26" s="350">
        <v>30.4</v>
      </c>
      <c r="C26" s="350">
        <v>53.2</v>
      </c>
      <c r="D26" s="350">
        <v>103.7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41.5</v>
      </c>
      <c r="C30" s="353">
        <v>59.7</v>
      </c>
      <c r="D30" s="353">
        <v>74.099999999999994</v>
      </c>
      <c r="E30" s="354">
        <v>57.2</v>
      </c>
      <c r="F30" s="354">
        <v>90.3</v>
      </c>
      <c r="G30" s="354">
        <v>96.9</v>
      </c>
    </row>
    <row r="31" spans="1:7" x14ac:dyDescent="0.25">
      <c r="A31" s="352">
        <v>2</v>
      </c>
      <c r="B31" s="353">
        <v>43.7</v>
      </c>
      <c r="C31" s="353">
        <v>67.7</v>
      </c>
      <c r="D31" s="353">
        <v>76.599999999999994</v>
      </c>
      <c r="E31" s="354">
        <v>54.4</v>
      </c>
      <c r="F31" s="354">
        <v>75.8</v>
      </c>
      <c r="G31" s="354">
        <v>102.8</v>
      </c>
    </row>
    <row r="32" spans="1:7" x14ac:dyDescent="0.25">
      <c r="A32" s="352">
        <v>3</v>
      </c>
      <c r="B32" s="353">
        <v>39.700000000000003</v>
      </c>
      <c r="C32" s="353">
        <v>56.1</v>
      </c>
      <c r="D32" s="353">
        <v>82.5</v>
      </c>
      <c r="E32" s="354">
        <v>46.8</v>
      </c>
      <c r="F32" s="354">
        <v>78.099999999999994</v>
      </c>
      <c r="G32" s="354">
        <v>118.8</v>
      </c>
    </row>
    <row r="33" spans="1:7" x14ac:dyDescent="0.25">
      <c r="A33" s="352">
        <v>4</v>
      </c>
      <c r="B33" s="353">
        <v>41.4</v>
      </c>
      <c r="C33" s="353">
        <v>63</v>
      </c>
      <c r="D33" s="353">
        <v>103.2</v>
      </c>
      <c r="E33" s="354">
        <v>56.2</v>
      </c>
      <c r="F33" s="354">
        <v>77.7</v>
      </c>
      <c r="G33" s="354">
        <v>112</v>
      </c>
    </row>
    <row r="34" spans="1:7" x14ac:dyDescent="0.25">
      <c r="A34" s="352">
        <v>5</v>
      </c>
      <c r="B34" s="353">
        <v>42.3</v>
      </c>
      <c r="C34" s="353">
        <v>64.8</v>
      </c>
      <c r="D34" s="353">
        <v>87.7</v>
      </c>
      <c r="E34" s="353"/>
      <c r="F34" s="353"/>
      <c r="G34" s="353"/>
    </row>
    <row r="35" spans="1:7" x14ac:dyDescent="0.25">
      <c r="A35" s="352">
        <v>6</v>
      </c>
      <c r="B35" s="353">
        <v>43.8</v>
      </c>
      <c r="C35" s="353">
        <v>59.2</v>
      </c>
      <c r="D35" s="353">
        <v>94.1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41.8</v>
      </c>
      <c r="C39" s="357">
        <v>68.5</v>
      </c>
      <c r="D39" s="357">
        <v>74</v>
      </c>
      <c r="E39" s="358">
        <v>55.3</v>
      </c>
      <c r="F39" s="358">
        <v>69.599999999999994</v>
      </c>
      <c r="G39" s="358">
        <v>106</v>
      </c>
    </row>
    <row r="40" spans="1:7" x14ac:dyDescent="0.25">
      <c r="A40" s="356">
        <v>2</v>
      </c>
      <c r="B40" s="357">
        <v>34.299999999999997</v>
      </c>
      <c r="C40" s="357">
        <v>55.1</v>
      </c>
      <c r="D40" s="357">
        <v>108.5</v>
      </c>
      <c r="E40" s="358">
        <v>31.8</v>
      </c>
      <c r="F40" s="358">
        <v>76</v>
      </c>
      <c r="G40" s="358">
        <v>119.4</v>
      </c>
    </row>
    <row r="41" spans="1:7" x14ac:dyDescent="0.25">
      <c r="A41" s="356">
        <v>3</v>
      </c>
      <c r="B41" s="357">
        <v>24.4</v>
      </c>
      <c r="C41" s="357">
        <v>60.3</v>
      </c>
      <c r="D41" s="357">
        <v>85.6</v>
      </c>
      <c r="E41" s="357"/>
      <c r="F41" s="358">
        <v>76</v>
      </c>
      <c r="G41" s="358">
        <v>97.8</v>
      </c>
    </row>
    <row r="42" spans="1:7" x14ac:dyDescent="0.25">
      <c r="A42" s="356">
        <v>4</v>
      </c>
      <c r="B42" s="357">
        <v>34.299999999999997</v>
      </c>
      <c r="C42" s="357">
        <v>50.5</v>
      </c>
      <c r="D42" s="357">
        <v>108.6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37.200000000000003</v>
      </c>
      <c r="C46" s="362">
        <v>61.1</v>
      </c>
      <c r="D46" s="362">
        <v>103.9</v>
      </c>
      <c r="E46" s="363">
        <v>61.4</v>
      </c>
      <c r="F46" s="363">
        <v>72.8</v>
      </c>
      <c r="G46" s="363">
        <v>102</v>
      </c>
    </row>
    <row r="47" spans="1:7" ht="14.5" x14ac:dyDescent="0.3">
      <c r="A47" s="360">
        <v>2</v>
      </c>
      <c r="B47" s="362">
        <v>22.1</v>
      </c>
      <c r="C47" s="362">
        <v>56.3</v>
      </c>
      <c r="D47" s="362">
        <v>71</v>
      </c>
      <c r="E47" s="363">
        <v>50.2</v>
      </c>
      <c r="F47" s="363">
        <v>82</v>
      </c>
      <c r="G47" s="363">
        <v>116.3</v>
      </c>
    </row>
    <row r="48" spans="1:7" ht="14.5" x14ac:dyDescent="0.3">
      <c r="A48" s="360">
        <v>3</v>
      </c>
      <c r="B48" s="362">
        <v>32.1</v>
      </c>
      <c r="C48" s="362">
        <v>68</v>
      </c>
      <c r="D48" s="362">
        <v>98.3</v>
      </c>
      <c r="E48" s="363">
        <v>44</v>
      </c>
      <c r="F48" s="363">
        <v>87.4</v>
      </c>
      <c r="G48" s="363">
        <v>108.1</v>
      </c>
    </row>
    <row r="49" spans="1:7" ht="14.5" x14ac:dyDescent="0.3">
      <c r="A49" s="360">
        <v>4</v>
      </c>
      <c r="B49" s="362">
        <v>30.9</v>
      </c>
      <c r="C49" s="362">
        <v>68.5</v>
      </c>
      <c r="D49" s="362">
        <v>95.6</v>
      </c>
      <c r="E49" s="363">
        <v>54.9</v>
      </c>
      <c r="F49" s="363">
        <v>70.3</v>
      </c>
      <c r="G49" s="363">
        <v>106.4</v>
      </c>
    </row>
    <row r="50" spans="1:7" ht="14.5" x14ac:dyDescent="0.3">
      <c r="A50" s="360">
        <v>5</v>
      </c>
      <c r="B50" s="362">
        <v>26.5</v>
      </c>
      <c r="C50" s="362">
        <v>62.4</v>
      </c>
      <c r="D50" s="362">
        <v>92.7</v>
      </c>
      <c r="E50" s="363">
        <v>31.4</v>
      </c>
      <c r="F50" s="363">
        <v>91.7</v>
      </c>
      <c r="G50" s="363">
        <v>103.3</v>
      </c>
    </row>
    <row r="51" spans="1:7" ht="14.5" x14ac:dyDescent="0.3">
      <c r="A51" s="360">
        <v>6</v>
      </c>
      <c r="B51" s="362">
        <v>41.7</v>
      </c>
      <c r="C51" s="362">
        <v>68</v>
      </c>
      <c r="D51" s="362">
        <v>87.6</v>
      </c>
      <c r="E51" s="363">
        <v>56.1</v>
      </c>
      <c r="F51" s="363">
        <v>74</v>
      </c>
      <c r="G51" s="363">
        <v>101.4</v>
      </c>
    </row>
    <row r="52" spans="1:7" ht="14.5" x14ac:dyDescent="0.3">
      <c r="A52" s="360">
        <v>7</v>
      </c>
      <c r="B52" s="362">
        <v>49.9</v>
      </c>
      <c r="C52" s="362">
        <v>69.5</v>
      </c>
      <c r="D52" s="362">
        <v>94</v>
      </c>
      <c r="E52" s="363">
        <v>38.299999999999997</v>
      </c>
      <c r="F52" s="363">
        <v>81.5</v>
      </c>
      <c r="G52" s="363">
        <v>113.5</v>
      </c>
    </row>
    <row r="53" spans="1:7" ht="14.5" x14ac:dyDescent="0.3">
      <c r="A53" s="360">
        <v>8</v>
      </c>
      <c r="B53" s="362">
        <v>34.4</v>
      </c>
      <c r="C53" s="362">
        <v>52</v>
      </c>
      <c r="D53" s="362">
        <v>72.599999999999994</v>
      </c>
      <c r="E53" s="363">
        <v>43.7</v>
      </c>
      <c r="F53" s="363">
        <v>94.4</v>
      </c>
      <c r="G53" s="363">
        <v>105.2</v>
      </c>
    </row>
    <row r="54" spans="1:7" ht="14.5" x14ac:dyDescent="0.3">
      <c r="A54" s="360">
        <v>9</v>
      </c>
      <c r="B54" s="362">
        <v>32.799999999999997</v>
      </c>
      <c r="C54" s="362">
        <v>53.6</v>
      </c>
      <c r="D54" s="362">
        <v>99.7</v>
      </c>
      <c r="E54" s="362"/>
      <c r="F54" s="362"/>
      <c r="G54" s="362"/>
    </row>
    <row r="55" spans="1:7" ht="14.5" x14ac:dyDescent="0.3">
      <c r="A55" s="360">
        <v>10</v>
      </c>
      <c r="B55" s="362">
        <v>45</v>
      </c>
      <c r="C55" s="362">
        <v>53.6</v>
      </c>
      <c r="D55" s="362">
        <v>84.2</v>
      </c>
      <c r="E55" s="364"/>
      <c r="F55" s="364"/>
      <c r="G55" s="364"/>
    </row>
    <row r="56" spans="1:7" ht="14.5" x14ac:dyDescent="0.3">
      <c r="A56" s="360">
        <v>11</v>
      </c>
      <c r="B56" s="362">
        <v>44.8</v>
      </c>
      <c r="C56" s="362">
        <v>64.099999999999994</v>
      </c>
      <c r="D56" s="362">
        <v>98.9</v>
      </c>
      <c r="E56" s="364"/>
      <c r="F56" s="364"/>
      <c r="G56" s="364"/>
    </row>
    <row r="57" spans="1:7" ht="14.5" x14ac:dyDescent="0.3">
      <c r="A57" s="360">
        <v>12</v>
      </c>
      <c r="B57" s="362">
        <v>27.7</v>
      </c>
      <c r="C57" s="362">
        <v>55.8</v>
      </c>
      <c r="D57" s="362">
        <v>96.8</v>
      </c>
      <c r="E57" s="364"/>
      <c r="F57" s="364"/>
      <c r="G57" s="364"/>
    </row>
    <row r="58" spans="1:7" ht="14.5" x14ac:dyDescent="0.3">
      <c r="A58" s="360">
        <v>13</v>
      </c>
      <c r="B58" s="362">
        <v>47.7</v>
      </c>
      <c r="C58" s="362">
        <v>66.900000000000006</v>
      </c>
      <c r="D58" s="362">
        <v>80.5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26.2</v>
      </c>
      <c r="C62" s="368">
        <v>50.3</v>
      </c>
      <c r="D62" s="368">
        <v>103.2</v>
      </c>
      <c r="E62" s="369">
        <v>50</v>
      </c>
      <c r="F62" s="369">
        <v>89.6</v>
      </c>
      <c r="G62" s="369">
        <v>95.9</v>
      </c>
    </row>
    <row r="63" spans="1:7" ht="14.5" x14ac:dyDescent="0.3">
      <c r="A63" s="366">
        <v>2</v>
      </c>
      <c r="B63" s="368">
        <v>31.6</v>
      </c>
      <c r="C63" s="368">
        <v>61.1</v>
      </c>
      <c r="D63" s="368">
        <v>76.400000000000006</v>
      </c>
      <c r="E63" s="369">
        <v>53.2</v>
      </c>
      <c r="F63" s="369">
        <v>84.9</v>
      </c>
      <c r="G63" s="369">
        <v>104</v>
      </c>
    </row>
    <row r="64" spans="1:7" ht="14.5" x14ac:dyDescent="0.3">
      <c r="A64" s="366">
        <v>3</v>
      </c>
      <c r="B64" s="368">
        <v>35.6</v>
      </c>
      <c r="C64" s="368">
        <v>60.6</v>
      </c>
      <c r="D64" s="368">
        <v>81.5</v>
      </c>
      <c r="E64" s="369">
        <v>49.4</v>
      </c>
      <c r="F64" s="369">
        <v>75.599999999999994</v>
      </c>
      <c r="G64" s="369">
        <v>107.8</v>
      </c>
    </row>
    <row r="65" spans="1:7" ht="14.5" x14ac:dyDescent="0.3">
      <c r="A65" s="366">
        <v>4</v>
      </c>
      <c r="B65" s="368">
        <v>24.9</v>
      </c>
      <c r="C65" s="368">
        <v>68.900000000000006</v>
      </c>
      <c r="D65" s="368">
        <v>97.7</v>
      </c>
      <c r="E65" s="369">
        <v>37.299999999999997</v>
      </c>
      <c r="F65" s="369">
        <v>70.599999999999994</v>
      </c>
      <c r="G65" s="369">
        <v>109.6</v>
      </c>
    </row>
    <row r="66" spans="1:7" ht="14.5" x14ac:dyDescent="0.3">
      <c r="A66" s="366">
        <v>5</v>
      </c>
      <c r="B66" s="368">
        <v>39.6</v>
      </c>
      <c r="C66" s="368">
        <v>54.6</v>
      </c>
      <c r="D66" s="368">
        <v>97.6</v>
      </c>
      <c r="E66" s="369">
        <v>51.2</v>
      </c>
      <c r="F66" s="369">
        <v>76.2</v>
      </c>
      <c r="G66" s="369">
        <v>99.5</v>
      </c>
    </row>
    <row r="67" spans="1:7" ht="14.5" x14ac:dyDescent="0.3">
      <c r="A67" s="366">
        <v>6</v>
      </c>
      <c r="B67" s="368">
        <v>22</v>
      </c>
      <c r="C67" s="368">
        <v>56.8</v>
      </c>
      <c r="D67" s="368">
        <v>103.5</v>
      </c>
      <c r="E67" s="369">
        <v>57.8</v>
      </c>
      <c r="F67" s="369">
        <v>67.2</v>
      </c>
      <c r="G67" s="369">
        <v>105.9</v>
      </c>
    </row>
    <row r="68" spans="1:7" ht="14.5" x14ac:dyDescent="0.3">
      <c r="A68" s="366">
        <v>7</v>
      </c>
      <c r="B68" s="368">
        <v>28.3</v>
      </c>
      <c r="C68" s="368">
        <v>52.6</v>
      </c>
      <c r="D68" s="368">
        <v>73.099999999999994</v>
      </c>
      <c r="E68" s="369">
        <v>42.3</v>
      </c>
      <c r="F68" s="369">
        <v>89</v>
      </c>
      <c r="G68" s="369">
        <v>95</v>
      </c>
    </row>
    <row r="69" spans="1:7" ht="14.5" x14ac:dyDescent="0.3">
      <c r="A69" s="366">
        <v>8</v>
      </c>
      <c r="B69" s="368">
        <v>18.8</v>
      </c>
      <c r="C69" s="368">
        <v>58.1</v>
      </c>
      <c r="D69" s="368">
        <v>81.099999999999994</v>
      </c>
      <c r="E69" s="369">
        <v>30.6</v>
      </c>
      <c r="F69" s="369">
        <v>82</v>
      </c>
      <c r="G69" s="369">
        <v>104</v>
      </c>
    </row>
    <row r="70" spans="1:7" ht="14.5" x14ac:dyDescent="0.3">
      <c r="A70" s="366">
        <v>9</v>
      </c>
      <c r="B70" s="368">
        <v>20.5</v>
      </c>
      <c r="C70" s="368">
        <v>67.599999999999994</v>
      </c>
      <c r="D70" s="368">
        <v>108.4</v>
      </c>
      <c r="E70" s="369">
        <v>62.3</v>
      </c>
      <c r="F70" s="369">
        <v>91.6</v>
      </c>
      <c r="G70" s="369">
        <v>103.6</v>
      </c>
    </row>
    <row r="71" spans="1:7" ht="14.5" x14ac:dyDescent="0.3">
      <c r="A71" s="366">
        <v>10</v>
      </c>
      <c r="B71" s="368">
        <v>37.299999999999997</v>
      </c>
      <c r="C71" s="368">
        <v>64.3</v>
      </c>
      <c r="D71" s="368">
        <v>89.1</v>
      </c>
      <c r="E71" s="369">
        <v>39.5</v>
      </c>
      <c r="F71" s="369">
        <v>83</v>
      </c>
      <c r="G71" s="369">
        <v>113.8</v>
      </c>
    </row>
    <row r="72" spans="1:7" ht="14.5" x14ac:dyDescent="0.3">
      <c r="A72" s="366">
        <v>11</v>
      </c>
      <c r="B72" s="368">
        <v>37</v>
      </c>
      <c r="C72" s="368">
        <v>64.599999999999994</v>
      </c>
      <c r="D72" s="368">
        <v>96.7</v>
      </c>
      <c r="E72" s="367"/>
      <c r="F72" s="367"/>
      <c r="G72" s="367"/>
    </row>
    <row r="73" spans="1:7" ht="14.5" x14ac:dyDescent="0.3">
      <c r="A73" s="366">
        <v>12</v>
      </c>
      <c r="B73" s="368">
        <v>26.7</v>
      </c>
      <c r="C73" s="368">
        <v>65.8</v>
      </c>
      <c r="D73" s="368">
        <v>99.4</v>
      </c>
      <c r="E73" s="367"/>
      <c r="F73" s="367"/>
      <c r="G73" s="367"/>
    </row>
    <row r="74" spans="1:7" ht="14.5" x14ac:dyDescent="0.3">
      <c r="A74" s="366">
        <v>13</v>
      </c>
      <c r="B74" s="368">
        <v>34.799999999999997</v>
      </c>
      <c r="C74" s="368">
        <v>61.2</v>
      </c>
      <c r="D74" s="368">
        <v>88.7</v>
      </c>
      <c r="E74" s="367"/>
      <c r="F74" s="367"/>
      <c r="G74" s="367"/>
    </row>
    <row r="75" spans="1:7" ht="14.5" x14ac:dyDescent="0.3">
      <c r="A75" s="366">
        <v>14</v>
      </c>
      <c r="B75" s="368">
        <v>39.4</v>
      </c>
      <c r="C75" s="368">
        <v>55.9</v>
      </c>
      <c r="D75" s="368">
        <v>76.900000000000006</v>
      </c>
      <c r="E75" s="367"/>
      <c r="F75" s="367"/>
      <c r="G75" s="367"/>
    </row>
    <row r="76" spans="1:7" ht="14.5" x14ac:dyDescent="0.3">
      <c r="A76" s="366">
        <v>15</v>
      </c>
      <c r="B76" s="368">
        <v>30</v>
      </c>
      <c r="C76" s="368">
        <v>54.9</v>
      </c>
      <c r="D76" s="368">
        <v>82.4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48.2</v>
      </c>
      <c r="C80" s="373">
        <v>60.4</v>
      </c>
      <c r="D80" s="373">
        <v>106.2</v>
      </c>
      <c r="E80" s="374">
        <v>62.8</v>
      </c>
      <c r="F80" s="374">
        <v>93.7</v>
      </c>
      <c r="G80" s="374">
        <v>95.2</v>
      </c>
    </row>
    <row r="81" spans="1:7" ht="14.5" x14ac:dyDescent="0.3">
      <c r="A81" s="371">
        <v>2</v>
      </c>
      <c r="B81" s="373">
        <v>20.100000000000001</v>
      </c>
      <c r="C81" s="373">
        <v>52.4</v>
      </c>
      <c r="D81" s="373">
        <v>81.599999999999994</v>
      </c>
      <c r="E81" s="374">
        <v>30.3</v>
      </c>
      <c r="F81" s="374">
        <v>79.5</v>
      </c>
      <c r="G81" s="374">
        <v>112.1</v>
      </c>
    </row>
    <row r="82" spans="1:7" ht="14.5" x14ac:dyDescent="0.3">
      <c r="A82" s="371">
        <v>3</v>
      </c>
      <c r="B82" s="373">
        <v>25.2</v>
      </c>
      <c r="C82" s="373">
        <v>67.7</v>
      </c>
      <c r="D82" s="373">
        <v>104.5</v>
      </c>
      <c r="E82" s="374">
        <v>61.1</v>
      </c>
      <c r="F82" s="374">
        <v>79.5</v>
      </c>
      <c r="G82" s="374">
        <v>95</v>
      </c>
    </row>
    <row r="83" spans="1:7" ht="14.5" x14ac:dyDescent="0.3">
      <c r="A83" s="371">
        <v>4</v>
      </c>
      <c r="B83" s="373">
        <v>37.5</v>
      </c>
      <c r="C83" s="373">
        <v>58.5</v>
      </c>
      <c r="D83" s="373">
        <v>94.5</v>
      </c>
      <c r="E83" s="374">
        <v>55</v>
      </c>
      <c r="F83" s="374">
        <v>78.5</v>
      </c>
      <c r="G83" s="374">
        <v>97.8</v>
      </c>
    </row>
    <row r="84" spans="1:7" ht="14.5" x14ac:dyDescent="0.3">
      <c r="A84" s="371">
        <v>5</v>
      </c>
      <c r="B84" s="373">
        <v>46.9</v>
      </c>
      <c r="C84" s="373">
        <v>60.4</v>
      </c>
      <c r="D84" s="373">
        <v>74.400000000000006</v>
      </c>
      <c r="E84" s="374">
        <v>61.4</v>
      </c>
      <c r="F84" s="374">
        <v>65.2</v>
      </c>
      <c r="G84" s="374">
        <v>98.6</v>
      </c>
    </row>
    <row r="85" spans="1:7" ht="14.5" x14ac:dyDescent="0.3">
      <c r="A85" s="371">
        <v>6</v>
      </c>
      <c r="B85" s="373">
        <v>40.6</v>
      </c>
      <c r="C85" s="373">
        <v>53.2</v>
      </c>
      <c r="D85" s="373">
        <v>101.8</v>
      </c>
      <c r="E85" s="374">
        <v>45.2</v>
      </c>
      <c r="F85" s="374">
        <v>68.3</v>
      </c>
      <c r="G85" s="374">
        <v>104.5</v>
      </c>
    </row>
    <row r="86" spans="1:7" ht="14.5" x14ac:dyDescent="0.3">
      <c r="A86" s="371">
        <v>7</v>
      </c>
      <c r="B86" s="373">
        <v>38.4</v>
      </c>
      <c r="C86" s="373">
        <v>53.6</v>
      </c>
      <c r="D86" s="373">
        <v>95.5</v>
      </c>
      <c r="E86" s="374">
        <v>34.9</v>
      </c>
      <c r="F86" s="374">
        <v>68.599999999999994</v>
      </c>
      <c r="G86" s="374">
        <v>110.4</v>
      </c>
    </row>
    <row r="87" spans="1:7" ht="14.5" x14ac:dyDescent="0.3">
      <c r="A87" s="371">
        <v>8</v>
      </c>
      <c r="B87" s="373">
        <v>36.1</v>
      </c>
      <c r="C87" s="373">
        <v>58.2</v>
      </c>
      <c r="D87" s="373">
        <v>84</v>
      </c>
      <c r="E87" s="374">
        <v>57.1</v>
      </c>
      <c r="F87" s="374">
        <v>70.7</v>
      </c>
      <c r="G87" s="374">
        <v>97.2</v>
      </c>
    </row>
    <row r="88" spans="1:7" ht="14.5" x14ac:dyDescent="0.3">
      <c r="A88" s="371">
        <v>9</v>
      </c>
      <c r="B88" s="373">
        <v>19.600000000000001</v>
      </c>
      <c r="C88" s="373">
        <v>62.7</v>
      </c>
      <c r="D88" s="373">
        <v>95.1</v>
      </c>
      <c r="E88" s="374">
        <v>31.3</v>
      </c>
      <c r="F88" s="374">
        <v>86.2</v>
      </c>
      <c r="G88" s="374">
        <v>102.2</v>
      </c>
    </row>
    <row r="89" spans="1:7" ht="14.5" x14ac:dyDescent="0.3">
      <c r="A89" s="371">
        <v>10</v>
      </c>
      <c r="B89" s="373">
        <v>32</v>
      </c>
      <c r="C89" s="373">
        <v>65.599999999999994</v>
      </c>
      <c r="D89" s="373">
        <v>76.2</v>
      </c>
      <c r="E89" s="374">
        <v>33.200000000000003</v>
      </c>
      <c r="F89" s="374">
        <v>66</v>
      </c>
      <c r="G89" s="374">
        <v>119.4</v>
      </c>
    </row>
    <row r="90" spans="1:7" ht="14.5" x14ac:dyDescent="0.3">
      <c r="A90" s="371">
        <v>11</v>
      </c>
      <c r="B90" s="373">
        <v>42.8</v>
      </c>
      <c r="C90" s="373">
        <v>61.9</v>
      </c>
      <c r="D90" s="373">
        <v>76.7</v>
      </c>
      <c r="E90" s="374">
        <v>39.5</v>
      </c>
      <c r="F90" s="374">
        <v>86</v>
      </c>
      <c r="G90" s="374">
        <v>100.6</v>
      </c>
    </row>
    <row r="91" spans="1:7" ht="14.5" x14ac:dyDescent="0.3">
      <c r="A91" s="371">
        <v>12</v>
      </c>
      <c r="B91" s="373">
        <v>42.6</v>
      </c>
      <c r="C91" s="373">
        <v>51.9</v>
      </c>
      <c r="D91" s="373">
        <v>108.8</v>
      </c>
      <c r="E91" s="374">
        <v>46.4</v>
      </c>
      <c r="F91" s="374">
        <v>73.400000000000006</v>
      </c>
      <c r="G91" s="374">
        <v>118.9</v>
      </c>
    </row>
    <row r="92" spans="1:7" ht="14.5" x14ac:dyDescent="0.3">
      <c r="A92" s="371">
        <v>13</v>
      </c>
      <c r="B92" s="373">
        <v>47.8</v>
      </c>
      <c r="C92" s="373">
        <v>57.2</v>
      </c>
      <c r="D92" s="373">
        <v>75.7</v>
      </c>
      <c r="E92" s="375"/>
      <c r="F92" s="375"/>
      <c r="G92" s="375"/>
    </row>
    <row r="93" spans="1:7" ht="14.5" x14ac:dyDescent="0.3">
      <c r="A93" s="371">
        <v>14</v>
      </c>
      <c r="B93" s="373">
        <v>49.7</v>
      </c>
      <c r="C93" s="373">
        <v>67.7</v>
      </c>
      <c r="D93" s="373">
        <v>90.4</v>
      </c>
      <c r="E93" s="375"/>
      <c r="F93" s="375"/>
      <c r="G93" s="375"/>
    </row>
    <row r="94" spans="1:7" ht="14.5" x14ac:dyDescent="0.3">
      <c r="A94" s="371">
        <v>15</v>
      </c>
      <c r="B94" s="373">
        <v>30.2</v>
      </c>
      <c r="C94" s="373">
        <v>58.1</v>
      </c>
      <c r="D94" s="373">
        <v>108.5</v>
      </c>
      <c r="E94" s="375"/>
      <c r="F94" s="375"/>
      <c r="G94" s="375"/>
    </row>
    <row r="95" spans="1:7" ht="14.5" x14ac:dyDescent="0.3">
      <c r="A95" s="371">
        <v>16</v>
      </c>
      <c r="B95" s="373">
        <v>43.1</v>
      </c>
      <c r="C95" s="373">
        <v>66.900000000000006</v>
      </c>
      <c r="D95" s="373">
        <v>108.4</v>
      </c>
      <c r="E95" s="375"/>
      <c r="F95" s="375"/>
      <c r="G95" s="375"/>
    </row>
    <row r="96" spans="1:7" ht="14.5" x14ac:dyDescent="0.3">
      <c r="A96" s="371">
        <v>17</v>
      </c>
      <c r="B96" s="373">
        <v>25</v>
      </c>
      <c r="C96" s="373">
        <v>52.3</v>
      </c>
      <c r="D96" s="373">
        <v>74.099999999999994</v>
      </c>
      <c r="E96" s="375"/>
      <c r="F96" s="375"/>
      <c r="G96" s="375"/>
    </row>
    <row r="97" spans="1:7" ht="14.5" x14ac:dyDescent="0.3">
      <c r="A97" s="371">
        <v>18</v>
      </c>
      <c r="B97" s="373">
        <v>32.799999999999997</v>
      </c>
      <c r="C97" s="373">
        <v>53.6</v>
      </c>
      <c r="D97" s="373">
        <v>70.3</v>
      </c>
      <c r="E97" s="376"/>
      <c r="F97" s="376"/>
      <c r="G97" s="376"/>
    </row>
    <row r="98" spans="1:7" ht="14.5" x14ac:dyDescent="0.3">
      <c r="A98" s="371">
        <v>19</v>
      </c>
      <c r="B98" s="373">
        <v>38.700000000000003</v>
      </c>
      <c r="C98" s="373">
        <v>59.1</v>
      </c>
      <c r="D98" s="373">
        <v>74.8</v>
      </c>
      <c r="E98" s="376"/>
      <c r="F98" s="376"/>
      <c r="G98" s="376"/>
    </row>
    <row r="99" spans="1:7" ht="14.5" x14ac:dyDescent="0.3">
      <c r="A99" s="371">
        <v>20</v>
      </c>
      <c r="B99" s="373">
        <v>29.4</v>
      </c>
      <c r="C99" s="373">
        <v>50.7</v>
      </c>
      <c r="D99" s="373">
        <v>74.5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32.6</v>
      </c>
      <c r="C103" s="367">
        <v>51.6</v>
      </c>
      <c r="D103" s="367">
        <v>109.8</v>
      </c>
      <c r="E103" s="369">
        <v>38.200000000000003</v>
      </c>
      <c r="F103" s="369">
        <v>82.7</v>
      </c>
      <c r="G103" s="369">
        <v>95.9</v>
      </c>
    </row>
    <row r="104" spans="1:7" x14ac:dyDescent="0.25">
      <c r="A104" s="366">
        <v>2</v>
      </c>
      <c r="B104" s="367">
        <v>21.8</v>
      </c>
      <c r="C104" s="367">
        <v>57.8</v>
      </c>
      <c r="D104" s="367">
        <v>102.2</v>
      </c>
      <c r="E104" s="369">
        <v>56.3</v>
      </c>
      <c r="F104" s="369">
        <v>77.599999999999994</v>
      </c>
      <c r="G104" s="369">
        <v>113.3</v>
      </c>
    </row>
    <row r="105" spans="1:7" x14ac:dyDescent="0.25">
      <c r="A105" s="366">
        <v>3</v>
      </c>
      <c r="B105" s="367">
        <v>24</v>
      </c>
      <c r="C105" s="367">
        <v>56.6</v>
      </c>
      <c r="D105" s="367">
        <v>108.6</v>
      </c>
      <c r="E105" s="369">
        <v>59.7</v>
      </c>
      <c r="F105" s="369">
        <v>94.1</v>
      </c>
      <c r="G105" s="369">
        <v>104.4</v>
      </c>
    </row>
    <row r="106" spans="1:7" x14ac:dyDescent="0.25">
      <c r="A106" s="366">
        <v>4</v>
      </c>
      <c r="B106" s="367">
        <v>20.3</v>
      </c>
      <c r="C106" s="367">
        <v>67.5</v>
      </c>
      <c r="D106" s="367">
        <v>98.6</v>
      </c>
      <c r="E106" s="369">
        <v>32</v>
      </c>
      <c r="F106" s="369">
        <v>80.400000000000006</v>
      </c>
      <c r="G106" s="369">
        <v>107.8</v>
      </c>
    </row>
    <row r="107" spans="1:7" x14ac:dyDescent="0.25">
      <c r="A107" s="366">
        <v>5</v>
      </c>
      <c r="B107" s="367">
        <v>19.2</v>
      </c>
      <c r="C107" s="367">
        <v>60.8</v>
      </c>
      <c r="D107" s="367">
        <v>99.5</v>
      </c>
      <c r="E107" s="369">
        <v>47.8</v>
      </c>
      <c r="F107" s="369">
        <v>70.8</v>
      </c>
      <c r="G107" s="369">
        <v>109.6</v>
      </c>
    </row>
    <row r="108" spans="1:7" x14ac:dyDescent="0.25">
      <c r="A108" s="366">
        <v>6</v>
      </c>
      <c r="B108" s="367">
        <v>36.1</v>
      </c>
      <c r="C108" s="367">
        <v>53.3</v>
      </c>
      <c r="D108" s="367">
        <v>99.5</v>
      </c>
      <c r="E108" s="369">
        <v>37.299999999999997</v>
      </c>
      <c r="F108" s="369">
        <v>71.7</v>
      </c>
      <c r="G108" s="369">
        <v>103</v>
      </c>
    </row>
    <row r="109" spans="1:7" x14ac:dyDescent="0.25">
      <c r="A109" s="366">
        <v>7</v>
      </c>
      <c r="B109" s="367">
        <v>24.4</v>
      </c>
      <c r="C109" s="367">
        <v>55.5</v>
      </c>
      <c r="D109" s="367">
        <v>104.3</v>
      </c>
      <c r="E109" s="367"/>
      <c r="F109" s="367"/>
      <c r="G109" s="367"/>
    </row>
    <row r="110" spans="1:7" x14ac:dyDescent="0.25">
      <c r="A110" s="366">
        <v>8</v>
      </c>
      <c r="B110" s="367">
        <v>34.9</v>
      </c>
      <c r="C110" s="367">
        <v>60.4</v>
      </c>
      <c r="D110" s="367">
        <v>108.7</v>
      </c>
      <c r="E110" s="367"/>
      <c r="F110" s="367"/>
      <c r="G110" s="367"/>
    </row>
    <row r="111" spans="1:7" x14ac:dyDescent="0.25">
      <c r="A111" s="366">
        <v>9</v>
      </c>
      <c r="B111" s="367">
        <v>23.4</v>
      </c>
      <c r="C111" s="367">
        <v>63.3</v>
      </c>
      <c r="D111" s="367">
        <v>90.2</v>
      </c>
      <c r="E111" s="367"/>
      <c r="F111" s="367"/>
      <c r="G111" s="367"/>
    </row>
    <row r="112" spans="1:7" x14ac:dyDescent="0.25">
      <c r="A112" s="366">
        <v>10</v>
      </c>
      <c r="B112" s="367">
        <v>33.6</v>
      </c>
      <c r="C112" s="367">
        <v>67.099999999999994</v>
      </c>
      <c r="D112" s="367">
        <v>105.9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87.6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46.5</v>
      </c>
      <c r="C117" s="357">
        <v>57.9</v>
      </c>
      <c r="D117" s="357">
        <v>99.8</v>
      </c>
      <c r="E117" s="357"/>
      <c r="F117" s="357"/>
      <c r="G117" s="357"/>
    </row>
    <row r="118" spans="1:7" x14ac:dyDescent="0.25">
      <c r="A118" s="356">
        <v>2</v>
      </c>
      <c r="B118" s="357">
        <v>46.5</v>
      </c>
      <c r="C118" s="357">
        <v>67</v>
      </c>
      <c r="D118" s="357">
        <v>92.7</v>
      </c>
      <c r="E118" s="357"/>
      <c r="F118" s="357"/>
      <c r="G118" s="357"/>
    </row>
    <row r="119" spans="1:7" x14ac:dyDescent="0.25">
      <c r="A119" s="356">
        <v>3</v>
      </c>
      <c r="B119" s="357">
        <v>45.1</v>
      </c>
      <c r="C119" s="357">
        <v>50.2</v>
      </c>
      <c r="D119" s="357">
        <v>92.7</v>
      </c>
      <c r="E119" s="357"/>
      <c r="F119" s="357"/>
      <c r="G119" s="357"/>
    </row>
    <row r="120" spans="1:7" x14ac:dyDescent="0.25">
      <c r="A120" s="356">
        <v>4</v>
      </c>
      <c r="B120" s="357">
        <v>24.7</v>
      </c>
      <c r="C120" s="357">
        <v>62.5</v>
      </c>
      <c r="D120" s="357">
        <v>77.900000000000006</v>
      </c>
      <c r="E120" s="357"/>
      <c r="F120" s="357"/>
      <c r="G120" s="357"/>
    </row>
    <row r="121" spans="1:7" x14ac:dyDescent="0.25">
      <c r="A121" s="356">
        <v>5</v>
      </c>
      <c r="B121" s="357">
        <v>28.7</v>
      </c>
      <c r="C121" s="357">
        <v>67.8</v>
      </c>
      <c r="D121" s="357">
        <v>101.7</v>
      </c>
      <c r="E121" s="357"/>
      <c r="F121" s="357"/>
      <c r="G121" s="357"/>
    </row>
    <row r="122" spans="1:7" x14ac:dyDescent="0.25">
      <c r="A122" s="356">
        <v>6</v>
      </c>
      <c r="B122" s="357">
        <v>43.9</v>
      </c>
      <c r="C122" s="357">
        <v>58.3</v>
      </c>
      <c r="D122" s="357">
        <v>94.8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60.1</v>
      </c>
      <c r="C127" s="380">
        <f>ROUNDDOWN(AVERAGE(E5:G12),1)</f>
        <v>82.2</v>
      </c>
      <c r="D127" s="378">
        <v>19899</v>
      </c>
      <c r="E127" s="378">
        <v>12621</v>
      </c>
      <c r="F127" s="378">
        <f>B127*D127</f>
        <v>1195929.9000000001</v>
      </c>
      <c r="G127" s="378">
        <f>C127*E127</f>
        <v>1037446.2000000001</v>
      </c>
    </row>
    <row r="128" spans="1:7" x14ac:dyDescent="0.25">
      <c r="A128" s="379" t="str">
        <f>A17</f>
        <v>Chongzuo Zuozhou swine Farm</v>
      </c>
      <c r="B128" s="380">
        <f>ROUNDDOWN(AVERAGE(B20:D26),1)</f>
        <v>65.5</v>
      </c>
      <c r="C128" s="380">
        <f>ROUNDDOWN(AVERAGE(E20:G23),1)</f>
        <v>75.400000000000006</v>
      </c>
      <c r="D128" s="378">
        <v>10998</v>
      </c>
      <c r="E128" s="378">
        <v>6953</v>
      </c>
      <c r="F128" s="378">
        <f t="shared" ref="F128:G135" si="0">B128*D128</f>
        <v>720369</v>
      </c>
      <c r="G128" s="378">
        <f>C128*E128</f>
        <v>524256.2</v>
      </c>
    </row>
    <row r="129" spans="1:7" x14ac:dyDescent="0.25">
      <c r="A129" s="379" t="str">
        <f>A27</f>
        <v>Tianyang Wucun swine Farm</v>
      </c>
      <c r="B129" s="380">
        <f>ROUNDDOWN(AVERAGE(B30:D35),1)</f>
        <v>63.3</v>
      </c>
      <c r="C129" s="380">
        <f>ROUNDDOWN(AVERAGE(E30:G35),1)</f>
        <v>80.5</v>
      </c>
      <c r="D129" s="378">
        <v>9501</v>
      </c>
      <c r="E129" s="378">
        <v>6016</v>
      </c>
      <c r="F129" s="378">
        <f t="shared" si="0"/>
        <v>601413.29999999993</v>
      </c>
      <c r="G129" s="378">
        <f>C129*E129</f>
        <v>484288</v>
      </c>
    </row>
    <row r="130" spans="1:7" x14ac:dyDescent="0.25">
      <c r="A130" s="379" t="str">
        <f>A36</f>
        <v>Quanzhou Dengjiabu swine Farm</v>
      </c>
      <c r="B130" s="380">
        <f>ROUNDDOWN(AVERAGE(B39:D42),1)</f>
        <v>62.1</v>
      </c>
      <c r="C130" s="380">
        <f>ROUNDDOWN(AVERAGE(E39:G42),1)</f>
        <v>78.900000000000006</v>
      </c>
      <c r="D130" s="378">
        <v>5446</v>
      </c>
      <c r="E130" s="378">
        <v>3367</v>
      </c>
      <c r="F130" s="378">
        <f t="shared" si="0"/>
        <v>338196.60000000003</v>
      </c>
      <c r="G130" s="378">
        <f t="shared" si="0"/>
        <v>265656.30000000005</v>
      </c>
    </row>
    <row r="131" spans="1:7" x14ac:dyDescent="0.25">
      <c r="A131" s="379" t="str">
        <f>A43</f>
        <v>Chongzuo Quming swine Farm</v>
      </c>
      <c r="B131" s="380">
        <f>ROUNDDOWN(AVERAGE(B46:D58),1)</f>
        <v>62.7</v>
      </c>
      <c r="C131" s="380">
        <f>ROUNDDOWN(AVERAGE(E46:G53),1)</f>
        <v>78.7</v>
      </c>
      <c r="D131" s="378">
        <v>22352</v>
      </c>
      <c r="E131" s="378">
        <v>13965</v>
      </c>
      <c r="F131" s="378">
        <f t="shared" si="0"/>
        <v>1401470.4000000001</v>
      </c>
      <c r="G131" s="378">
        <f t="shared" si="0"/>
        <v>1099045.5</v>
      </c>
    </row>
    <row r="132" spans="1:7" x14ac:dyDescent="0.25">
      <c r="A132" s="379" t="str">
        <f>A59</f>
        <v>Jingxi swine Farm</v>
      </c>
      <c r="B132" s="380">
        <f>ROUNDDOWN(AVERAGE(B62:D76),1)</f>
        <v>60.1</v>
      </c>
      <c r="C132" s="380">
        <f>ROUNDDOWN(AVERAGE(E62:G71),1)</f>
        <v>77.400000000000006</v>
      </c>
      <c r="D132" s="378">
        <v>26116</v>
      </c>
      <c r="E132" s="378">
        <v>15890</v>
      </c>
      <c r="F132" s="378">
        <f t="shared" si="0"/>
        <v>1569571.6</v>
      </c>
      <c r="G132" s="378">
        <f t="shared" si="0"/>
        <v>1229886</v>
      </c>
    </row>
    <row r="133" spans="1:7" x14ac:dyDescent="0.25">
      <c r="A133" s="379" t="str">
        <f>A77</f>
        <v>Liucheng Mashan swine Farm</v>
      </c>
      <c r="B133" s="380">
        <f>ROUNDDOWN(AVERAGE(B80:D99),1)</f>
        <v>61.2</v>
      </c>
      <c r="C133" s="378">
        <f>ROUNDDOWN(AVERAGE(E80:G91),1)</f>
        <v>75.7</v>
      </c>
      <c r="D133" s="378">
        <v>33500</v>
      </c>
      <c r="E133" s="378">
        <v>20528</v>
      </c>
      <c r="F133" s="378">
        <f t="shared" si="0"/>
        <v>2050200</v>
      </c>
      <c r="G133" s="378">
        <f t="shared" si="0"/>
        <v>1553969.6</v>
      </c>
    </row>
    <row r="134" spans="1:7" x14ac:dyDescent="0.25">
      <c r="A134" s="379" t="str">
        <f>A100</f>
        <v>Tengxian Tianping swine Farm</v>
      </c>
      <c r="B134" s="380">
        <f>ROUNDDOWN(AVERAGE(B103:D113),1)</f>
        <v>63.8</v>
      </c>
      <c r="C134" s="378">
        <f>ROUNDDOWN(AVERAGE(E103:G108),1)</f>
        <v>76.8</v>
      </c>
      <c r="D134" s="378">
        <v>16255</v>
      </c>
      <c r="E134" s="378">
        <v>10363</v>
      </c>
      <c r="F134" s="378">
        <f t="shared" si="0"/>
        <v>1037069</v>
      </c>
      <c r="G134" s="378">
        <f t="shared" si="0"/>
        <v>795878.40000000002</v>
      </c>
    </row>
    <row r="135" spans="1:7" x14ac:dyDescent="0.25">
      <c r="A135" s="379" t="str">
        <f>A114</f>
        <v>Debao Chengguan swine Farm</v>
      </c>
      <c r="B135" s="380">
        <f>ROUNDDOWN(AVERAGE(B117:D122),1)</f>
        <v>64.3</v>
      </c>
      <c r="C135" s="378">
        <v>0</v>
      </c>
      <c r="D135" s="378">
        <v>8758</v>
      </c>
      <c r="E135" s="378">
        <v>0</v>
      </c>
      <c r="F135" s="378">
        <f t="shared" si="0"/>
        <v>563139.4</v>
      </c>
      <c r="G135" s="378"/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89703</v>
      </c>
      <c r="F136" s="378">
        <f>SUM(F127:F135)</f>
        <v>9477359.2000000011</v>
      </c>
      <c r="G136" s="378">
        <f>SUM(G127:G134)</f>
        <v>6990426.2000000011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62</v>
      </c>
      <c r="D140" s="381">
        <f>ROUNDDOWN(G136/E136,1)</f>
        <v>77.900000000000006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4"/>
  <sheetViews>
    <sheetView topLeftCell="A261" zoomScale="115" zoomScaleNormal="115" workbookViewId="0">
      <selection activeCell="E106" sqref="E106"/>
    </sheetView>
  </sheetViews>
  <sheetFormatPr defaultColWidth="8.7265625" defaultRowHeight="13.5" x14ac:dyDescent="0.3"/>
  <cols>
    <col min="1" max="1" width="32.453125" style="22" customWidth="1"/>
    <col min="2" max="3" width="15.1796875" style="22" customWidth="1"/>
    <col min="4" max="4" width="31.453125" style="22" customWidth="1"/>
    <col min="5" max="5" width="61.08984375" style="22" customWidth="1"/>
    <col min="6" max="6" width="8.7265625" style="22"/>
    <col min="7" max="7" width="13.7265625" style="22" bestFit="1" customWidth="1"/>
    <col min="8" max="16384" width="8.7265625" style="22"/>
  </cols>
  <sheetData>
    <row r="1" spans="1:6" ht="15" x14ac:dyDescent="0.3">
      <c r="A1" s="60" t="s">
        <v>34</v>
      </c>
      <c r="B1" s="60"/>
      <c r="C1" s="61"/>
    </row>
    <row r="2" spans="1:6" ht="15" x14ac:dyDescent="0.3">
      <c r="A2" s="60"/>
      <c r="B2" s="60"/>
      <c r="C2" s="61"/>
      <c r="D2" s="62"/>
    </row>
    <row r="3" spans="1:6" ht="15" x14ac:dyDescent="0.3">
      <c r="A3" s="60"/>
      <c r="B3" s="60"/>
      <c r="C3" s="61"/>
    </row>
    <row r="4" spans="1:6" x14ac:dyDescent="0.3">
      <c r="A4" s="63" t="s">
        <v>35</v>
      </c>
      <c r="B4" s="61"/>
      <c r="C4" s="61"/>
    </row>
    <row r="5" spans="1:6" x14ac:dyDescent="0.3">
      <c r="A5" s="61"/>
      <c r="B5" s="61"/>
      <c r="E5" s="64"/>
    </row>
    <row r="6" spans="1:6" x14ac:dyDescent="0.3">
      <c r="A6" s="61"/>
      <c r="B6" s="61"/>
      <c r="E6" s="64"/>
    </row>
    <row r="7" spans="1:6" x14ac:dyDescent="0.3">
      <c r="A7" s="61"/>
      <c r="B7" s="61"/>
      <c r="E7" s="64"/>
    </row>
    <row r="8" spans="1:6" ht="14" thickBot="1" x14ac:dyDescent="0.35"/>
    <row r="9" spans="1:6" x14ac:dyDescent="0.3">
      <c r="A9" s="65" t="s">
        <v>3</v>
      </c>
      <c r="B9" s="66" t="s">
        <v>10</v>
      </c>
      <c r="C9" s="66"/>
      <c r="D9" s="66" t="s">
        <v>2</v>
      </c>
      <c r="E9" s="66" t="s">
        <v>4</v>
      </c>
      <c r="F9" s="67"/>
    </row>
    <row r="10" spans="1:6" x14ac:dyDescent="0.3">
      <c r="A10" s="68"/>
      <c r="B10" s="69" t="s">
        <v>75</v>
      </c>
      <c r="C10" s="69" t="s">
        <v>76</v>
      </c>
      <c r="D10" s="69"/>
      <c r="E10" s="70"/>
      <c r="F10" s="67"/>
    </row>
    <row r="11" spans="1:6" x14ac:dyDescent="0.3">
      <c r="A11" s="71"/>
      <c r="B11" s="72"/>
      <c r="C11" s="72"/>
      <c r="D11" s="72"/>
      <c r="E11" s="73"/>
      <c r="F11" s="67"/>
    </row>
    <row r="12" spans="1:6" ht="15.5" x14ac:dyDescent="0.4">
      <c r="A12" s="71" t="s">
        <v>161</v>
      </c>
      <c r="B12" s="74">
        <v>28</v>
      </c>
      <c r="C12" s="74">
        <v>28</v>
      </c>
      <c r="D12" s="75" t="s">
        <v>162</v>
      </c>
      <c r="E12" s="73" t="s">
        <v>117</v>
      </c>
      <c r="F12" s="67"/>
    </row>
    <row r="13" spans="1:6" ht="15.5" x14ac:dyDescent="0.4">
      <c r="A13" s="71" t="s">
        <v>163</v>
      </c>
      <c r="B13" s="74">
        <v>6.7000000000000002E-4</v>
      </c>
      <c r="C13" s="74">
        <v>6.7000000000000002E-4</v>
      </c>
      <c r="D13" s="75" t="s">
        <v>365</v>
      </c>
      <c r="E13" s="73" t="s">
        <v>346</v>
      </c>
      <c r="F13" s="67"/>
    </row>
    <row r="14" spans="1:6" ht="15.5" x14ac:dyDescent="0.4">
      <c r="A14" s="71" t="s">
        <v>164</v>
      </c>
      <c r="B14" s="76">
        <v>0.76</v>
      </c>
      <c r="C14" s="76">
        <v>0.76</v>
      </c>
      <c r="D14" s="75" t="s">
        <v>1</v>
      </c>
      <c r="E14" s="73" t="s">
        <v>128</v>
      </c>
      <c r="F14" s="77"/>
    </row>
    <row r="15" spans="1:6" x14ac:dyDescent="0.3">
      <c r="A15" s="71" t="s">
        <v>38</v>
      </c>
      <c r="B15" s="74">
        <v>0.94</v>
      </c>
      <c r="C15" s="74">
        <v>0.94</v>
      </c>
      <c r="D15" s="75" t="s">
        <v>0</v>
      </c>
      <c r="E15" s="73" t="s">
        <v>347</v>
      </c>
      <c r="F15" s="77"/>
    </row>
    <row r="16" spans="1:6" x14ac:dyDescent="0.3">
      <c r="A16" s="71" t="s">
        <v>52</v>
      </c>
      <c r="B16" s="74">
        <f>B14*B15</f>
        <v>0.71439999999999992</v>
      </c>
      <c r="C16" s="74">
        <f>C14*C15</f>
        <v>0.71439999999999992</v>
      </c>
      <c r="D16" s="75" t="s">
        <v>0</v>
      </c>
      <c r="E16" s="73" t="s">
        <v>53</v>
      </c>
      <c r="F16" s="77"/>
    </row>
    <row r="17" spans="1:7" ht="15.5" x14ac:dyDescent="0.4">
      <c r="A17" s="71" t="s">
        <v>165</v>
      </c>
      <c r="B17" s="74">
        <v>0.28999999999999998</v>
      </c>
      <c r="C17" s="74">
        <v>0.28999999999999998</v>
      </c>
      <c r="D17" s="75" t="s">
        <v>166</v>
      </c>
      <c r="E17" s="73" t="s">
        <v>48</v>
      </c>
      <c r="F17" s="67"/>
    </row>
    <row r="18" spans="1:7" ht="15" customHeight="1" x14ac:dyDescent="0.3">
      <c r="A18" s="71" t="s">
        <v>167</v>
      </c>
      <c r="B18" s="78"/>
      <c r="C18" s="78"/>
      <c r="D18" s="459" t="s">
        <v>68</v>
      </c>
      <c r="E18" s="461" t="s">
        <v>360</v>
      </c>
      <c r="F18" s="67"/>
    </row>
    <row r="19" spans="1:7" ht="15" customHeight="1" x14ac:dyDescent="0.3">
      <c r="A19" s="79" t="str">
        <f>'monitoring results'!A4</f>
        <v>20/01/2021-31/01/2021</v>
      </c>
      <c r="B19" s="78">
        <f>'monitoring results'!B4</f>
        <v>152825</v>
      </c>
      <c r="C19" s="78">
        <f>'monitoring results'!C4</f>
        <v>89885</v>
      </c>
      <c r="D19" s="450"/>
      <c r="E19" s="462"/>
      <c r="F19" s="67"/>
    </row>
    <row r="20" spans="1:7" ht="15" customHeight="1" x14ac:dyDescent="0.3">
      <c r="A20" s="79" t="str">
        <f>'monitoring results'!A5</f>
        <v>01/02/1021-28/02/2021</v>
      </c>
      <c r="B20" s="78">
        <f>'monitoring results'!B5</f>
        <v>152825</v>
      </c>
      <c r="C20" s="78">
        <f>'monitoring results'!C5</f>
        <v>89832</v>
      </c>
      <c r="D20" s="450"/>
      <c r="E20" s="462"/>
      <c r="F20" s="67"/>
    </row>
    <row r="21" spans="1:7" ht="15" customHeight="1" x14ac:dyDescent="0.3">
      <c r="A21" s="79" t="str">
        <f>'monitoring results'!A6</f>
        <v>01/03/2021-31/03/3021</v>
      </c>
      <c r="B21" s="78">
        <f>'monitoring results'!B6</f>
        <v>152825</v>
      </c>
      <c r="C21" s="78">
        <f>'monitoring results'!C6</f>
        <v>89845</v>
      </c>
      <c r="D21" s="450"/>
      <c r="E21" s="462"/>
      <c r="F21" s="67"/>
    </row>
    <row r="22" spans="1:7" ht="15" customHeight="1" x14ac:dyDescent="0.3">
      <c r="A22" s="79" t="str">
        <f>'monitoring results'!A7</f>
        <v>01/04/2021-30/04/2021</v>
      </c>
      <c r="B22" s="78">
        <f>'monitoring results'!B7</f>
        <v>152825</v>
      </c>
      <c r="C22" s="78">
        <f>'monitoring results'!C7</f>
        <v>89915</v>
      </c>
      <c r="D22" s="450"/>
      <c r="E22" s="462"/>
      <c r="F22" s="67"/>
    </row>
    <row r="23" spans="1:7" ht="15" customHeight="1" x14ac:dyDescent="0.3">
      <c r="A23" s="79" t="str">
        <f>'monitoring results'!A8</f>
        <v>01/05/2021-31/05/2021</v>
      </c>
      <c r="B23" s="78">
        <f>'monitoring results'!B8</f>
        <v>152825</v>
      </c>
      <c r="C23" s="78">
        <f>'monitoring results'!C8</f>
        <v>89809</v>
      </c>
      <c r="D23" s="450"/>
      <c r="E23" s="462"/>
      <c r="F23" s="67"/>
    </row>
    <row r="24" spans="1:7" ht="15" customHeight="1" x14ac:dyDescent="0.3">
      <c r="A24" s="79" t="str">
        <f>'monitoring results'!A9</f>
        <v>01/06/2021-30/06/2021</v>
      </c>
      <c r="B24" s="78">
        <f>'monitoring results'!B9</f>
        <v>152825</v>
      </c>
      <c r="C24" s="78">
        <f>'monitoring results'!C9</f>
        <v>89754</v>
      </c>
      <c r="D24" s="450"/>
      <c r="E24" s="462"/>
      <c r="F24" s="67"/>
    </row>
    <row r="25" spans="1:7" ht="15" customHeight="1" x14ac:dyDescent="0.3">
      <c r="A25" s="79" t="str">
        <f>'monitoring results'!A10</f>
        <v>01/07/2021-31/07/2021</v>
      </c>
      <c r="B25" s="78">
        <f>'monitoring results'!B10</f>
        <v>152825</v>
      </c>
      <c r="C25" s="78">
        <f>'monitoring results'!C10</f>
        <v>89905</v>
      </c>
      <c r="D25" s="450"/>
      <c r="E25" s="462"/>
      <c r="F25" s="67"/>
    </row>
    <row r="26" spans="1:7" ht="15" customHeight="1" x14ac:dyDescent="0.3">
      <c r="A26" s="79" t="str">
        <f>'monitoring results'!A11</f>
        <v>01/08/2021-31/08/2021</v>
      </c>
      <c r="B26" s="78">
        <f>'monitoring results'!B11</f>
        <v>152825</v>
      </c>
      <c r="C26" s="78">
        <f>'monitoring results'!C11</f>
        <v>89670</v>
      </c>
      <c r="D26" s="450"/>
      <c r="E26" s="462"/>
      <c r="F26" s="67"/>
      <c r="G26" s="80"/>
    </row>
    <row r="27" spans="1:7" ht="15" customHeight="1" x14ac:dyDescent="0.3">
      <c r="A27" s="79" t="str">
        <f>'monitoring results'!A12</f>
        <v>01/09/2021-30/09/2021</v>
      </c>
      <c r="B27" s="78">
        <f>'monitoring results'!B12</f>
        <v>152825</v>
      </c>
      <c r="C27" s="78">
        <f>'monitoring results'!C12</f>
        <v>89854</v>
      </c>
      <c r="D27" s="450"/>
      <c r="E27" s="462"/>
      <c r="F27" s="67"/>
      <c r="G27" s="80"/>
    </row>
    <row r="28" spans="1:7" ht="15" customHeight="1" x14ac:dyDescent="0.3">
      <c r="A28" s="79" t="str">
        <f>'monitoring results'!A13</f>
        <v>01/10/2021-31/10/2021</v>
      </c>
      <c r="B28" s="78">
        <f>'monitoring results'!B13</f>
        <v>152825</v>
      </c>
      <c r="C28" s="78">
        <f>'monitoring results'!C13</f>
        <v>89790</v>
      </c>
      <c r="D28" s="450"/>
      <c r="E28" s="462"/>
      <c r="F28" s="67"/>
      <c r="G28" s="80"/>
    </row>
    <row r="29" spans="1:7" ht="15" customHeight="1" x14ac:dyDescent="0.3">
      <c r="A29" s="79" t="str">
        <f>'monitoring results'!A14</f>
        <v>01/11/2021-30/11/2021</v>
      </c>
      <c r="B29" s="78">
        <f>'monitoring results'!B14</f>
        <v>152825</v>
      </c>
      <c r="C29" s="78">
        <f>'monitoring results'!C14</f>
        <v>89905</v>
      </c>
      <c r="D29" s="450"/>
      <c r="E29" s="462"/>
      <c r="F29" s="67"/>
      <c r="G29" s="80"/>
    </row>
    <row r="30" spans="1:7" ht="15" customHeight="1" x14ac:dyDescent="0.3">
      <c r="A30" s="79" t="str">
        <f>'monitoring results'!A15</f>
        <v>01/12/2021-31/12/2021</v>
      </c>
      <c r="B30" s="78">
        <f>'monitoring results'!B15</f>
        <v>152825</v>
      </c>
      <c r="C30" s="78">
        <f>'monitoring results'!C15</f>
        <v>89761</v>
      </c>
      <c r="D30" s="450"/>
      <c r="E30" s="462"/>
      <c r="F30" s="67"/>
      <c r="G30" s="80"/>
    </row>
    <row r="31" spans="1:7" ht="15" customHeight="1" x14ac:dyDescent="0.3">
      <c r="A31" s="79" t="str">
        <f>'monitoring results'!A16</f>
        <v>01/01/2022-31/01/2022</v>
      </c>
      <c r="B31" s="78">
        <f>'monitoring results'!B16</f>
        <v>152825</v>
      </c>
      <c r="C31" s="78">
        <f>'monitoring results'!C16</f>
        <v>89894</v>
      </c>
      <c r="D31" s="450"/>
      <c r="E31" s="462"/>
      <c r="F31" s="67"/>
      <c r="G31" s="80"/>
    </row>
    <row r="32" spans="1:7" ht="15" customHeight="1" x14ac:dyDescent="0.3">
      <c r="A32" s="79" t="str">
        <f>'monitoring results'!A17</f>
        <v>01/02/2022-28/02/2022</v>
      </c>
      <c r="B32" s="78">
        <f>'monitoring results'!B17</f>
        <v>152825</v>
      </c>
      <c r="C32" s="78">
        <f>'monitoring results'!C17</f>
        <v>89820</v>
      </c>
      <c r="D32" s="450"/>
      <c r="E32" s="463"/>
      <c r="F32" s="67"/>
      <c r="G32" s="80"/>
    </row>
    <row r="33" spans="1:7" ht="15" customHeight="1" x14ac:dyDescent="0.3">
      <c r="A33" s="79" t="str">
        <f>'monitoring results'!A18</f>
        <v>01/03/2022-31/03/2022</v>
      </c>
      <c r="B33" s="78">
        <f>'monitoring results'!B18</f>
        <v>152825</v>
      </c>
      <c r="C33" s="78">
        <f>'monitoring results'!C18</f>
        <v>89703</v>
      </c>
      <c r="D33" s="460"/>
      <c r="E33" s="81"/>
      <c r="F33" s="67"/>
      <c r="G33" s="80"/>
    </row>
    <row r="34" spans="1:7" ht="15" customHeight="1" x14ac:dyDescent="0.3">
      <c r="A34" s="82" t="s">
        <v>168</v>
      </c>
      <c r="B34" s="83"/>
      <c r="C34" s="83"/>
      <c r="D34" s="459" t="s">
        <v>105</v>
      </c>
      <c r="E34" s="464" t="s">
        <v>104</v>
      </c>
      <c r="F34" s="67"/>
    </row>
    <row r="35" spans="1:7" ht="15" customHeight="1" x14ac:dyDescent="0.3">
      <c r="A35" s="79" t="str">
        <f t="shared" ref="A35:A49" si="0">A19</f>
        <v>20/01/2021-31/01/2021</v>
      </c>
      <c r="B35" s="83">
        <f>'monitoring results'!D4</f>
        <v>60.8</v>
      </c>
      <c r="C35" s="83">
        <f>'monitoring results'!E4</f>
        <v>79.599999999999994</v>
      </c>
      <c r="D35" s="450"/>
      <c r="E35" s="465"/>
      <c r="F35" s="67"/>
    </row>
    <row r="36" spans="1:7" ht="15" customHeight="1" x14ac:dyDescent="0.3">
      <c r="A36" s="79" t="str">
        <f t="shared" si="0"/>
        <v>01/02/1021-28/02/2021</v>
      </c>
      <c r="B36" s="83">
        <f>'monitoring results'!D5</f>
        <v>61.6</v>
      </c>
      <c r="C36" s="83">
        <f>'monitoring results'!E5</f>
        <v>77.099999999999994</v>
      </c>
      <c r="D36" s="450"/>
      <c r="E36" s="465"/>
      <c r="F36" s="67"/>
    </row>
    <row r="37" spans="1:7" ht="15" customHeight="1" x14ac:dyDescent="0.3">
      <c r="A37" s="79" t="str">
        <f t="shared" si="0"/>
        <v>01/03/2021-31/03/3021</v>
      </c>
      <c r="B37" s="83">
        <f>'monitoring results'!D6</f>
        <v>62.2</v>
      </c>
      <c r="C37" s="83">
        <f>'monitoring results'!E6</f>
        <v>77.5</v>
      </c>
      <c r="D37" s="450"/>
      <c r="E37" s="465"/>
      <c r="F37" s="67"/>
    </row>
    <row r="38" spans="1:7" ht="15" customHeight="1" x14ac:dyDescent="0.3">
      <c r="A38" s="79" t="str">
        <f t="shared" si="0"/>
        <v>01/04/2021-30/04/2021</v>
      </c>
      <c r="B38" s="83">
        <f>'monitoring results'!D7</f>
        <v>62.2</v>
      </c>
      <c r="C38" s="83">
        <f>'monitoring results'!E7</f>
        <v>78</v>
      </c>
      <c r="D38" s="450"/>
      <c r="E38" s="465"/>
      <c r="F38" s="67"/>
    </row>
    <row r="39" spans="1:7" ht="15" customHeight="1" x14ac:dyDescent="0.3">
      <c r="A39" s="79" t="str">
        <f t="shared" si="0"/>
        <v>01/05/2021-31/05/2021</v>
      </c>
      <c r="B39" s="83">
        <f>'monitoring results'!D8</f>
        <v>61.3</v>
      </c>
      <c r="C39" s="83">
        <f>'monitoring results'!E8</f>
        <v>78.5</v>
      </c>
      <c r="D39" s="450"/>
      <c r="E39" s="465"/>
      <c r="F39" s="67"/>
    </row>
    <row r="40" spans="1:7" ht="15" customHeight="1" x14ac:dyDescent="0.3">
      <c r="A40" s="79" t="str">
        <f t="shared" si="0"/>
        <v>01/06/2021-30/06/2021</v>
      </c>
      <c r="B40" s="83">
        <f>'monitoring results'!D9</f>
        <v>61.3</v>
      </c>
      <c r="C40" s="83">
        <f>'monitoring results'!E9</f>
        <v>77.8</v>
      </c>
      <c r="D40" s="450"/>
      <c r="E40" s="465"/>
      <c r="F40" s="67"/>
    </row>
    <row r="41" spans="1:7" ht="15" customHeight="1" x14ac:dyDescent="0.3">
      <c r="A41" s="79" t="str">
        <f t="shared" si="0"/>
        <v>01/07/2021-31/07/2021</v>
      </c>
      <c r="B41" s="83">
        <f>'monitoring results'!D10</f>
        <v>61.3</v>
      </c>
      <c r="C41" s="83">
        <f>'monitoring results'!E10</f>
        <v>77.900000000000006</v>
      </c>
      <c r="D41" s="450"/>
      <c r="E41" s="465"/>
      <c r="F41" s="67"/>
    </row>
    <row r="42" spans="1:7" ht="15" customHeight="1" x14ac:dyDescent="0.3">
      <c r="A42" s="79" t="str">
        <f t="shared" si="0"/>
        <v>01/08/2021-31/08/2021</v>
      </c>
      <c r="B42" s="83">
        <f>'monitoring results'!D11</f>
        <v>62.1</v>
      </c>
      <c r="C42" s="83">
        <f>'monitoring results'!E11</f>
        <v>78.099999999999994</v>
      </c>
      <c r="D42" s="450"/>
      <c r="E42" s="465"/>
      <c r="F42" s="67"/>
    </row>
    <row r="43" spans="1:7" ht="15" customHeight="1" x14ac:dyDescent="0.3">
      <c r="A43" s="79" t="str">
        <f t="shared" si="0"/>
        <v>01/09/2021-30/09/2021</v>
      </c>
      <c r="B43" s="83">
        <f>'monitoring results'!D12</f>
        <v>61.6</v>
      </c>
      <c r="C43" s="83">
        <f>'monitoring results'!E12</f>
        <v>77.5</v>
      </c>
      <c r="D43" s="450"/>
      <c r="E43" s="465"/>
      <c r="F43" s="67"/>
    </row>
    <row r="44" spans="1:7" ht="15" customHeight="1" x14ac:dyDescent="0.3">
      <c r="A44" s="79" t="str">
        <f t="shared" si="0"/>
        <v>01/10/2021-31/10/2021</v>
      </c>
      <c r="B44" s="83">
        <f>'monitoring results'!D13</f>
        <v>61.4</v>
      </c>
      <c r="C44" s="83">
        <f>'monitoring results'!E13</f>
        <v>77.400000000000006</v>
      </c>
      <c r="D44" s="450"/>
      <c r="E44" s="465"/>
      <c r="F44" s="67"/>
    </row>
    <row r="45" spans="1:7" ht="15" customHeight="1" x14ac:dyDescent="0.3">
      <c r="A45" s="79" t="str">
        <f t="shared" si="0"/>
        <v>01/11/2021-30/11/2021</v>
      </c>
      <c r="B45" s="83">
        <f>'monitoring results'!D14</f>
        <v>60.6</v>
      </c>
      <c r="C45" s="83">
        <f>'monitoring results'!E14</f>
        <v>77.5</v>
      </c>
      <c r="D45" s="450"/>
      <c r="E45" s="465"/>
      <c r="F45" s="67"/>
    </row>
    <row r="46" spans="1:7" ht="15" customHeight="1" x14ac:dyDescent="0.3">
      <c r="A46" s="79" t="str">
        <f t="shared" si="0"/>
        <v>01/12/2021-31/12/2021</v>
      </c>
      <c r="B46" s="83">
        <f>'monitoring results'!D15</f>
        <v>61.7</v>
      </c>
      <c r="C46" s="83">
        <f>'monitoring results'!E15</f>
        <v>77.5</v>
      </c>
      <c r="D46" s="450"/>
      <c r="E46" s="465"/>
      <c r="F46" s="67"/>
    </row>
    <row r="47" spans="1:7" ht="15" customHeight="1" x14ac:dyDescent="0.3">
      <c r="A47" s="79" t="str">
        <f t="shared" si="0"/>
        <v>01/01/2022-31/01/2022</v>
      </c>
      <c r="B47" s="83">
        <f>'monitoring results'!D16</f>
        <v>60.4</v>
      </c>
      <c r="C47" s="83">
        <f>'monitoring results'!E16</f>
        <v>79.400000000000006</v>
      </c>
      <c r="D47" s="450"/>
      <c r="E47" s="465"/>
      <c r="F47" s="67"/>
    </row>
    <row r="48" spans="1:7" ht="15" customHeight="1" x14ac:dyDescent="0.3">
      <c r="A48" s="79" t="str">
        <f t="shared" si="0"/>
        <v>01/02/2022-28/02/2022</v>
      </c>
      <c r="B48" s="83">
        <f>'monitoring results'!D17</f>
        <v>61.6</v>
      </c>
      <c r="C48" s="83">
        <f>'monitoring results'!E17</f>
        <v>77.900000000000006</v>
      </c>
      <c r="D48" s="450"/>
      <c r="E48" s="465"/>
      <c r="F48" s="67"/>
    </row>
    <row r="49" spans="1:7" ht="15" customHeight="1" x14ac:dyDescent="0.3">
      <c r="A49" s="79" t="str">
        <f t="shared" si="0"/>
        <v>01/03/2022-31/03/2022</v>
      </c>
      <c r="B49" s="83">
        <f>'monitoring results'!D18</f>
        <v>62</v>
      </c>
      <c r="C49" s="83">
        <f>'monitoring results'!E18</f>
        <v>77.900000000000006</v>
      </c>
      <c r="D49" s="460"/>
      <c r="E49" s="466"/>
      <c r="F49" s="67"/>
    </row>
    <row r="50" spans="1:7" ht="15" customHeight="1" x14ac:dyDescent="0.4">
      <c r="A50" s="71" t="s">
        <v>169</v>
      </c>
      <c r="B50" s="78">
        <f>B153</f>
        <v>28</v>
      </c>
      <c r="C50" s="78">
        <f>C153</f>
        <v>28</v>
      </c>
      <c r="D50" s="75" t="s">
        <v>105</v>
      </c>
      <c r="E50" s="73" t="s">
        <v>48</v>
      </c>
      <c r="F50" s="67"/>
    </row>
    <row r="51" spans="1:7" x14ac:dyDescent="0.3">
      <c r="A51" s="84" t="s">
        <v>170</v>
      </c>
      <c r="B51" s="74">
        <v>0.3</v>
      </c>
      <c r="C51" s="74">
        <v>0.3</v>
      </c>
      <c r="D51" s="75" t="s">
        <v>6</v>
      </c>
      <c r="E51" s="73" t="str">
        <f>E17</f>
        <v>2006 IPCC guideline, volume 4, chapter 10, tbl. 10A-7</v>
      </c>
      <c r="F51" s="67"/>
    </row>
    <row r="52" spans="1:7" ht="20.5" customHeight="1" x14ac:dyDescent="0.3">
      <c r="A52" s="84" t="s">
        <v>171</v>
      </c>
      <c r="B52" s="85"/>
      <c r="C52" s="85"/>
      <c r="D52" s="459" t="s">
        <v>93</v>
      </c>
      <c r="E52" s="471" t="s">
        <v>106</v>
      </c>
      <c r="F52" s="67"/>
    </row>
    <row r="53" spans="1:7" x14ac:dyDescent="0.3">
      <c r="A53" s="79" t="str">
        <f t="shared" ref="A53:A67" si="1">A35</f>
        <v>20/01/2021-31/01/2021</v>
      </c>
      <c r="B53" s="85">
        <f t="shared" ref="B53:B67" si="2">(B35/$B$50)*$B$51*B70</f>
        <v>7.8171428571428567</v>
      </c>
      <c r="C53" s="85">
        <f>(C35/$C$50)*$C$51*C70</f>
        <v>10.234285714285713</v>
      </c>
      <c r="D53" s="450"/>
      <c r="E53" s="472"/>
      <c r="F53" s="67"/>
    </row>
    <row r="54" spans="1:7" x14ac:dyDescent="0.3">
      <c r="A54" s="79" t="str">
        <f t="shared" si="1"/>
        <v>01/02/1021-28/02/2021</v>
      </c>
      <c r="B54" s="85">
        <f t="shared" si="2"/>
        <v>18.48</v>
      </c>
      <c r="C54" s="85">
        <f t="shared" ref="C54:C67" si="3">(C36/$C$50)*$C$51*C71</f>
        <v>23.13</v>
      </c>
      <c r="D54" s="450"/>
      <c r="E54" s="472"/>
      <c r="F54" s="67"/>
    </row>
    <row r="55" spans="1:7" x14ac:dyDescent="0.3">
      <c r="A55" s="79" t="str">
        <f t="shared" si="1"/>
        <v>01/03/2021-31/03/3021</v>
      </c>
      <c r="B55" s="85">
        <f t="shared" si="2"/>
        <v>20.659285714285716</v>
      </c>
      <c r="C55" s="85">
        <f t="shared" si="3"/>
        <v>25.741071428571427</v>
      </c>
      <c r="D55" s="450"/>
      <c r="E55" s="472"/>
      <c r="F55" s="67"/>
    </row>
    <row r="56" spans="1:7" x14ac:dyDescent="0.3">
      <c r="A56" s="79" t="str">
        <f t="shared" si="1"/>
        <v>01/04/2021-30/04/2021</v>
      </c>
      <c r="B56" s="85">
        <f t="shared" si="2"/>
        <v>19.992857142857144</v>
      </c>
      <c r="C56" s="85">
        <f t="shared" si="3"/>
        <v>25.071428571428569</v>
      </c>
      <c r="D56" s="450"/>
      <c r="E56" s="472"/>
      <c r="F56" s="67"/>
    </row>
    <row r="57" spans="1:7" x14ac:dyDescent="0.3">
      <c r="A57" s="79" t="str">
        <f t="shared" si="1"/>
        <v>01/05/2021-31/05/2021</v>
      </c>
      <c r="B57" s="85">
        <f t="shared" si="2"/>
        <v>20.36035714285714</v>
      </c>
      <c r="C57" s="85">
        <f t="shared" si="3"/>
        <v>26.073214285714283</v>
      </c>
      <c r="D57" s="450"/>
      <c r="E57" s="472"/>
      <c r="F57" s="67"/>
      <c r="G57" s="80"/>
    </row>
    <row r="58" spans="1:7" x14ac:dyDescent="0.3">
      <c r="A58" s="79" t="str">
        <f t="shared" si="1"/>
        <v>01/06/2021-30/06/2021</v>
      </c>
      <c r="B58" s="85">
        <f t="shared" si="2"/>
        <v>19.703571428571426</v>
      </c>
      <c r="C58" s="85">
        <f t="shared" si="3"/>
        <v>25.007142857142856</v>
      </c>
      <c r="D58" s="450"/>
      <c r="E58" s="472"/>
      <c r="F58" s="67"/>
      <c r="G58" s="80"/>
    </row>
    <row r="59" spans="1:7" x14ac:dyDescent="0.3">
      <c r="A59" s="79" t="str">
        <f t="shared" si="1"/>
        <v>01/07/2021-31/07/2021</v>
      </c>
      <c r="B59" s="85">
        <f t="shared" si="2"/>
        <v>20.36035714285714</v>
      </c>
      <c r="C59" s="85">
        <f t="shared" si="3"/>
        <v>25.873928571428575</v>
      </c>
      <c r="D59" s="450"/>
      <c r="E59" s="472"/>
      <c r="F59" s="67"/>
    </row>
    <row r="60" spans="1:7" x14ac:dyDescent="0.3">
      <c r="A60" s="79" t="str">
        <f t="shared" si="1"/>
        <v>01/08/2021-31/08/2021</v>
      </c>
      <c r="B60" s="85">
        <f t="shared" si="2"/>
        <v>20.626071428571429</v>
      </c>
      <c r="C60" s="85">
        <f>(C42/$C$50)*$C$51*C77</f>
        <v>25.940357142857142</v>
      </c>
      <c r="D60" s="450"/>
      <c r="E60" s="472"/>
      <c r="F60" s="67"/>
    </row>
    <row r="61" spans="1:7" x14ac:dyDescent="0.3">
      <c r="A61" s="79" t="str">
        <f t="shared" si="1"/>
        <v>01/09/2021-30/09/2021</v>
      </c>
      <c r="B61" s="85">
        <f t="shared" si="2"/>
        <v>19.8</v>
      </c>
      <c r="C61" s="85">
        <f t="shared" si="3"/>
        <v>24.910714285714285</v>
      </c>
      <c r="D61" s="450"/>
      <c r="E61" s="472"/>
      <c r="F61" s="67"/>
    </row>
    <row r="62" spans="1:7" x14ac:dyDescent="0.3">
      <c r="A62" s="79" t="str">
        <f t="shared" si="1"/>
        <v>01/10/2021-31/10/2021</v>
      </c>
      <c r="B62" s="85">
        <f t="shared" si="2"/>
        <v>20.393571428571427</v>
      </c>
      <c r="C62" s="85">
        <f t="shared" si="3"/>
        <v>25.707857142857147</v>
      </c>
      <c r="D62" s="450"/>
      <c r="E62" s="472"/>
      <c r="F62" s="67"/>
    </row>
    <row r="63" spans="1:7" x14ac:dyDescent="0.3">
      <c r="A63" s="79" t="str">
        <f t="shared" si="1"/>
        <v>01/11/2021-30/11/2021</v>
      </c>
      <c r="B63" s="85">
        <f t="shared" si="2"/>
        <v>19.478571428571428</v>
      </c>
      <c r="C63" s="85">
        <f t="shared" si="3"/>
        <v>24.910714285714285</v>
      </c>
      <c r="D63" s="450"/>
      <c r="E63" s="472"/>
      <c r="F63" s="67"/>
    </row>
    <row r="64" spans="1:7" x14ac:dyDescent="0.3">
      <c r="A64" s="79" t="str">
        <f t="shared" si="1"/>
        <v>01/12/2021-31/12/2021</v>
      </c>
      <c r="B64" s="85">
        <f t="shared" si="2"/>
        <v>20.493214285714288</v>
      </c>
      <c r="C64" s="85">
        <f t="shared" si="3"/>
        <v>25.741071428571427</v>
      </c>
      <c r="D64" s="450"/>
      <c r="E64" s="472"/>
      <c r="F64" s="67"/>
    </row>
    <row r="65" spans="1:6" x14ac:dyDescent="0.3">
      <c r="A65" s="79" t="str">
        <f t="shared" si="1"/>
        <v>01/01/2022-31/01/2022</v>
      </c>
      <c r="B65" s="85">
        <f t="shared" si="2"/>
        <v>20.061428571428571</v>
      </c>
      <c r="C65" s="85">
        <f t="shared" si="3"/>
        <v>26.372142857142858</v>
      </c>
      <c r="D65" s="450"/>
      <c r="E65" s="472"/>
      <c r="F65" s="67"/>
    </row>
    <row r="66" spans="1:6" x14ac:dyDescent="0.3">
      <c r="A66" s="79" t="str">
        <f t="shared" si="1"/>
        <v>01/02/2022-28/02/2022</v>
      </c>
      <c r="B66" s="85">
        <f t="shared" si="2"/>
        <v>18.48</v>
      </c>
      <c r="C66" s="85">
        <f t="shared" si="3"/>
        <v>23.370000000000005</v>
      </c>
      <c r="D66" s="450"/>
      <c r="E66" s="472"/>
      <c r="F66" s="67"/>
    </row>
    <row r="67" spans="1:6" x14ac:dyDescent="0.3">
      <c r="A67" s="79" t="str">
        <f t="shared" si="1"/>
        <v>01/03/2022-31/03/2022</v>
      </c>
      <c r="B67" s="85">
        <f t="shared" si="2"/>
        <v>20.592857142857142</v>
      </c>
      <c r="C67" s="85">
        <f t="shared" si="3"/>
        <v>25.873928571428575</v>
      </c>
      <c r="D67" s="460"/>
      <c r="E67" s="473"/>
      <c r="F67" s="67"/>
    </row>
    <row r="68" spans="1:6" x14ac:dyDescent="0.3">
      <c r="A68" s="71" t="s">
        <v>172</v>
      </c>
      <c r="B68" s="76">
        <v>1</v>
      </c>
      <c r="C68" s="76">
        <v>1</v>
      </c>
      <c r="D68" s="75" t="s">
        <v>1</v>
      </c>
      <c r="E68" s="73" t="s">
        <v>107</v>
      </c>
      <c r="F68" s="67"/>
    </row>
    <row r="69" spans="1:6" ht="15.5" x14ac:dyDescent="0.4">
      <c r="A69" s="71" t="s">
        <v>361</v>
      </c>
      <c r="B69" s="74"/>
      <c r="C69" s="74"/>
      <c r="D69" s="459" t="s">
        <v>51</v>
      </c>
      <c r="E69" s="474" t="s">
        <v>362</v>
      </c>
      <c r="F69" s="67"/>
    </row>
    <row r="70" spans="1:6" x14ac:dyDescent="0.3">
      <c r="A70" s="79" t="str">
        <f t="shared" ref="A70:A84" si="4">A53</f>
        <v>20/01/2021-31/01/2021</v>
      </c>
      <c r="B70" s="74">
        <v>12</v>
      </c>
      <c r="C70" s="74">
        <f t="shared" ref="C70:C84" si="5">B70</f>
        <v>12</v>
      </c>
      <c r="D70" s="450"/>
      <c r="E70" s="474"/>
      <c r="F70" s="67"/>
    </row>
    <row r="71" spans="1:6" x14ac:dyDescent="0.3">
      <c r="A71" s="79" t="str">
        <f t="shared" si="4"/>
        <v>01/02/1021-28/02/2021</v>
      </c>
      <c r="B71" s="74">
        <v>28</v>
      </c>
      <c r="C71" s="74">
        <f t="shared" si="5"/>
        <v>28</v>
      </c>
      <c r="D71" s="450"/>
      <c r="E71" s="474"/>
      <c r="F71" s="67"/>
    </row>
    <row r="72" spans="1:6" x14ac:dyDescent="0.3">
      <c r="A72" s="79" t="str">
        <f t="shared" si="4"/>
        <v>01/03/2021-31/03/3021</v>
      </c>
      <c r="B72" s="74">
        <v>31</v>
      </c>
      <c r="C72" s="74">
        <f t="shared" si="5"/>
        <v>31</v>
      </c>
      <c r="D72" s="450"/>
      <c r="E72" s="474"/>
      <c r="F72" s="67"/>
    </row>
    <row r="73" spans="1:6" x14ac:dyDescent="0.3">
      <c r="A73" s="79" t="str">
        <f t="shared" si="4"/>
        <v>01/04/2021-30/04/2021</v>
      </c>
      <c r="B73" s="74">
        <v>30</v>
      </c>
      <c r="C73" s="74">
        <f t="shared" si="5"/>
        <v>30</v>
      </c>
      <c r="D73" s="450"/>
      <c r="E73" s="474"/>
      <c r="F73" s="67"/>
    </row>
    <row r="74" spans="1:6" x14ac:dyDescent="0.3">
      <c r="A74" s="79" t="str">
        <f t="shared" si="4"/>
        <v>01/05/2021-31/05/2021</v>
      </c>
      <c r="B74" s="74">
        <v>31</v>
      </c>
      <c r="C74" s="74">
        <f t="shared" si="5"/>
        <v>31</v>
      </c>
      <c r="D74" s="450"/>
      <c r="E74" s="474"/>
      <c r="F74" s="67"/>
    </row>
    <row r="75" spans="1:6" x14ac:dyDescent="0.3">
      <c r="A75" s="79" t="str">
        <f t="shared" si="4"/>
        <v>01/06/2021-30/06/2021</v>
      </c>
      <c r="B75" s="74">
        <v>30</v>
      </c>
      <c r="C75" s="74">
        <f t="shared" si="5"/>
        <v>30</v>
      </c>
      <c r="D75" s="450"/>
      <c r="E75" s="474"/>
      <c r="F75" s="67"/>
    </row>
    <row r="76" spans="1:6" x14ac:dyDescent="0.3">
      <c r="A76" s="79" t="str">
        <f t="shared" si="4"/>
        <v>01/07/2021-31/07/2021</v>
      </c>
      <c r="B76" s="74">
        <v>31</v>
      </c>
      <c r="C76" s="74">
        <f t="shared" si="5"/>
        <v>31</v>
      </c>
      <c r="D76" s="450"/>
      <c r="E76" s="474"/>
      <c r="F76" s="67"/>
    </row>
    <row r="77" spans="1:6" x14ac:dyDescent="0.3">
      <c r="A77" s="79" t="str">
        <f t="shared" si="4"/>
        <v>01/08/2021-31/08/2021</v>
      </c>
      <c r="B77" s="74">
        <v>31</v>
      </c>
      <c r="C77" s="74">
        <f t="shared" si="5"/>
        <v>31</v>
      </c>
      <c r="D77" s="450"/>
      <c r="E77" s="474"/>
      <c r="F77" s="67"/>
    </row>
    <row r="78" spans="1:6" x14ac:dyDescent="0.3">
      <c r="A78" s="79" t="str">
        <f t="shared" si="4"/>
        <v>01/09/2021-30/09/2021</v>
      </c>
      <c r="B78" s="74">
        <v>30</v>
      </c>
      <c r="C78" s="74">
        <f t="shared" si="5"/>
        <v>30</v>
      </c>
      <c r="D78" s="450"/>
      <c r="E78" s="474"/>
      <c r="F78" s="67"/>
    </row>
    <row r="79" spans="1:6" x14ac:dyDescent="0.3">
      <c r="A79" s="79" t="str">
        <f t="shared" si="4"/>
        <v>01/10/2021-31/10/2021</v>
      </c>
      <c r="B79" s="74">
        <v>31</v>
      </c>
      <c r="C79" s="74">
        <f t="shared" si="5"/>
        <v>31</v>
      </c>
      <c r="D79" s="450"/>
      <c r="E79" s="474"/>
      <c r="F79" s="67"/>
    </row>
    <row r="80" spans="1:6" x14ac:dyDescent="0.3">
      <c r="A80" s="79" t="str">
        <f t="shared" si="4"/>
        <v>01/11/2021-30/11/2021</v>
      </c>
      <c r="B80" s="74">
        <v>30</v>
      </c>
      <c r="C80" s="74">
        <f t="shared" si="5"/>
        <v>30</v>
      </c>
      <c r="D80" s="450"/>
      <c r="E80" s="474"/>
      <c r="F80" s="67"/>
    </row>
    <row r="81" spans="1:6" x14ac:dyDescent="0.3">
      <c r="A81" s="79" t="str">
        <f t="shared" si="4"/>
        <v>01/12/2021-31/12/2021</v>
      </c>
      <c r="B81" s="74">
        <v>31</v>
      </c>
      <c r="C81" s="74">
        <f t="shared" si="5"/>
        <v>31</v>
      </c>
      <c r="D81" s="450"/>
      <c r="E81" s="474"/>
      <c r="F81" s="67"/>
    </row>
    <row r="82" spans="1:6" x14ac:dyDescent="0.3">
      <c r="A82" s="79" t="str">
        <f t="shared" si="4"/>
        <v>01/01/2022-31/01/2022</v>
      </c>
      <c r="B82" s="74">
        <v>31</v>
      </c>
      <c r="C82" s="74">
        <f t="shared" si="5"/>
        <v>31</v>
      </c>
      <c r="D82" s="450"/>
      <c r="E82" s="474"/>
      <c r="F82" s="67"/>
    </row>
    <row r="83" spans="1:6" x14ac:dyDescent="0.3">
      <c r="A83" s="79" t="str">
        <f t="shared" si="4"/>
        <v>01/02/2022-28/02/2022</v>
      </c>
      <c r="B83" s="74">
        <v>28</v>
      </c>
      <c r="C83" s="74">
        <f t="shared" si="5"/>
        <v>28</v>
      </c>
      <c r="D83" s="450"/>
      <c r="E83" s="474"/>
      <c r="F83" s="67"/>
    </row>
    <row r="84" spans="1:6" x14ac:dyDescent="0.3">
      <c r="A84" s="79" t="str">
        <f t="shared" si="4"/>
        <v>01/03/2022-31/03/2022</v>
      </c>
      <c r="B84" s="74">
        <v>31</v>
      </c>
      <c r="C84" s="74">
        <f t="shared" si="5"/>
        <v>31</v>
      </c>
      <c r="D84" s="450"/>
      <c r="E84" s="474"/>
      <c r="F84" s="67"/>
    </row>
    <row r="85" spans="1:6" ht="15.5" x14ac:dyDescent="0.4">
      <c r="A85" s="79" t="s">
        <v>173</v>
      </c>
      <c r="B85" s="74"/>
      <c r="C85" s="74"/>
      <c r="D85" s="75"/>
      <c r="E85" s="73"/>
      <c r="F85" s="67"/>
    </row>
    <row r="86" spans="1:6" ht="15.5" x14ac:dyDescent="0.4">
      <c r="A86" s="79" t="str">
        <f t="shared" ref="A86:A100" si="6">A70</f>
        <v>20/01/2021-31/01/2021</v>
      </c>
      <c r="B86" s="86">
        <f>ROUNDDOWN($B$12*$B$13*$B$16*$B$17*B19*B53*$B$68,0)</f>
        <v>4643</v>
      </c>
      <c r="C86" s="86">
        <f>ROUNDDOWN($C$12*$C$13*$C$16*$C$17*C19*C53*$B$68,0)</f>
        <v>3575</v>
      </c>
      <c r="D86" s="75" t="s">
        <v>174</v>
      </c>
      <c r="E86" s="472" t="s">
        <v>348</v>
      </c>
      <c r="F86" s="67"/>
    </row>
    <row r="87" spans="1:6" ht="15.5" x14ac:dyDescent="0.4">
      <c r="A87" s="79" t="str">
        <f t="shared" si="6"/>
        <v>01/02/1021-28/02/2021</v>
      </c>
      <c r="B87" s="86">
        <f t="shared" ref="B87:B100" si="7">ROUNDDOWN($B$12*$B$13*$B$16*$B$17*B20*B54*$B$68,0)</f>
        <v>10976</v>
      </c>
      <c r="C87" s="86">
        <f>ROUNDDOWN($C$12*$C$13*$C$16*$C$17*C20*C54*$B$68,0)</f>
        <v>8075</v>
      </c>
      <c r="D87" s="75" t="s">
        <v>174</v>
      </c>
      <c r="E87" s="472"/>
      <c r="F87" s="67"/>
    </row>
    <row r="88" spans="1:6" ht="15.5" x14ac:dyDescent="0.4">
      <c r="A88" s="79" t="str">
        <f t="shared" si="6"/>
        <v>01/03/2021-31/03/3021</v>
      </c>
      <c r="B88" s="86">
        <f t="shared" si="7"/>
        <v>12271</v>
      </c>
      <c r="C88" s="86">
        <f>ROUNDDOWN($C$12*$C$13*$C$16*$C$17*C21*C55*$B$68,0)</f>
        <v>8988</v>
      </c>
      <c r="D88" s="75" t="s">
        <v>174</v>
      </c>
      <c r="E88" s="472"/>
      <c r="F88" s="67"/>
    </row>
    <row r="89" spans="1:6" ht="15.5" x14ac:dyDescent="0.4">
      <c r="A89" s="79" t="str">
        <f t="shared" si="6"/>
        <v>01/04/2021-30/04/2021</v>
      </c>
      <c r="B89" s="86">
        <f t="shared" si="7"/>
        <v>11875</v>
      </c>
      <c r="C89" s="86">
        <f t="shared" ref="C89:C100" si="8">ROUNDDOWN($C$12*$C$13*$C$16*$C$17*C22*C56*$B$68,0)</f>
        <v>8761</v>
      </c>
      <c r="D89" s="75" t="s">
        <v>174</v>
      </c>
      <c r="E89" s="472"/>
      <c r="F89" s="67"/>
    </row>
    <row r="90" spans="1:6" ht="15.5" x14ac:dyDescent="0.4">
      <c r="A90" s="79" t="str">
        <f t="shared" si="6"/>
        <v>01/05/2021-31/05/2021</v>
      </c>
      <c r="B90" s="86">
        <f t="shared" si="7"/>
        <v>12093</v>
      </c>
      <c r="C90" s="86">
        <f t="shared" si="8"/>
        <v>9100</v>
      </c>
      <c r="D90" s="75" t="s">
        <v>174</v>
      </c>
      <c r="E90" s="472"/>
      <c r="F90" s="67"/>
    </row>
    <row r="91" spans="1:6" ht="15.5" x14ac:dyDescent="0.4">
      <c r="A91" s="79" t="str">
        <f t="shared" si="6"/>
        <v>01/06/2021-30/06/2021</v>
      </c>
      <c r="B91" s="86">
        <f t="shared" si="7"/>
        <v>11703</v>
      </c>
      <c r="C91" s="86">
        <f t="shared" si="8"/>
        <v>8723</v>
      </c>
      <c r="D91" s="75" t="s">
        <v>174</v>
      </c>
      <c r="E91" s="472"/>
      <c r="F91" s="67"/>
    </row>
    <row r="92" spans="1:6" ht="15.5" x14ac:dyDescent="0.4">
      <c r="A92" s="79" t="str">
        <f t="shared" si="6"/>
        <v>01/07/2021-31/07/2021</v>
      </c>
      <c r="B92" s="86">
        <f t="shared" si="7"/>
        <v>12093</v>
      </c>
      <c r="C92" s="86">
        <f t="shared" si="8"/>
        <v>9041</v>
      </c>
      <c r="D92" s="75" t="s">
        <v>174</v>
      </c>
      <c r="E92" s="472"/>
      <c r="F92" s="67"/>
    </row>
    <row r="93" spans="1:6" ht="15.5" x14ac:dyDescent="0.4">
      <c r="A93" s="79" t="str">
        <f t="shared" si="6"/>
        <v>01/08/2021-31/08/2021</v>
      </c>
      <c r="B93" s="86">
        <f t="shared" si="7"/>
        <v>12251</v>
      </c>
      <c r="C93" s="86">
        <f t="shared" si="8"/>
        <v>9040</v>
      </c>
      <c r="D93" s="75" t="s">
        <v>174</v>
      </c>
      <c r="E93" s="472"/>
      <c r="F93" s="67"/>
    </row>
    <row r="94" spans="1:6" ht="15.5" x14ac:dyDescent="0.4">
      <c r="A94" s="79" t="str">
        <f t="shared" si="6"/>
        <v>01/09/2021-30/09/2021</v>
      </c>
      <c r="B94" s="86">
        <f t="shared" si="7"/>
        <v>11760</v>
      </c>
      <c r="C94" s="86">
        <f t="shared" si="8"/>
        <v>8699</v>
      </c>
      <c r="D94" s="75" t="s">
        <v>174</v>
      </c>
      <c r="E94" s="472"/>
      <c r="F94" s="67"/>
    </row>
    <row r="95" spans="1:6" ht="15.5" x14ac:dyDescent="0.4">
      <c r="A95" s="79" t="str">
        <f t="shared" si="6"/>
        <v>01/10/2021-31/10/2021</v>
      </c>
      <c r="B95" s="86">
        <f t="shared" si="7"/>
        <v>12113</v>
      </c>
      <c r="C95" s="86">
        <f t="shared" si="8"/>
        <v>8971</v>
      </c>
      <c r="D95" s="75" t="s">
        <v>175</v>
      </c>
      <c r="E95" s="472"/>
      <c r="F95" s="67"/>
    </row>
    <row r="96" spans="1:6" ht="15.5" x14ac:dyDescent="0.4">
      <c r="A96" s="79" t="str">
        <f t="shared" si="6"/>
        <v>01/11/2021-30/11/2021</v>
      </c>
      <c r="B96" s="86">
        <f t="shared" si="7"/>
        <v>11569</v>
      </c>
      <c r="C96" s="86">
        <f t="shared" si="8"/>
        <v>8704</v>
      </c>
      <c r="D96" s="75" t="s">
        <v>175</v>
      </c>
      <c r="E96" s="472"/>
      <c r="F96" s="67"/>
    </row>
    <row r="97" spans="1:6" ht="15.5" x14ac:dyDescent="0.4">
      <c r="A97" s="79" t="str">
        <f t="shared" si="6"/>
        <v>01/12/2021-31/12/2021</v>
      </c>
      <c r="B97" s="86">
        <f t="shared" si="7"/>
        <v>12172</v>
      </c>
      <c r="C97" s="86">
        <f t="shared" si="8"/>
        <v>8980</v>
      </c>
      <c r="D97" s="75" t="s">
        <v>175</v>
      </c>
      <c r="E97" s="472"/>
      <c r="F97" s="67"/>
    </row>
    <row r="98" spans="1:6" ht="15.5" x14ac:dyDescent="0.4">
      <c r="A98" s="79" t="str">
        <f t="shared" si="6"/>
        <v>01/01/2022-31/01/2022</v>
      </c>
      <c r="B98" s="86">
        <f t="shared" si="7"/>
        <v>11915</v>
      </c>
      <c r="C98" s="86">
        <f t="shared" si="8"/>
        <v>9214</v>
      </c>
      <c r="D98" s="75" t="s">
        <v>175</v>
      </c>
      <c r="E98" s="472"/>
      <c r="F98" s="67"/>
    </row>
    <row r="99" spans="1:6" ht="15.5" x14ac:dyDescent="0.4">
      <c r="A99" s="79" t="str">
        <f t="shared" si="6"/>
        <v>01/02/2022-28/02/2022</v>
      </c>
      <c r="B99" s="86">
        <f t="shared" si="7"/>
        <v>10976</v>
      </c>
      <c r="C99" s="86">
        <f t="shared" si="8"/>
        <v>8158</v>
      </c>
      <c r="D99" s="75" t="s">
        <v>175</v>
      </c>
      <c r="E99" s="472"/>
      <c r="F99" s="67"/>
    </row>
    <row r="100" spans="1:6" ht="15.5" x14ac:dyDescent="0.4">
      <c r="A100" s="79" t="str">
        <f t="shared" si="6"/>
        <v>01/03/2022-31/03/2022</v>
      </c>
      <c r="B100" s="86">
        <f t="shared" si="7"/>
        <v>12231</v>
      </c>
      <c r="C100" s="86">
        <f t="shared" si="8"/>
        <v>9020</v>
      </c>
      <c r="D100" s="75" t="s">
        <v>175</v>
      </c>
      <c r="E100" s="472"/>
      <c r="F100" s="67"/>
    </row>
    <row r="101" spans="1:6" ht="15.5" x14ac:dyDescent="0.4">
      <c r="A101" s="87" t="s">
        <v>158</v>
      </c>
      <c r="B101" s="455">
        <f>SUM(B86:C97)</f>
        <v>236176</v>
      </c>
      <c r="C101" s="455"/>
      <c r="D101" s="75" t="s">
        <v>174</v>
      </c>
      <c r="E101" s="472"/>
      <c r="F101" s="67"/>
    </row>
    <row r="102" spans="1:6" ht="15.5" x14ac:dyDescent="0.4">
      <c r="A102" s="87" t="s">
        <v>159</v>
      </c>
      <c r="B102" s="469">
        <f>SUM(B98:C100)</f>
        <v>61514</v>
      </c>
      <c r="C102" s="470"/>
      <c r="D102" s="75" t="s">
        <v>174</v>
      </c>
      <c r="E102" s="472"/>
      <c r="F102" s="67"/>
    </row>
    <row r="103" spans="1:6" ht="16" thickBot="1" x14ac:dyDescent="0.45">
      <c r="A103" s="88" t="s">
        <v>176</v>
      </c>
      <c r="B103" s="89">
        <f>B101+B102</f>
        <v>297690</v>
      </c>
      <c r="C103" s="89"/>
      <c r="D103" s="90" t="s">
        <v>174</v>
      </c>
      <c r="E103" s="475"/>
      <c r="F103" s="67"/>
    </row>
    <row r="104" spans="1:6" x14ac:dyDescent="0.3">
      <c r="D104" s="91"/>
    </row>
    <row r="105" spans="1:6" ht="15.5" x14ac:dyDescent="0.4">
      <c r="A105" s="63" t="s">
        <v>372</v>
      </c>
      <c r="B105" s="61"/>
    </row>
    <row r="106" spans="1:6" x14ac:dyDescent="0.3">
      <c r="A106" s="445"/>
      <c r="B106" s="446"/>
      <c r="C106" s="446"/>
      <c r="D106" s="446"/>
      <c r="E106" s="92"/>
    </row>
    <row r="107" spans="1:6" x14ac:dyDescent="0.3">
      <c r="A107" s="93"/>
      <c r="E107" s="92"/>
    </row>
    <row r="108" spans="1:6" x14ac:dyDescent="0.3">
      <c r="A108" s="93"/>
    </row>
    <row r="109" spans="1:6" x14ac:dyDescent="0.3">
      <c r="A109" s="61" t="s">
        <v>8</v>
      </c>
      <c r="B109" s="61"/>
    </row>
    <row r="110" spans="1:6" ht="12.75" customHeight="1" x14ac:dyDescent="0.3">
      <c r="A110" s="93"/>
      <c r="B110" s="94"/>
      <c r="C110" s="94"/>
      <c r="D110" s="94"/>
      <c r="E110" s="92"/>
    </row>
    <row r="111" spans="1:6" ht="12.75" customHeight="1" x14ac:dyDescent="0.3">
      <c r="A111" s="93"/>
      <c r="B111" s="94"/>
      <c r="C111" s="94"/>
      <c r="D111" s="94"/>
      <c r="E111" s="92"/>
    </row>
    <row r="112" spans="1:6" ht="12.75" customHeight="1" x14ac:dyDescent="0.3">
      <c r="A112" s="93"/>
      <c r="B112" s="94"/>
      <c r="C112" s="94"/>
      <c r="D112" s="94"/>
      <c r="E112" s="95"/>
    </row>
    <row r="113" spans="1:5" ht="12.75" customHeight="1" x14ac:dyDescent="0.3">
      <c r="A113" s="93"/>
      <c r="B113" s="94"/>
      <c r="C113" s="94"/>
      <c r="D113" s="94"/>
      <c r="E113" s="92"/>
    </row>
    <row r="114" spans="1:5" ht="12.75" customHeight="1" x14ac:dyDescent="0.3">
      <c r="A114" s="93"/>
      <c r="B114" s="94"/>
      <c r="C114" s="94"/>
      <c r="D114" s="94"/>
      <c r="E114" s="92"/>
    </row>
    <row r="115" spans="1:5" ht="14" thickBot="1" x14ac:dyDescent="0.35"/>
    <row r="116" spans="1:5" x14ac:dyDescent="0.3">
      <c r="A116" s="96" t="s">
        <v>3</v>
      </c>
      <c r="B116" s="97" t="s">
        <v>9</v>
      </c>
      <c r="C116" s="97"/>
      <c r="D116" s="97" t="s">
        <v>2</v>
      </c>
      <c r="E116" s="97" t="s">
        <v>4</v>
      </c>
    </row>
    <row r="117" spans="1:5" x14ac:dyDescent="0.3">
      <c r="A117" s="98"/>
      <c r="B117" s="99" t="str">
        <f>B10</f>
        <v>Market Swine</v>
      </c>
      <c r="C117" s="99" t="str">
        <f>C10</f>
        <v>Breeding Swine</v>
      </c>
      <c r="D117" s="99"/>
      <c r="E117" s="99"/>
    </row>
    <row r="118" spans="1:5" ht="15.5" x14ac:dyDescent="0.4">
      <c r="A118" s="82" t="s">
        <v>177</v>
      </c>
      <c r="B118" s="74">
        <v>0</v>
      </c>
      <c r="C118" s="100">
        <v>0</v>
      </c>
      <c r="D118" s="23" t="s">
        <v>178</v>
      </c>
      <c r="E118" s="23" t="s">
        <v>36</v>
      </c>
    </row>
    <row r="119" spans="1:5" ht="15.5" x14ac:dyDescent="0.4">
      <c r="A119" s="82" t="s">
        <v>179</v>
      </c>
      <c r="B119" s="101">
        <f>0.42</f>
        <v>0.42</v>
      </c>
      <c r="C119" s="102">
        <v>0.24</v>
      </c>
      <c r="D119" s="23" t="s">
        <v>47</v>
      </c>
      <c r="E119" s="23" t="s">
        <v>65</v>
      </c>
    </row>
    <row r="120" spans="1:5" x14ac:dyDescent="0.3">
      <c r="A120" s="82" t="s">
        <v>180</v>
      </c>
      <c r="B120" s="85"/>
      <c r="C120" s="85"/>
      <c r="D120" s="452" t="s">
        <v>67</v>
      </c>
      <c r="E120" s="452" t="s">
        <v>46</v>
      </c>
    </row>
    <row r="121" spans="1:5" x14ac:dyDescent="0.3">
      <c r="A121" s="79" t="str">
        <f t="shared" ref="A121:A135" si="9">A86</f>
        <v>20/01/2021-31/01/2021</v>
      </c>
      <c r="B121" s="85">
        <f t="shared" ref="B121:B135" si="10">$B$119*$B$152/1000*B70</f>
        <v>0.14112</v>
      </c>
      <c r="C121" s="85">
        <f t="shared" ref="C121:C135" si="11">$C$119*$C$152/1000*C70</f>
        <v>8.0639999999999989E-2</v>
      </c>
      <c r="D121" s="453"/>
      <c r="E121" s="453"/>
    </row>
    <row r="122" spans="1:5" x14ac:dyDescent="0.3">
      <c r="A122" s="79" t="str">
        <f t="shared" si="9"/>
        <v>01/02/1021-28/02/2021</v>
      </c>
      <c r="B122" s="85">
        <f t="shared" si="10"/>
        <v>0.32928000000000002</v>
      </c>
      <c r="C122" s="85">
        <f t="shared" si="11"/>
        <v>0.18815999999999999</v>
      </c>
      <c r="D122" s="453"/>
      <c r="E122" s="453"/>
    </row>
    <row r="123" spans="1:5" x14ac:dyDescent="0.3">
      <c r="A123" s="79" t="str">
        <f t="shared" si="9"/>
        <v>01/03/2021-31/03/3021</v>
      </c>
      <c r="B123" s="85">
        <f t="shared" si="10"/>
        <v>0.36456</v>
      </c>
      <c r="C123" s="85">
        <f t="shared" si="11"/>
        <v>0.20831999999999998</v>
      </c>
      <c r="D123" s="453"/>
      <c r="E123" s="453"/>
    </row>
    <row r="124" spans="1:5" x14ac:dyDescent="0.3">
      <c r="A124" s="79" t="str">
        <f t="shared" si="9"/>
        <v>01/04/2021-30/04/2021</v>
      </c>
      <c r="B124" s="85">
        <f t="shared" si="10"/>
        <v>0.3528</v>
      </c>
      <c r="C124" s="85">
        <f t="shared" si="11"/>
        <v>0.20159999999999997</v>
      </c>
      <c r="D124" s="453"/>
      <c r="E124" s="453"/>
    </row>
    <row r="125" spans="1:5" x14ac:dyDescent="0.3">
      <c r="A125" s="79" t="str">
        <f t="shared" si="9"/>
        <v>01/05/2021-31/05/2021</v>
      </c>
      <c r="B125" s="85">
        <f t="shared" si="10"/>
        <v>0.36456</v>
      </c>
      <c r="C125" s="85">
        <f t="shared" si="11"/>
        <v>0.20831999999999998</v>
      </c>
      <c r="D125" s="453"/>
      <c r="E125" s="453"/>
    </row>
    <row r="126" spans="1:5" x14ac:dyDescent="0.3">
      <c r="A126" s="79" t="str">
        <f t="shared" si="9"/>
        <v>01/06/2021-30/06/2021</v>
      </c>
      <c r="B126" s="85">
        <f t="shared" si="10"/>
        <v>0.3528</v>
      </c>
      <c r="C126" s="85">
        <f t="shared" si="11"/>
        <v>0.20159999999999997</v>
      </c>
      <c r="D126" s="453"/>
      <c r="E126" s="453"/>
    </row>
    <row r="127" spans="1:5" x14ac:dyDescent="0.3">
      <c r="A127" s="79" t="str">
        <f t="shared" si="9"/>
        <v>01/07/2021-31/07/2021</v>
      </c>
      <c r="B127" s="85">
        <f t="shared" si="10"/>
        <v>0.36456</v>
      </c>
      <c r="C127" s="85">
        <f t="shared" si="11"/>
        <v>0.20831999999999998</v>
      </c>
      <c r="D127" s="453"/>
      <c r="E127" s="453"/>
    </row>
    <row r="128" spans="1:5" x14ac:dyDescent="0.3">
      <c r="A128" s="79" t="str">
        <f t="shared" si="9"/>
        <v>01/08/2021-31/08/2021</v>
      </c>
      <c r="B128" s="85">
        <f t="shared" si="10"/>
        <v>0.36456</v>
      </c>
      <c r="C128" s="85">
        <f t="shared" si="11"/>
        <v>0.20831999999999998</v>
      </c>
      <c r="D128" s="453"/>
      <c r="E128" s="453"/>
    </row>
    <row r="129" spans="1:5" x14ac:dyDescent="0.3">
      <c r="A129" s="79" t="str">
        <f t="shared" si="9"/>
        <v>01/09/2021-30/09/2021</v>
      </c>
      <c r="B129" s="85">
        <f t="shared" si="10"/>
        <v>0.3528</v>
      </c>
      <c r="C129" s="85">
        <f t="shared" si="11"/>
        <v>0.20159999999999997</v>
      </c>
      <c r="D129" s="453"/>
      <c r="E129" s="453"/>
    </row>
    <row r="130" spans="1:5" x14ac:dyDescent="0.3">
      <c r="A130" s="79" t="str">
        <f t="shared" si="9"/>
        <v>01/10/2021-31/10/2021</v>
      </c>
      <c r="B130" s="85">
        <f t="shared" si="10"/>
        <v>0.36456</v>
      </c>
      <c r="C130" s="85">
        <f t="shared" si="11"/>
        <v>0.20831999999999998</v>
      </c>
      <c r="D130" s="453"/>
      <c r="E130" s="453"/>
    </row>
    <row r="131" spans="1:5" x14ac:dyDescent="0.3">
      <c r="A131" s="79" t="str">
        <f t="shared" si="9"/>
        <v>01/11/2021-30/11/2021</v>
      </c>
      <c r="B131" s="85">
        <f t="shared" si="10"/>
        <v>0.3528</v>
      </c>
      <c r="C131" s="85">
        <f t="shared" si="11"/>
        <v>0.20159999999999997</v>
      </c>
      <c r="D131" s="453"/>
      <c r="E131" s="453"/>
    </row>
    <row r="132" spans="1:5" x14ac:dyDescent="0.3">
      <c r="A132" s="79" t="str">
        <f t="shared" si="9"/>
        <v>01/12/2021-31/12/2021</v>
      </c>
      <c r="B132" s="85">
        <f t="shared" si="10"/>
        <v>0.36456</v>
      </c>
      <c r="C132" s="85">
        <f t="shared" si="11"/>
        <v>0.20831999999999998</v>
      </c>
      <c r="D132" s="453"/>
      <c r="E132" s="453"/>
    </row>
    <row r="133" spans="1:5" x14ac:dyDescent="0.3">
      <c r="A133" s="79" t="str">
        <f t="shared" si="9"/>
        <v>01/01/2022-31/01/2022</v>
      </c>
      <c r="B133" s="85">
        <f t="shared" si="10"/>
        <v>0.36456</v>
      </c>
      <c r="C133" s="85">
        <f t="shared" si="11"/>
        <v>0.20831999999999998</v>
      </c>
      <c r="D133" s="453"/>
      <c r="E133" s="453"/>
    </row>
    <row r="134" spans="1:5" x14ac:dyDescent="0.3">
      <c r="A134" s="79" t="str">
        <f t="shared" si="9"/>
        <v>01/02/2022-28/02/2022</v>
      </c>
      <c r="B134" s="85">
        <f t="shared" si="10"/>
        <v>0.32928000000000002</v>
      </c>
      <c r="C134" s="85">
        <f t="shared" si="11"/>
        <v>0.18815999999999999</v>
      </c>
      <c r="D134" s="453"/>
      <c r="E134" s="453"/>
    </row>
    <row r="135" spans="1:5" x14ac:dyDescent="0.3">
      <c r="A135" s="79" t="str">
        <f t="shared" si="9"/>
        <v>01/03/2022-31/03/2022</v>
      </c>
      <c r="B135" s="85">
        <f t="shared" si="10"/>
        <v>0.36456</v>
      </c>
      <c r="C135" s="85">
        <f t="shared" si="11"/>
        <v>0.20831999999999998</v>
      </c>
      <c r="D135" s="454"/>
      <c r="E135" s="454"/>
    </row>
    <row r="136" spans="1:5" x14ac:dyDescent="0.3">
      <c r="A136" s="82" t="s">
        <v>168</v>
      </c>
      <c r="B136" s="103"/>
      <c r="C136" s="103"/>
      <c r="D136" s="452" t="s">
        <v>5</v>
      </c>
      <c r="E136" s="452" t="str">
        <f>E34</f>
        <v>Weight record table</v>
      </c>
    </row>
    <row r="137" spans="1:5" x14ac:dyDescent="0.3">
      <c r="A137" s="79" t="str">
        <f t="shared" ref="A137:A151" si="12">A121</f>
        <v>20/01/2021-31/01/2021</v>
      </c>
      <c r="B137" s="104">
        <f>'monitoring results'!D4</f>
        <v>60.8</v>
      </c>
      <c r="C137" s="104">
        <f>'monitoring results'!E4</f>
        <v>79.599999999999994</v>
      </c>
      <c r="D137" s="453"/>
      <c r="E137" s="453"/>
    </row>
    <row r="138" spans="1:5" x14ac:dyDescent="0.3">
      <c r="A138" s="79" t="str">
        <f t="shared" si="12"/>
        <v>01/02/1021-28/02/2021</v>
      </c>
      <c r="B138" s="104">
        <f>'monitoring results'!D5</f>
        <v>61.6</v>
      </c>
      <c r="C138" s="104">
        <f>'monitoring results'!E5</f>
        <v>77.099999999999994</v>
      </c>
      <c r="D138" s="453"/>
      <c r="E138" s="453"/>
    </row>
    <row r="139" spans="1:5" x14ac:dyDescent="0.3">
      <c r="A139" s="79" t="str">
        <f t="shared" si="12"/>
        <v>01/03/2021-31/03/3021</v>
      </c>
      <c r="B139" s="104">
        <f>'monitoring results'!D6</f>
        <v>62.2</v>
      </c>
      <c r="C139" s="104">
        <f>'monitoring results'!E6</f>
        <v>77.5</v>
      </c>
      <c r="D139" s="453"/>
      <c r="E139" s="453"/>
    </row>
    <row r="140" spans="1:5" x14ac:dyDescent="0.3">
      <c r="A140" s="79" t="str">
        <f t="shared" si="12"/>
        <v>01/04/2021-30/04/2021</v>
      </c>
      <c r="B140" s="104">
        <f>'monitoring results'!D7</f>
        <v>62.2</v>
      </c>
      <c r="C140" s="104">
        <f>'monitoring results'!E7</f>
        <v>78</v>
      </c>
      <c r="D140" s="453"/>
      <c r="E140" s="453"/>
    </row>
    <row r="141" spans="1:5" x14ac:dyDescent="0.3">
      <c r="A141" s="79" t="str">
        <f t="shared" si="12"/>
        <v>01/05/2021-31/05/2021</v>
      </c>
      <c r="B141" s="104">
        <f>'monitoring results'!D8</f>
        <v>61.3</v>
      </c>
      <c r="C141" s="104">
        <f>'monitoring results'!E8</f>
        <v>78.5</v>
      </c>
      <c r="D141" s="453"/>
      <c r="E141" s="453"/>
    </row>
    <row r="142" spans="1:5" x14ac:dyDescent="0.3">
      <c r="A142" s="79" t="str">
        <f t="shared" si="12"/>
        <v>01/06/2021-30/06/2021</v>
      </c>
      <c r="B142" s="104">
        <f>'monitoring results'!D9</f>
        <v>61.3</v>
      </c>
      <c r="C142" s="104">
        <f>'monitoring results'!E9</f>
        <v>77.8</v>
      </c>
      <c r="D142" s="453"/>
      <c r="E142" s="453"/>
    </row>
    <row r="143" spans="1:5" x14ac:dyDescent="0.3">
      <c r="A143" s="79" t="str">
        <f t="shared" si="12"/>
        <v>01/07/2021-31/07/2021</v>
      </c>
      <c r="B143" s="104">
        <f>'monitoring results'!D10</f>
        <v>61.3</v>
      </c>
      <c r="C143" s="104">
        <f>'monitoring results'!E10</f>
        <v>77.900000000000006</v>
      </c>
      <c r="D143" s="453"/>
      <c r="E143" s="453"/>
    </row>
    <row r="144" spans="1:5" x14ac:dyDescent="0.3">
      <c r="A144" s="79" t="str">
        <f t="shared" si="12"/>
        <v>01/08/2021-31/08/2021</v>
      </c>
      <c r="B144" s="104">
        <f>'monitoring results'!D11</f>
        <v>62.1</v>
      </c>
      <c r="C144" s="104">
        <f>'monitoring results'!E11</f>
        <v>78.099999999999994</v>
      </c>
      <c r="D144" s="453"/>
      <c r="E144" s="453"/>
    </row>
    <row r="145" spans="1:5" x14ac:dyDescent="0.3">
      <c r="A145" s="79" t="str">
        <f t="shared" si="12"/>
        <v>01/09/2021-30/09/2021</v>
      </c>
      <c r="B145" s="104">
        <f>'monitoring results'!D12</f>
        <v>61.6</v>
      </c>
      <c r="C145" s="104">
        <f>'monitoring results'!E12</f>
        <v>77.5</v>
      </c>
      <c r="D145" s="453"/>
      <c r="E145" s="453"/>
    </row>
    <row r="146" spans="1:5" x14ac:dyDescent="0.3">
      <c r="A146" s="79" t="str">
        <f t="shared" si="12"/>
        <v>01/10/2021-31/10/2021</v>
      </c>
      <c r="B146" s="104">
        <f>'monitoring results'!D13</f>
        <v>61.4</v>
      </c>
      <c r="C146" s="104">
        <f>'monitoring results'!E13</f>
        <v>77.400000000000006</v>
      </c>
      <c r="D146" s="453"/>
      <c r="E146" s="453"/>
    </row>
    <row r="147" spans="1:5" x14ac:dyDescent="0.3">
      <c r="A147" s="79" t="str">
        <f t="shared" si="12"/>
        <v>01/11/2021-30/11/2021</v>
      </c>
      <c r="B147" s="104">
        <f>'monitoring results'!D14</f>
        <v>60.6</v>
      </c>
      <c r="C147" s="104">
        <f>'monitoring results'!E14</f>
        <v>77.5</v>
      </c>
      <c r="D147" s="453"/>
      <c r="E147" s="453"/>
    </row>
    <row r="148" spans="1:5" x14ac:dyDescent="0.3">
      <c r="A148" s="79" t="str">
        <f t="shared" si="12"/>
        <v>01/12/2021-31/12/2021</v>
      </c>
      <c r="B148" s="104">
        <f>'monitoring results'!D15</f>
        <v>61.7</v>
      </c>
      <c r="C148" s="104">
        <f>'monitoring results'!E15</f>
        <v>77.5</v>
      </c>
      <c r="D148" s="453"/>
      <c r="E148" s="453"/>
    </row>
    <row r="149" spans="1:5" x14ac:dyDescent="0.3">
      <c r="A149" s="79" t="str">
        <f t="shared" si="12"/>
        <v>01/01/2022-31/01/2022</v>
      </c>
      <c r="B149" s="104">
        <f>'monitoring results'!D16</f>
        <v>60.4</v>
      </c>
      <c r="C149" s="104">
        <f>'monitoring results'!E16</f>
        <v>79.400000000000006</v>
      </c>
      <c r="D149" s="453"/>
      <c r="E149" s="453"/>
    </row>
    <row r="150" spans="1:5" x14ac:dyDescent="0.3">
      <c r="A150" s="79" t="str">
        <f t="shared" si="12"/>
        <v>01/02/2022-28/02/2022</v>
      </c>
      <c r="B150" s="104">
        <f>'monitoring results'!D17</f>
        <v>61.6</v>
      </c>
      <c r="C150" s="104">
        <f>'monitoring results'!E17</f>
        <v>77.900000000000006</v>
      </c>
      <c r="D150" s="453"/>
      <c r="E150" s="453"/>
    </row>
    <row r="151" spans="1:5" x14ac:dyDescent="0.3">
      <c r="A151" s="79" t="str">
        <f t="shared" si="12"/>
        <v>01/03/2022-31/03/2022</v>
      </c>
      <c r="B151" s="104">
        <f>'monitoring results'!D18</f>
        <v>62</v>
      </c>
      <c r="C151" s="104">
        <f>'monitoring results'!E18</f>
        <v>77.900000000000006</v>
      </c>
      <c r="D151" s="454"/>
      <c r="E151" s="454"/>
    </row>
    <row r="152" spans="1:5" x14ac:dyDescent="0.3">
      <c r="A152" s="82" t="s">
        <v>64</v>
      </c>
      <c r="B152" s="103">
        <v>28</v>
      </c>
      <c r="C152" s="103">
        <v>28</v>
      </c>
      <c r="D152" s="23" t="s">
        <v>5</v>
      </c>
      <c r="E152" s="75" t="s">
        <v>44</v>
      </c>
    </row>
    <row r="153" spans="1:5" x14ac:dyDescent="0.3">
      <c r="A153" s="82" t="s">
        <v>181</v>
      </c>
      <c r="B153" s="101">
        <v>28</v>
      </c>
      <c r="C153" s="105">
        <v>28</v>
      </c>
      <c r="D153" s="23" t="s">
        <v>5</v>
      </c>
      <c r="E153" s="75" t="s">
        <v>44</v>
      </c>
    </row>
    <row r="154" spans="1:5" ht="15.5" x14ac:dyDescent="0.4">
      <c r="A154" s="82" t="s">
        <v>182</v>
      </c>
      <c r="B154" s="85"/>
      <c r="C154" s="85"/>
      <c r="E154" s="85"/>
    </row>
    <row r="155" spans="1:5" x14ac:dyDescent="0.3">
      <c r="A155" s="79" t="str">
        <f t="shared" ref="A155:A169" si="13">A137</f>
        <v>20/01/2021-31/01/2021</v>
      </c>
      <c r="B155" s="85">
        <f t="shared" ref="B155:B169" si="14">(B137/$B$153)*B121</f>
        <v>0.30643199999999998</v>
      </c>
      <c r="C155" s="85">
        <f t="shared" ref="C155:C169" si="15">(C137/$C$153)*C121</f>
        <v>0.22924799999999995</v>
      </c>
      <c r="D155" s="453"/>
      <c r="E155" s="453" t="s">
        <v>348</v>
      </c>
    </row>
    <row r="156" spans="1:5" x14ac:dyDescent="0.3">
      <c r="A156" s="79" t="str">
        <f t="shared" si="13"/>
        <v>01/02/1021-28/02/2021</v>
      </c>
      <c r="B156" s="85">
        <f t="shared" si="14"/>
        <v>0.72441600000000006</v>
      </c>
      <c r="C156" s="85">
        <f t="shared" si="15"/>
        <v>0.51811200000000002</v>
      </c>
      <c r="D156" s="453"/>
      <c r="E156" s="453"/>
    </row>
    <row r="157" spans="1:5" x14ac:dyDescent="0.3">
      <c r="A157" s="79" t="str">
        <f t="shared" si="13"/>
        <v>01/03/2021-31/03/3021</v>
      </c>
      <c r="B157" s="85">
        <f t="shared" si="14"/>
        <v>0.80984400000000001</v>
      </c>
      <c r="C157" s="85">
        <f t="shared" si="15"/>
        <v>0.57659999999999989</v>
      </c>
      <c r="D157" s="453"/>
      <c r="E157" s="453"/>
    </row>
    <row r="158" spans="1:5" x14ac:dyDescent="0.3">
      <c r="A158" s="79" t="str">
        <f t="shared" si="13"/>
        <v>01/04/2021-30/04/2021</v>
      </c>
      <c r="B158" s="85">
        <f t="shared" si="14"/>
        <v>0.78372000000000008</v>
      </c>
      <c r="C158" s="85">
        <f t="shared" si="15"/>
        <v>0.56159999999999988</v>
      </c>
      <c r="D158" s="453"/>
      <c r="E158" s="453"/>
    </row>
    <row r="159" spans="1:5" x14ac:dyDescent="0.3">
      <c r="A159" s="79" t="str">
        <f t="shared" si="13"/>
        <v>01/05/2021-31/05/2021</v>
      </c>
      <c r="B159" s="85">
        <f t="shared" si="14"/>
        <v>0.79812599999999989</v>
      </c>
      <c r="C159" s="85">
        <f t="shared" si="15"/>
        <v>0.58403999999999989</v>
      </c>
      <c r="D159" s="453"/>
      <c r="E159" s="453"/>
    </row>
    <row r="160" spans="1:5" x14ac:dyDescent="0.3">
      <c r="A160" s="79" t="str">
        <f t="shared" si="13"/>
        <v>01/06/2021-30/06/2021</v>
      </c>
      <c r="B160" s="85">
        <f t="shared" si="14"/>
        <v>0.77237999999999996</v>
      </c>
      <c r="C160" s="85">
        <f t="shared" si="15"/>
        <v>0.56015999999999988</v>
      </c>
      <c r="D160" s="453"/>
      <c r="E160" s="453"/>
    </row>
    <row r="161" spans="1:5" x14ac:dyDescent="0.3">
      <c r="A161" s="79" t="str">
        <f t="shared" si="13"/>
        <v>01/07/2021-31/07/2021</v>
      </c>
      <c r="B161" s="85">
        <f t="shared" si="14"/>
        <v>0.79812599999999989</v>
      </c>
      <c r="C161" s="85">
        <f t="shared" si="15"/>
        <v>0.57957599999999998</v>
      </c>
      <c r="D161" s="453"/>
      <c r="E161" s="453"/>
    </row>
    <row r="162" spans="1:5" x14ac:dyDescent="0.3">
      <c r="A162" s="79" t="str">
        <f t="shared" si="13"/>
        <v>01/08/2021-31/08/2021</v>
      </c>
      <c r="B162" s="85">
        <f t="shared" si="14"/>
        <v>0.80854199999999998</v>
      </c>
      <c r="C162" s="85">
        <f t="shared" si="15"/>
        <v>0.58106399999999991</v>
      </c>
      <c r="D162" s="453"/>
      <c r="E162" s="453"/>
    </row>
    <row r="163" spans="1:5" x14ac:dyDescent="0.3">
      <c r="A163" s="79" t="str">
        <f t="shared" si="13"/>
        <v>01/09/2021-30/09/2021</v>
      </c>
      <c r="B163" s="85">
        <f t="shared" si="14"/>
        <v>0.77616000000000007</v>
      </c>
      <c r="C163" s="85">
        <f t="shared" si="15"/>
        <v>0.55799999999999994</v>
      </c>
      <c r="D163" s="453"/>
      <c r="E163" s="453"/>
    </row>
    <row r="164" spans="1:5" x14ac:dyDescent="0.3">
      <c r="A164" s="79" t="str">
        <f t="shared" si="13"/>
        <v>01/10/2021-31/10/2021</v>
      </c>
      <c r="B164" s="85">
        <f t="shared" si="14"/>
        <v>0.79942799999999992</v>
      </c>
      <c r="C164" s="85">
        <f t="shared" si="15"/>
        <v>0.57585600000000003</v>
      </c>
      <c r="D164" s="453"/>
      <c r="E164" s="453"/>
    </row>
    <row r="165" spans="1:5" x14ac:dyDescent="0.3">
      <c r="A165" s="79" t="str">
        <f t="shared" si="13"/>
        <v>01/11/2021-30/11/2021</v>
      </c>
      <c r="B165" s="85">
        <f t="shared" si="14"/>
        <v>0.76355999999999991</v>
      </c>
      <c r="C165" s="85">
        <f t="shared" si="15"/>
        <v>0.55799999999999994</v>
      </c>
      <c r="D165" s="453"/>
      <c r="E165" s="453"/>
    </row>
    <row r="166" spans="1:5" x14ac:dyDescent="0.3">
      <c r="A166" s="79" t="str">
        <f t="shared" si="13"/>
        <v>01/12/2021-31/12/2021</v>
      </c>
      <c r="B166" s="85">
        <f t="shared" si="14"/>
        <v>0.8033340000000001</v>
      </c>
      <c r="C166" s="85">
        <f t="shared" si="15"/>
        <v>0.57659999999999989</v>
      </c>
      <c r="D166" s="453"/>
      <c r="E166" s="453"/>
    </row>
    <row r="167" spans="1:5" x14ac:dyDescent="0.3">
      <c r="A167" s="79" t="str">
        <f t="shared" si="13"/>
        <v>01/01/2022-31/01/2022</v>
      </c>
      <c r="B167" s="85">
        <f t="shared" si="14"/>
        <v>0.786408</v>
      </c>
      <c r="C167" s="85">
        <f t="shared" si="15"/>
        <v>0.59073599999999993</v>
      </c>
      <c r="D167" s="453"/>
      <c r="E167" s="453"/>
    </row>
    <row r="168" spans="1:5" x14ac:dyDescent="0.3">
      <c r="A168" s="79" t="str">
        <f t="shared" si="13"/>
        <v>01/02/2022-28/02/2022</v>
      </c>
      <c r="B168" s="85">
        <f t="shared" si="14"/>
        <v>0.72441600000000006</v>
      </c>
      <c r="C168" s="85">
        <f t="shared" si="15"/>
        <v>0.52348800000000006</v>
      </c>
      <c r="D168" s="453"/>
      <c r="E168" s="453"/>
    </row>
    <row r="169" spans="1:5" x14ac:dyDescent="0.3">
      <c r="A169" s="79" t="str">
        <f t="shared" si="13"/>
        <v>01/03/2022-31/03/2022</v>
      </c>
      <c r="B169" s="85">
        <f t="shared" si="14"/>
        <v>0.80724000000000007</v>
      </c>
      <c r="C169" s="85">
        <f t="shared" si="15"/>
        <v>0.57957599999999998</v>
      </c>
      <c r="D169" s="454"/>
      <c r="E169" s="454"/>
    </row>
    <row r="170" spans="1:5" ht="13.5" customHeight="1" x14ac:dyDescent="0.3">
      <c r="A170" s="25" t="s">
        <v>183</v>
      </c>
      <c r="B170" s="78"/>
      <c r="C170" s="78"/>
      <c r="D170" s="452" t="str">
        <f>D18</f>
        <v>No of heads</v>
      </c>
      <c r="E170" s="447" t="str">
        <f>E18</f>
        <v>calculated as equatoin 4 and 5 in MR, of which NLT for marke swine and breeding swine is sourced from  "Export record form of market swine" and " Breeding swine stock record"</v>
      </c>
    </row>
    <row r="171" spans="1:5" x14ac:dyDescent="0.3">
      <c r="A171" s="79" t="str">
        <f t="shared" ref="A171:A185" si="16">A155</f>
        <v>20/01/2021-31/01/2021</v>
      </c>
      <c r="B171" s="78">
        <f>'monitoring results'!B4</f>
        <v>152825</v>
      </c>
      <c r="C171" s="78">
        <f>'monitoring results'!C4</f>
        <v>89885</v>
      </c>
      <c r="D171" s="453"/>
      <c r="E171" s="448"/>
    </row>
    <row r="172" spans="1:5" x14ac:dyDescent="0.3">
      <c r="A172" s="79" t="str">
        <f t="shared" si="16"/>
        <v>01/02/1021-28/02/2021</v>
      </c>
      <c r="B172" s="78">
        <f>'monitoring results'!B5</f>
        <v>152825</v>
      </c>
      <c r="C172" s="78">
        <f>'monitoring results'!C5</f>
        <v>89832</v>
      </c>
      <c r="D172" s="453"/>
      <c r="E172" s="448"/>
    </row>
    <row r="173" spans="1:5" x14ac:dyDescent="0.3">
      <c r="A173" s="79" t="str">
        <f t="shared" si="16"/>
        <v>01/03/2021-31/03/3021</v>
      </c>
      <c r="B173" s="78">
        <f>'monitoring results'!B6</f>
        <v>152825</v>
      </c>
      <c r="C173" s="78">
        <f>'monitoring results'!C6</f>
        <v>89845</v>
      </c>
      <c r="D173" s="453"/>
      <c r="E173" s="448"/>
    </row>
    <row r="174" spans="1:5" x14ac:dyDescent="0.3">
      <c r="A174" s="79" t="str">
        <f t="shared" si="16"/>
        <v>01/04/2021-30/04/2021</v>
      </c>
      <c r="B174" s="78">
        <f>'monitoring results'!B7</f>
        <v>152825</v>
      </c>
      <c r="C174" s="78">
        <f>'monitoring results'!C7</f>
        <v>89915</v>
      </c>
      <c r="D174" s="453"/>
      <c r="E174" s="448"/>
    </row>
    <row r="175" spans="1:5" x14ac:dyDescent="0.3">
      <c r="A175" s="79" t="str">
        <f t="shared" si="16"/>
        <v>01/05/2021-31/05/2021</v>
      </c>
      <c r="B175" s="78">
        <f>'monitoring results'!B8</f>
        <v>152825</v>
      </c>
      <c r="C175" s="78">
        <f>'monitoring results'!C8</f>
        <v>89809</v>
      </c>
      <c r="D175" s="453"/>
      <c r="E175" s="448"/>
    </row>
    <row r="176" spans="1:5" x14ac:dyDescent="0.3">
      <c r="A176" s="79" t="str">
        <f t="shared" si="16"/>
        <v>01/06/2021-30/06/2021</v>
      </c>
      <c r="B176" s="78">
        <f>'monitoring results'!B9</f>
        <v>152825</v>
      </c>
      <c r="C176" s="78">
        <f>'monitoring results'!C9</f>
        <v>89754</v>
      </c>
      <c r="D176" s="453"/>
      <c r="E176" s="448"/>
    </row>
    <row r="177" spans="1:5" x14ac:dyDescent="0.3">
      <c r="A177" s="79" t="str">
        <f t="shared" si="16"/>
        <v>01/07/2021-31/07/2021</v>
      </c>
      <c r="B177" s="78">
        <f>'monitoring results'!B10</f>
        <v>152825</v>
      </c>
      <c r="C177" s="78">
        <f>'monitoring results'!C10</f>
        <v>89905</v>
      </c>
      <c r="D177" s="453"/>
      <c r="E177" s="448"/>
    </row>
    <row r="178" spans="1:5" x14ac:dyDescent="0.3">
      <c r="A178" s="79" t="str">
        <f t="shared" si="16"/>
        <v>01/08/2021-31/08/2021</v>
      </c>
      <c r="B178" s="78">
        <f>'monitoring results'!B11</f>
        <v>152825</v>
      </c>
      <c r="C178" s="78">
        <f>'monitoring results'!C11</f>
        <v>89670</v>
      </c>
      <c r="D178" s="453"/>
      <c r="E178" s="448"/>
    </row>
    <row r="179" spans="1:5" x14ac:dyDescent="0.3">
      <c r="A179" s="79" t="str">
        <f t="shared" si="16"/>
        <v>01/09/2021-30/09/2021</v>
      </c>
      <c r="B179" s="78">
        <f>'monitoring results'!B12</f>
        <v>152825</v>
      </c>
      <c r="C179" s="78">
        <f>'monitoring results'!C12</f>
        <v>89854</v>
      </c>
      <c r="D179" s="453"/>
      <c r="E179" s="448"/>
    </row>
    <row r="180" spans="1:5" x14ac:dyDescent="0.3">
      <c r="A180" s="79" t="str">
        <f t="shared" si="16"/>
        <v>01/10/2021-31/10/2021</v>
      </c>
      <c r="B180" s="78">
        <f>'monitoring results'!B13</f>
        <v>152825</v>
      </c>
      <c r="C180" s="78">
        <f>'monitoring results'!C13</f>
        <v>89790</v>
      </c>
      <c r="D180" s="453"/>
      <c r="E180" s="448"/>
    </row>
    <row r="181" spans="1:5" x14ac:dyDescent="0.3">
      <c r="A181" s="79" t="str">
        <f t="shared" si="16"/>
        <v>01/11/2021-30/11/2021</v>
      </c>
      <c r="B181" s="78">
        <f>'monitoring results'!B14</f>
        <v>152825</v>
      </c>
      <c r="C181" s="78">
        <f>'monitoring results'!C14</f>
        <v>89905</v>
      </c>
      <c r="D181" s="453"/>
      <c r="E181" s="448"/>
    </row>
    <row r="182" spans="1:5" x14ac:dyDescent="0.3">
      <c r="A182" s="79" t="str">
        <f t="shared" si="16"/>
        <v>01/12/2021-31/12/2021</v>
      </c>
      <c r="B182" s="78">
        <f>'monitoring results'!B15</f>
        <v>152825</v>
      </c>
      <c r="C182" s="78">
        <f>'monitoring results'!C15</f>
        <v>89761</v>
      </c>
      <c r="D182" s="453"/>
      <c r="E182" s="448"/>
    </row>
    <row r="183" spans="1:5" x14ac:dyDescent="0.3">
      <c r="A183" s="79" t="str">
        <f t="shared" si="16"/>
        <v>01/01/2022-31/01/2022</v>
      </c>
      <c r="B183" s="78">
        <f>'monitoring results'!B16</f>
        <v>152825</v>
      </c>
      <c r="C183" s="78">
        <f>'monitoring results'!C16</f>
        <v>89894</v>
      </c>
      <c r="D183" s="453"/>
      <c r="E183" s="448"/>
    </row>
    <row r="184" spans="1:5" x14ac:dyDescent="0.3">
      <c r="A184" s="79" t="str">
        <f t="shared" si="16"/>
        <v>01/02/2022-28/02/2022</v>
      </c>
      <c r="B184" s="78">
        <f>'monitoring results'!B17</f>
        <v>152825</v>
      </c>
      <c r="C184" s="78">
        <f>'monitoring results'!C17</f>
        <v>89820</v>
      </c>
      <c r="D184" s="453"/>
      <c r="E184" s="448"/>
    </row>
    <row r="185" spans="1:5" x14ac:dyDescent="0.3">
      <c r="A185" s="79" t="str">
        <f t="shared" si="16"/>
        <v>01/03/2022-31/03/2022</v>
      </c>
      <c r="B185" s="78">
        <f>'monitoring results'!B18</f>
        <v>152825</v>
      </c>
      <c r="C185" s="78">
        <f>'monitoring results'!C18</f>
        <v>89703</v>
      </c>
      <c r="D185" s="454"/>
      <c r="E185" s="449"/>
    </row>
    <row r="186" spans="1:5" x14ac:dyDescent="0.3">
      <c r="A186" s="71" t="s">
        <v>172</v>
      </c>
      <c r="B186" s="76">
        <f>B68</f>
        <v>1</v>
      </c>
      <c r="C186" s="76">
        <f>C68</f>
        <v>1</v>
      </c>
      <c r="D186" s="23" t="str">
        <f>D68</f>
        <v>%</v>
      </c>
      <c r="E186" s="75" t="s">
        <v>27</v>
      </c>
    </row>
    <row r="187" spans="1:5" x14ac:dyDescent="0.3">
      <c r="A187" s="132" t="s">
        <v>198</v>
      </c>
      <c r="B187" s="99"/>
      <c r="C187" s="99"/>
      <c r="D187" s="23"/>
      <c r="E187" s="107"/>
    </row>
    <row r="188" spans="1:5" ht="13" customHeight="1" x14ac:dyDescent="0.3">
      <c r="A188" s="79" t="str">
        <f t="shared" ref="A188:A202" si="17">A171</f>
        <v>20/01/2021-31/01/2021</v>
      </c>
      <c r="B188" s="23">
        <f t="shared" ref="B188:B202" si="18">ROUNDDOWN($B$118*B155*B171*$B$186,0)</f>
        <v>0</v>
      </c>
      <c r="C188" s="416">
        <f>ROUNDDOWN($C$118*C155*C171*$C$186,0)</f>
        <v>0</v>
      </c>
      <c r="D188" s="453"/>
      <c r="E188" s="467" t="s">
        <v>348</v>
      </c>
    </row>
    <row r="189" spans="1:5" ht="13" customHeight="1" x14ac:dyDescent="0.3">
      <c r="A189" s="79" t="str">
        <f t="shared" si="17"/>
        <v>01/02/1021-28/02/2021</v>
      </c>
      <c r="B189" s="23">
        <f t="shared" si="18"/>
        <v>0</v>
      </c>
      <c r="C189" s="416">
        <f t="shared" ref="C189:C202" si="19">ROUNDDOWN($C$118*C156*C172*$C$186,0)</f>
        <v>0</v>
      </c>
      <c r="D189" s="453"/>
      <c r="E189" s="467"/>
    </row>
    <row r="190" spans="1:5" ht="13" customHeight="1" x14ac:dyDescent="0.3">
      <c r="A190" s="79" t="str">
        <f t="shared" si="17"/>
        <v>01/03/2021-31/03/3021</v>
      </c>
      <c r="B190" s="23">
        <f t="shared" si="18"/>
        <v>0</v>
      </c>
      <c r="C190" s="416">
        <f t="shared" si="19"/>
        <v>0</v>
      </c>
      <c r="D190" s="453"/>
      <c r="E190" s="467"/>
    </row>
    <row r="191" spans="1:5" ht="13" customHeight="1" x14ac:dyDescent="0.3">
      <c r="A191" s="79" t="str">
        <f t="shared" si="17"/>
        <v>01/04/2021-30/04/2021</v>
      </c>
      <c r="B191" s="23">
        <f t="shared" si="18"/>
        <v>0</v>
      </c>
      <c r="C191" s="416">
        <f t="shared" si="19"/>
        <v>0</v>
      </c>
      <c r="D191" s="453"/>
      <c r="E191" s="467"/>
    </row>
    <row r="192" spans="1:5" ht="13" customHeight="1" x14ac:dyDescent="0.3">
      <c r="A192" s="79" t="str">
        <f t="shared" si="17"/>
        <v>01/05/2021-31/05/2021</v>
      </c>
      <c r="B192" s="23">
        <f t="shared" si="18"/>
        <v>0</v>
      </c>
      <c r="C192" s="416">
        <f t="shared" si="19"/>
        <v>0</v>
      </c>
      <c r="D192" s="453"/>
      <c r="E192" s="467"/>
    </row>
    <row r="193" spans="1:5" ht="13" customHeight="1" x14ac:dyDescent="0.3">
      <c r="A193" s="79" t="str">
        <f t="shared" si="17"/>
        <v>01/06/2021-30/06/2021</v>
      </c>
      <c r="B193" s="23">
        <f t="shared" si="18"/>
        <v>0</v>
      </c>
      <c r="C193" s="416">
        <f t="shared" si="19"/>
        <v>0</v>
      </c>
      <c r="D193" s="453"/>
      <c r="E193" s="467"/>
    </row>
    <row r="194" spans="1:5" ht="13" customHeight="1" x14ac:dyDescent="0.3">
      <c r="A194" s="79" t="str">
        <f t="shared" si="17"/>
        <v>01/07/2021-31/07/2021</v>
      </c>
      <c r="B194" s="23">
        <f t="shared" si="18"/>
        <v>0</v>
      </c>
      <c r="C194" s="416">
        <f t="shared" si="19"/>
        <v>0</v>
      </c>
      <c r="D194" s="453"/>
      <c r="E194" s="467"/>
    </row>
    <row r="195" spans="1:5" ht="13" customHeight="1" x14ac:dyDescent="0.3">
      <c r="A195" s="79" t="str">
        <f t="shared" si="17"/>
        <v>01/08/2021-31/08/2021</v>
      </c>
      <c r="B195" s="23">
        <f t="shared" si="18"/>
        <v>0</v>
      </c>
      <c r="C195" s="416">
        <f t="shared" si="19"/>
        <v>0</v>
      </c>
      <c r="D195" s="453"/>
      <c r="E195" s="467"/>
    </row>
    <row r="196" spans="1:5" ht="13" customHeight="1" x14ac:dyDescent="0.3">
      <c r="A196" s="79" t="str">
        <f t="shared" si="17"/>
        <v>01/09/2021-30/09/2021</v>
      </c>
      <c r="B196" s="23">
        <f t="shared" si="18"/>
        <v>0</v>
      </c>
      <c r="C196" s="416">
        <f t="shared" si="19"/>
        <v>0</v>
      </c>
      <c r="D196" s="453"/>
      <c r="E196" s="467"/>
    </row>
    <row r="197" spans="1:5" ht="13" customHeight="1" x14ac:dyDescent="0.3">
      <c r="A197" s="79" t="str">
        <f t="shared" si="17"/>
        <v>01/10/2021-31/10/2021</v>
      </c>
      <c r="B197" s="23">
        <f t="shared" si="18"/>
        <v>0</v>
      </c>
      <c r="C197" s="416">
        <f t="shared" si="19"/>
        <v>0</v>
      </c>
      <c r="D197" s="453"/>
      <c r="E197" s="467"/>
    </row>
    <row r="198" spans="1:5" ht="13" customHeight="1" x14ac:dyDescent="0.3">
      <c r="A198" s="79" t="str">
        <f t="shared" si="17"/>
        <v>01/11/2021-30/11/2021</v>
      </c>
      <c r="B198" s="23">
        <f t="shared" si="18"/>
        <v>0</v>
      </c>
      <c r="C198" s="416">
        <f t="shared" si="19"/>
        <v>0</v>
      </c>
      <c r="D198" s="453"/>
      <c r="E198" s="467"/>
    </row>
    <row r="199" spans="1:5" ht="13" customHeight="1" x14ac:dyDescent="0.3">
      <c r="A199" s="79" t="str">
        <f t="shared" si="17"/>
        <v>01/12/2021-31/12/2021</v>
      </c>
      <c r="B199" s="23">
        <f t="shared" si="18"/>
        <v>0</v>
      </c>
      <c r="C199" s="416">
        <f t="shared" si="19"/>
        <v>0</v>
      </c>
      <c r="D199" s="453"/>
      <c r="E199" s="467"/>
    </row>
    <row r="200" spans="1:5" ht="13" customHeight="1" x14ac:dyDescent="0.3">
      <c r="A200" s="79" t="str">
        <f t="shared" si="17"/>
        <v>01/01/2022-31/01/2022</v>
      </c>
      <c r="B200" s="23">
        <f t="shared" si="18"/>
        <v>0</v>
      </c>
      <c r="C200" s="416">
        <f t="shared" si="19"/>
        <v>0</v>
      </c>
      <c r="D200" s="453"/>
      <c r="E200" s="467"/>
    </row>
    <row r="201" spans="1:5" ht="13" customHeight="1" x14ac:dyDescent="0.3">
      <c r="A201" s="79" t="str">
        <f t="shared" si="17"/>
        <v>01/02/2022-28/02/2022</v>
      </c>
      <c r="B201" s="23">
        <f t="shared" si="18"/>
        <v>0</v>
      </c>
      <c r="C201" s="416">
        <f t="shared" si="19"/>
        <v>0</v>
      </c>
      <c r="D201" s="453"/>
      <c r="E201" s="467"/>
    </row>
    <row r="202" spans="1:5" ht="13" customHeight="1" x14ac:dyDescent="0.3">
      <c r="A202" s="79" t="str">
        <f t="shared" si="17"/>
        <v>01/03/2022-31/03/2022</v>
      </c>
      <c r="B202" s="23">
        <f t="shared" si="18"/>
        <v>0</v>
      </c>
      <c r="C202" s="416">
        <f t="shared" si="19"/>
        <v>0</v>
      </c>
      <c r="D202" s="454"/>
      <c r="E202" s="467"/>
    </row>
    <row r="203" spans="1:5" ht="15.5" x14ac:dyDescent="0.4">
      <c r="A203" s="87" t="str">
        <f>A101</f>
        <v>01/01/2021-31/12/2021</v>
      </c>
      <c r="B203" s="456">
        <f>SUM(B188:C199)</f>
        <v>0</v>
      </c>
      <c r="C203" s="456"/>
      <c r="D203" s="23" t="s">
        <v>184</v>
      </c>
      <c r="E203" s="467"/>
    </row>
    <row r="204" spans="1:5" ht="15.5" x14ac:dyDescent="0.4">
      <c r="A204" s="87" t="str">
        <f>A102</f>
        <v>01/01/2022-31/03/2022</v>
      </c>
      <c r="B204" s="456">
        <f>SUM(B200:C202)</f>
        <v>0</v>
      </c>
      <c r="C204" s="456"/>
      <c r="D204" s="23" t="s">
        <v>184</v>
      </c>
      <c r="E204" s="467"/>
    </row>
    <row r="205" spans="1:5" ht="16" thickBot="1" x14ac:dyDescent="0.45">
      <c r="A205" s="108" t="s">
        <v>185</v>
      </c>
      <c r="B205" s="458">
        <f>B203+B204</f>
        <v>0</v>
      </c>
      <c r="C205" s="458"/>
      <c r="D205" s="30" t="s">
        <v>186</v>
      </c>
      <c r="E205" s="468"/>
    </row>
    <row r="206" spans="1:5" x14ac:dyDescent="0.3">
      <c r="A206" s="61"/>
      <c r="B206" s="109"/>
      <c r="C206" s="109"/>
      <c r="D206" s="110"/>
      <c r="E206" s="111"/>
    </row>
    <row r="208" spans="1:5" x14ac:dyDescent="0.3">
      <c r="A208" s="61" t="s">
        <v>11</v>
      </c>
    </row>
    <row r="209" spans="1:5" x14ac:dyDescent="0.3">
      <c r="B209" s="94"/>
      <c r="C209" s="61"/>
      <c r="D209" s="61"/>
      <c r="E209" s="62"/>
    </row>
    <row r="210" spans="1:5" x14ac:dyDescent="0.3">
      <c r="B210" s="94"/>
      <c r="C210" s="61"/>
      <c r="D210" s="61"/>
      <c r="E210" s="62"/>
    </row>
    <row r="211" spans="1:5" ht="14" thickBot="1" x14ac:dyDescent="0.35">
      <c r="B211" s="61"/>
      <c r="C211" s="61"/>
    </row>
    <row r="212" spans="1:5" x14ac:dyDescent="0.3">
      <c r="A212" s="96" t="s">
        <v>3</v>
      </c>
      <c r="B212" s="97" t="s">
        <v>9</v>
      </c>
      <c r="C212" s="97"/>
      <c r="D212" s="97" t="s">
        <v>2</v>
      </c>
      <c r="E212" s="97" t="s">
        <v>4</v>
      </c>
    </row>
    <row r="213" spans="1:5" x14ac:dyDescent="0.3">
      <c r="A213" s="98"/>
      <c r="B213" s="99" t="str">
        <f>B117</f>
        <v>Market Swine</v>
      </c>
      <c r="C213" s="99" t="str">
        <f>C117</f>
        <v>Breeding Swine</v>
      </c>
      <c r="D213" s="99"/>
      <c r="E213" s="99"/>
    </row>
    <row r="214" spans="1:5" ht="27" customHeight="1" x14ac:dyDescent="0.4">
      <c r="A214" s="82" t="s">
        <v>187</v>
      </c>
      <c r="B214" s="74">
        <v>0.01</v>
      </c>
      <c r="C214" s="112">
        <v>0.01</v>
      </c>
      <c r="D214" s="23" t="s">
        <v>188</v>
      </c>
      <c r="E214" s="23" t="s">
        <v>37</v>
      </c>
    </row>
    <row r="215" spans="1:5" ht="15.5" x14ac:dyDescent="0.4">
      <c r="A215" s="82" t="s">
        <v>189</v>
      </c>
      <c r="B215" s="76">
        <v>0.4</v>
      </c>
      <c r="C215" s="76">
        <v>0.4</v>
      </c>
      <c r="D215" s="23" t="s">
        <v>1</v>
      </c>
      <c r="E215" s="113" t="s">
        <v>66</v>
      </c>
    </row>
    <row r="216" spans="1:5" ht="15.5" x14ac:dyDescent="0.4">
      <c r="A216" s="25" t="s">
        <v>190</v>
      </c>
      <c r="B216" s="114">
        <f>(B136/B153)*B120</f>
        <v>0</v>
      </c>
      <c r="C216" s="114">
        <f t="shared" ref="C216:C231" si="20">C154</f>
        <v>0</v>
      </c>
      <c r="D216" s="452" t="s">
        <v>118</v>
      </c>
      <c r="E216" s="452" t="s">
        <v>49</v>
      </c>
    </row>
    <row r="217" spans="1:5" x14ac:dyDescent="0.3">
      <c r="A217" s="79" t="str">
        <f t="shared" ref="A217:A231" si="21">A188</f>
        <v>20/01/2021-31/01/2021</v>
      </c>
      <c r="B217" s="115">
        <f t="shared" ref="B217:B231" si="22">B155</f>
        <v>0.30643199999999998</v>
      </c>
      <c r="C217" s="115">
        <f t="shared" si="20"/>
        <v>0.22924799999999995</v>
      </c>
      <c r="D217" s="453"/>
      <c r="E217" s="453"/>
    </row>
    <row r="218" spans="1:5" x14ac:dyDescent="0.3">
      <c r="A218" s="79" t="str">
        <f t="shared" si="21"/>
        <v>01/02/1021-28/02/2021</v>
      </c>
      <c r="B218" s="115">
        <f t="shared" si="22"/>
        <v>0.72441600000000006</v>
      </c>
      <c r="C218" s="115">
        <f t="shared" si="20"/>
        <v>0.51811200000000002</v>
      </c>
      <c r="D218" s="453"/>
      <c r="E218" s="453"/>
    </row>
    <row r="219" spans="1:5" x14ac:dyDescent="0.3">
      <c r="A219" s="79" t="str">
        <f t="shared" si="21"/>
        <v>01/03/2021-31/03/3021</v>
      </c>
      <c r="B219" s="115">
        <f t="shared" si="22"/>
        <v>0.80984400000000001</v>
      </c>
      <c r="C219" s="115">
        <f t="shared" si="20"/>
        <v>0.57659999999999989</v>
      </c>
      <c r="D219" s="453"/>
      <c r="E219" s="453"/>
    </row>
    <row r="220" spans="1:5" x14ac:dyDescent="0.3">
      <c r="A220" s="79" t="str">
        <f t="shared" si="21"/>
        <v>01/04/2021-30/04/2021</v>
      </c>
      <c r="B220" s="115">
        <f t="shared" si="22"/>
        <v>0.78372000000000008</v>
      </c>
      <c r="C220" s="115">
        <f t="shared" si="20"/>
        <v>0.56159999999999988</v>
      </c>
      <c r="D220" s="453"/>
      <c r="E220" s="453"/>
    </row>
    <row r="221" spans="1:5" x14ac:dyDescent="0.3">
      <c r="A221" s="79" t="str">
        <f t="shared" si="21"/>
        <v>01/05/2021-31/05/2021</v>
      </c>
      <c r="B221" s="115">
        <f t="shared" si="22"/>
        <v>0.79812599999999989</v>
      </c>
      <c r="C221" s="115">
        <f t="shared" si="20"/>
        <v>0.58403999999999989</v>
      </c>
      <c r="D221" s="453"/>
      <c r="E221" s="453"/>
    </row>
    <row r="222" spans="1:5" x14ac:dyDescent="0.3">
      <c r="A222" s="79" t="str">
        <f t="shared" si="21"/>
        <v>01/06/2021-30/06/2021</v>
      </c>
      <c r="B222" s="115">
        <f t="shared" si="22"/>
        <v>0.77237999999999996</v>
      </c>
      <c r="C222" s="115">
        <f t="shared" si="20"/>
        <v>0.56015999999999988</v>
      </c>
      <c r="D222" s="453"/>
      <c r="E222" s="453"/>
    </row>
    <row r="223" spans="1:5" x14ac:dyDescent="0.3">
      <c r="A223" s="79" t="str">
        <f t="shared" si="21"/>
        <v>01/07/2021-31/07/2021</v>
      </c>
      <c r="B223" s="115">
        <f t="shared" si="22"/>
        <v>0.79812599999999989</v>
      </c>
      <c r="C223" s="115">
        <f t="shared" si="20"/>
        <v>0.57957599999999998</v>
      </c>
      <c r="D223" s="453"/>
      <c r="E223" s="453"/>
    </row>
    <row r="224" spans="1:5" x14ac:dyDescent="0.3">
      <c r="A224" s="79" t="str">
        <f t="shared" si="21"/>
        <v>01/08/2021-31/08/2021</v>
      </c>
      <c r="B224" s="115">
        <f t="shared" si="22"/>
        <v>0.80854199999999998</v>
      </c>
      <c r="C224" s="115">
        <f t="shared" si="20"/>
        <v>0.58106399999999991</v>
      </c>
      <c r="D224" s="453"/>
      <c r="E224" s="453"/>
    </row>
    <row r="225" spans="1:5" x14ac:dyDescent="0.3">
      <c r="A225" s="79" t="str">
        <f t="shared" si="21"/>
        <v>01/09/2021-30/09/2021</v>
      </c>
      <c r="B225" s="115">
        <f t="shared" si="22"/>
        <v>0.77616000000000007</v>
      </c>
      <c r="C225" s="115">
        <f t="shared" si="20"/>
        <v>0.55799999999999994</v>
      </c>
      <c r="D225" s="453"/>
      <c r="E225" s="453"/>
    </row>
    <row r="226" spans="1:5" x14ac:dyDescent="0.3">
      <c r="A226" s="79" t="str">
        <f t="shared" si="21"/>
        <v>01/10/2021-31/10/2021</v>
      </c>
      <c r="B226" s="115">
        <f t="shared" si="22"/>
        <v>0.79942799999999992</v>
      </c>
      <c r="C226" s="115">
        <f t="shared" si="20"/>
        <v>0.57585600000000003</v>
      </c>
      <c r="D226" s="453"/>
      <c r="E226" s="453"/>
    </row>
    <row r="227" spans="1:5" x14ac:dyDescent="0.3">
      <c r="A227" s="79" t="str">
        <f t="shared" si="21"/>
        <v>01/11/2021-30/11/2021</v>
      </c>
      <c r="B227" s="115">
        <f t="shared" si="22"/>
        <v>0.76355999999999991</v>
      </c>
      <c r="C227" s="115">
        <f t="shared" si="20"/>
        <v>0.55799999999999994</v>
      </c>
      <c r="D227" s="453"/>
      <c r="E227" s="453"/>
    </row>
    <row r="228" spans="1:5" x14ac:dyDescent="0.3">
      <c r="A228" s="79" t="str">
        <f t="shared" si="21"/>
        <v>01/12/2021-31/12/2021</v>
      </c>
      <c r="B228" s="115">
        <f t="shared" si="22"/>
        <v>0.8033340000000001</v>
      </c>
      <c r="C228" s="115">
        <f t="shared" si="20"/>
        <v>0.57659999999999989</v>
      </c>
      <c r="D228" s="453"/>
      <c r="E228" s="453"/>
    </row>
    <row r="229" spans="1:5" x14ac:dyDescent="0.3">
      <c r="A229" s="79" t="str">
        <f t="shared" si="21"/>
        <v>01/01/2022-31/01/2022</v>
      </c>
      <c r="B229" s="115">
        <f t="shared" si="22"/>
        <v>0.786408</v>
      </c>
      <c r="C229" s="115">
        <f t="shared" si="20"/>
        <v>0.59073599999999993</v>
      </c>
      <c r="D229" s="453"/>
      <c r="E229" s="453"/>
    </row>
    <row r="230" spans="1:5" x14ac:dyDescent="0.3">
      <c r="A230" s="79" t="str">
        <f t="shared" si="21"/>
        <v>01/02/2022-28/02/2022</v>
      </c>
      <c r="B230" s="115">
        <f t="shared" si="22"/>
        <v>0.72441600000000006</v>
      </c>
      <c r="C230" s="115">
        <f t="shared" si="20"/>
        <v>0.52348800000000006</v>
      </c>
      <c r="D230" s="453"/>
      <c r="E230" s="453"/>
    </row>
    <row r="231" spans="1:5" x14ac:dyDescent="0.3">
      <c r="A231" s="79" t="str">
        <f t="shared" si="21"/>
        <v>01/03/2022-31/03/2022</v>
      </c>
      <c r="B231" s="115">
        <f t="shared" si="22"/>
        <v>0.80724000000000007</v>
      </c>
      <c r="C231" s="115">
        <f t="shared" si="20"/>
        <v>0.57957599999999998</v>
      </c>
      <c r="D231" s="454"/>
      <c r="E231" s="454"/>
    </row>
    <row r="232" spans="1:5" ht="13.5" customHeight="1" x14ac:dyDescent="0.3">
      <c r="A232" s="25" t="s">
        <v>183</v>
      </c>
      <c r="B232" s="78"/>
      <c r="C232" s="78"/>
      <c r="D232" s="452" t="str">
        <f>D170</f>
        <v>No of heads</v>
      </c>
      <c r="E232" s="447" t="str">
        <f>E170</f>
        <v>calculated as equatoin 4 and 5 in MR, of which NLT for marke swine and breeding swine is sourced from  "Export record form of market swine" and " Breeding swine stock record"</v>
      </c>
    </row>
    <row r="233" spans="1:5" x14ac:dyDescent="0.3">
      <c r="A233" s="79" t="str">
        <f t="shared" ref="A233:A247" si="23">A217</f>
        <v>20/01/2021-31/01/2021</v>
      </c>
      <c r="B233" s="78">
        <f t="shared" ref="B233:C248" si="24">B171</f>
        <v>152825</v>
      </c>
      <c r="C233" s="78">
        <f t="shared" si="24"/>
        <v>89885</v>
      </c>
      <c r="D233" s="453"/>
      <c r="E233" s="448"/>
    </row>
    <row r="234" spans="1:5" x14ac:dyDescent="0.3">
      <c r="A234" s="79" t="str">
        <f t="shared" si="23"/>
        <v>01/02/1021-28/02/2021</v>
      </c>
      <c r="B234" s="78">
        <f t="shared" si="24"/>
        <v>152825</v>
      </c>
      <c r="C234" s="78">
        <f t="shared" si="24"/>
        <v>89832</v>
      </c>
      <c r="D234" s="453"/>
      <c r="E234" s="448"/>
    </row>
    <row r="235" spans="1:5" x14ac:dyDescent="0.3">
      <c r="A235" s="79" t="str">
        <f t="shared" si="23"/>
        <v>01/03/2021-31/03/3021</v>
      </c>
      <c r="B235" s="78">
        <f t="shared" si="24"/>
        <v>152825</v>
      </c>
      <c r="C235" s="78">
        <f t="shared" si="24"/>
        <v>89845</v>
      </c>
      <c r="D235" s="453"/>
      <c r="E235" s="448"/>
    </row>
    <row r="236" spans="1:5" x14ac:dyDescent="0.3">
      <c r="A236" s="79" t="str">
        <f t="shared" si="23"/>
        <v>01/04/2021-30/04/2021</v>
      </c>
      <c r="B236" s="78">
        <f t="shared" si="24"/>
        <v>152825</v>
      </c>
      <c r="C236" s="78">
        <f t="shared" si="24"/>
        <v>89915</v>
      </c>
      <c r="D236" s="453"/>
      <c r="E236" s="448"/>
    </row>
    <row r="237" spans="1:5" x14ac:dyDescent="0.3">
      <c r="A237" s="79" t="str">
        <f t="shared" si="23"/>
        <v>01/05/2021-31/05/2021</v>
      </c>
      <c r="B237" s="78">
        <f t="shared" si="24"/>
        <v>152825</v>
      </c>
      <c r="C237" s="78">
        <f t="shared" si="24"/>
        <v>89809</v>
      </c>
      <c r="D237" s="453"/>
      <c r="E237" s="448"/>
    </row>
    <row r="238" spans="1:5" x14ac:dyDescent="0.3">
      <c r="A238" s="79" t="str">
        <f t="shared" si="23"/>
        <v>01/06/2021-30/06/2021</v>
      </c>
      <c r="B238" s="78">
        <f t="shared" si="24"/>
        <v>152825</v>
      </c>
      <c r="C238" s="78">
        <f t="shared" si="24"/>
        <v>89754</v>
      </c>
      <c r="D238" s="453"/>
      <c r="E238" s="448"/>
    </row>
    <row r="239" spans="1:5" x14ac:dyDescent="0.3">
      <c r="A239" s="79" t="str">
        <f t="shared" si="23"/>
        <v>01/07/2021-31/07/2021</v>
      </c>
      <c r="B239" s="78">
        <f t="shared" si="24"/>
        <v>152825</v>
      </c>
      <c r="C239" s="78">
        <f t="shared" si="24"/>
        <v>89905</v>
      </c>
      <c r="D239" s="453"/>
      <c r="E239" s="448"/>
    </row>
    <row r="240" spans="1:5" x14ac:dyDescent="0.3">
      <c r="A240" s="79" t="str">
        <f t="shared" si="23"/>
        <v>01/08/2021-31/08/2021</v>
      </c>
      <c r="B240" s="78">
        <f t="shared" si="24"/>
        <v>152825</v>
      </c>
      <c r="C240" s="78">
        <f t="shared" si="24"/>
        <v>89670</v>
      </c>
      <c r="D240" s="453"/>
      <c r="E240" s="448"/>
    </row>
    <row r="241" spans="1:5" x14ac:dyDescent="0.3">
      <c r="A241" s="79" t="str">
        <f t="shared" si="23"/>
        <v>01/09/2021-30/09/2021</v>
      </c>
      <c r="B241" s="78">
        <f t="shared" si="24"/>
        <v>152825</v>
      </c>
      <c r="C241" s="78">
        <f t="shared" si="24"/>
        <v>89854</v>
      </c>
      <c r="D241" s="453"/>
      <c r="E241" s="448"/>
    </row>
    <row r="242" spans="1:5" x14ac:dyDescent="0.3">
      <c r="A242" s="79" t="str">
        <f t="shared" si="23"/>
        <v>01/10/2021-31/10/2021</v>
      </c>
      <c r="B242" s="78">
        <f t="shared" si="24"/>
        <v>152825</v>
      </c>
      <c r="C242" s="78">
        <f t="shared" si="24"/>
        <v>89790</v>
      </c>
      <c r="D242" s="453"/>
      <c r="E242" s="448"/>
    </row>
    <row r="243" spans="1:5" x14ac:dyDescent="0.3">
      <c r="A243" s="79" t="str">
        <f t="shared" si="23"/>
        <v>01/11/2021-30/11/2021</v>
      </c>
      <c r="B243" s="78">
        <f t="shared" si="24"/>
        <v>152825</v>
      </c>
      <c r="C243" s="78">
        <f t="shared" si="24"/>
        <v>89905</v>
      </c>
      <c r="D243" s="453"/>
      <c r="E243" s="448"/>
    </row>
    <row r="244" spans="1:5" x14ac:dyDescent="0.3">
      <c r="A244" s="79" t="str">
        <f t="shared" si="23"/>
        <v>01/12/2021-31/12/2021</v>
      </c>
      <c r="B244" s="78">
        <f t="shared" si="24"/>
        <v>152825</v>
      </c>
      <c r="C244" s="78">
        <f t="shared" si="24"/>
        <v>89761</v>
      </c>
      <c r="D244" s="453"/>
      <c r="E244" s="448"/>
    </row>
    <row r="245" spans="1:5" x14ac:dyDescent="0.3">
      <c r="A245" s="79" t="str">
        <f t="shared" si="23"/>
        <v>01/01/2022-31/01/2022</v>
      </c>
      <c r="B245" s="78">
        <f t="shared" si="24"/>
        <v>152825</v>
      </c>
      <c r="C245" s="78">
        <f t="shared" si="24"/>
        <v>89894</v>
      </c>
      <c r="D245" s="453"/>
      <c r="E245" s="448"/>
    </row>
    <row r="246" spans="1:5" x14ac:dyDescent="0.3">
      <c r="A246" s="79" t="str">
        <f t="shared" si="23"/>
        <v>01/02/2022-28/02/2022</v>
      </c>
      <c r="B246" s="78">
        <f t="shared" si="24"/>
        <v>152825</v>
      </c>
      <c r="C246" s="78">
        <f t="shared" si="24"/>
        <v>89820</v>
      </c>
      <c r="D246" s="453"/>
      <c r="E246" s="448"/>
    </row>
    <row r="247" spans="1:5" x14ac:dyDescent="0.3">
      <c r="A247" s="79" t="str">
        <f t="shared" si="23"/>
        <v>01/03/2022-31/03/2022</v>
      </c>
      <c r="B247" s="78">
        <f t="shared" si="24"/>
        <v>152825</v>
      </c>
      <c r="C247" s="78">
        <f t="shared" si="24"/>
        <v>89703</v>
      </c>
      <c r="D247" s="454"/>
      <c r="E247" s="449"/>
    </row>
    <row r="248" spans="1:5" x14ac:dyDescent="0.3">
      <c r="A248" s="71" t="s">
        <v>172</v>
      </c>
      <c r="B248" s="76">
        <f t="shared" si="24"/>
        <v>1</v>
      </c>
      <c r="C248" s="76">
        <f t="shared" si="24"/>
        <v>1</v>
      </c>
      <c r="D248" s="23" t="str">
        <f>D186</f>
        <v>%</v>
      </c>
      <c r="E248" s="75" t="s">
        <v>107</v>
      </c>
    </row>
    <row r="249" spans="1:5" ht="25" customHeight="1" x14ac:dyDescent="0.4">
      <c r="A249" s="25" t="s">
        <v>191</v>
      </c>
      <c r="B249" s="116">
        <v>265</v>
      </c>
      <c r="C249" s="116">
        <v>265</v>
      </c>
      <c r="D249" s="23" t="s">
        <v>192</v>
      </c>
      <c r="E249" s="73" t="s">
        <v>117</v>
      </c>
    </row>
    <row r="250" spans="1:5" ht="15.5" x14ac:dyDescent="0.4">
      <c r="A250" s="25" t="s">
        <v>193</v>
      </c>
      <c r="B250" s="114">
        <f>44/28</f>
        <v>1.5714285714285714</v>
      </c>
      <c r="C250" s="114">
        <f>44/28</f>
        <v>1.5714285714285714</v>
      </c>
      <c r="D250" s="23" t="s">
        <v>194</v>
      </c>
      <c r="E250" s="75" t="s">
        <v>347</v>
      </c>
    </row>
    <row r="251" spans="1:5" ht="15.5" x14ac:dyDescent="0.4">
      <c r="A251" s="25" t="s">
        <v>369</v>
      </c>
      <c r="B251" s="114"/>
      <c r="C251" s="114"/>
      <c r="D251" s="23"/>
      <c r="E251" s="75"/>
    </row>
    <row r="252" spans="1:5" x14ac:dyDescent="0.3">
      <c r="A252" s="79" t="str">
        <f t="shared" ref="A252:A266" si="25">A233</f>
        <v>20/01/2021-31/01/2021</v>
      </c>
      <c r="B252" s="117">
        <f>ROUNDDOWN($B$214*$B$215*B217*B233*$B$248,0)</f>
        <v>187</v>
      </c>
      <c r="C252" s="417">
        <f>ROUNDDOWN($C$214*$C$215*C217*C233*$C$248,0)</f>
        <v>82</v>
      </c>
      <c r="D252" s="453" t="s">
        <v>184</v>
      </c>
      <c r="E252" s="450" t="s">
        <v>348</v>
      </c>
    </row>
    <row r="253" spans="1:5" x14ac:dyDescent="0.3">
      <c r="A253" s="79" t="str">
        <f t="shared" si="25"/>
        <v>01/02/1021-28/02/2021</v>
      </c>
      <c r="B253" s="117">
        <f t="shared" ref="B253:B266" si="26">ROUNDDOWN($B$214*$B$215*B218*B234*$B$248,0)</f>
        <v>442</v>
      </c>
      <c r="C253" s="417">
        <f t="shared" ref="C253:C266" si="27">ROUNDDOWN($C$214*$C$215*C218*C234*$C$248,0)</f>
        <v>186</v>
      </c>
      <c r="D253" s="453"/>
      <c r="E253" s="450"/>
    </row>
    <row r="254" spans="1:5" x14ac:dyDescent="0.3">
      <c r="A254" s="79" t="str">
        <f t="shared" si="25"/>
        <v>01/03/2021-31/03/3021</v>
      </c>
      <c r="B254" s="117">
        <f t="shared" si="26"/>
        <v>495</v>
      </c>
      <c r="C254" s="417">
        <f t="shared" si="27"/>
        <v>207</v>
      </c>
      <c r="D254" s="453"/>
      <c r="E254" s="450"/>
    </row>
    <row r="255" spans="1:5" x14ac:dyDescent="0.3">
      <c r="A255" s="79" t="str">
        <f t="shared" si="25"/>
        <v>01/04/2021-30/04/2021</v>
      </c>
      <c r="B255" s="117">
        <f t="shared" si="26"/>
        <v>479</v>
      </c>
      <c r="C255" s="417">
        <f t="shared" si="27"/>
        <v>201</v>
      </c>
      <c r="D255" s="453"/>
      <c r="E255" s="450"/>
    </row>
    <row r="256" spans="1:5" x14ac:dyDescent="0.3">
      <c r="A256" s="79" t="str">
        <f t="shared" si="25"/>
        <v>01/05/2021-31/05/2021</v>
      </c>
      <c r="B256" s="117">
        <f t="shared" si="26"/>
        <v>487</v>
      </c>
      <c r="C256" s="417">
        <f t="shared" si="27"/>
        <v>209</v>
      </c>
      <c r="D256" s="453"/>
      <c r="E256" s="450"/>
    </row>
    <row r="257" spans="1:6" x14ac:dyDescent="0.3">
      <c r="A257" s="79" t="str">
        <f t="shared" si="25"/>
        <v>01/06/2021-30/06/2021</v>
      </c>
      <c r="B257" s="117">
        <f t="shared" si="26"/>
        <v>472</v>
      </c>
      <c r="C257" s="417">
        <f t="shared" si="27"/>
        <v>201</v>
      </c>
      <c r="D257" s="453"/>
      <c r="E257" s="450"/>
    </row>
    <row r="258" spans="1:6" x14ac:dyDescent="0.3">
      <c r="A258" s="79" t="str">
        <f t="shared" si="25"/>
        <v>01/07/2021-31/07/2021</v>
      </c>
      <c r="B258" s="117">
        <f t="shared" si="26"/>
        <v>487</v>
      </c>
      <c r="C258" s="417">
        <f t="shared" si="27"/>
        <v>208</v>
      </c>
      <c r="D258" s="453"/>
      <c r="E258" s="450"/>
    </row>
    <row r="259" spans="1:6" x14ac:dyDescent="0.3">
      <c r="A259" s="79" t="str">
        <f t="shared" si="25"/>
        <v>01/08/2021-31/08/2021</v>
      </c>
      <c r="B259" s="117">
        <f t="shared" si="26"/>
        <v>494</v>
      </c>
      <c r="C259" s="417">
        <f t="shared" si="27"/>
        <v>208</v>
      </c>
      <c r="D259" s="453"/>
      <c r="E259" s="450"/>
    </row>
    <row r="260" spans="1:6" x14ac:dyDescent="0.3">
      <c r="A260" s="79" t="str">
        <f t="shared" si="25"/>
        <v>01/09/2021-30/09/2021</v>
      </c>
      <c r="B260" s="117">
        <f t="shared" si="26"/>
        <v>474</v>
      </c>
      <c r="C260" s="417">
        <f t="shared" si="27"/>
        <v>200</v>
      </c>
      <c r="D260" s="453"/>
      <c r="E260" s="450"/>
    </row>
    <row r="261" spans="1:6" x14ac:dyDescent="0.3">
      <c r="A261" s="79" t="str">
        <f t="shared" si="25"/>
        <v>01/10/2021-31/10/2021</v>
      </c>
      <c r="B261" s="117">
        <f t="shared" si="26"/>
        <v>488</v>
      </c>
      <c r="C261" s="417">
        <f t="shared" si="27"/>
        <v>206</v>
      </c>
      <c r="D261" s="453"/>
      <c r="E261" s="450"/>
    </row>
    <row r="262" spans="1:6" x14ac:dyDescent="0.3">
      <c r="A262" s="79" t="str">
        <f t="shared" si="25"/>
        <v>01/11/2021-30/11/2021</v>
      </c>
      <c r="B262" s="117">
        <f t="shared" si="26"/>
        <v>466</v>
      </c>
      <c r="C262" s="417">
        <f t="shared" si="27"/>
        <v>200</v>
      </c>
      <c r="D262" s="453"/>
      <c r="E262" s="450"/>
    </row>
    <row r="263" spans="1:6" x14ac:dyDescent="0.3">
      <c r="A263" s="79" t="str">
        <f t="shared" si="25"/>
        <v>01/12/2021-31/12/2021</v>
      </c>
      <c r="B263" s="117">
        <f t="shared" si="26"/>
        <v>491</v>
      </c>
      <c r="C263" s="417">
        <f t="shared" si="27"/>
        <v>207</v>
      </c>
      <c r="D263" s="453"/>
      <c r="E263" s="450"/>
    </row>
    <row r="264" spans="1:6" x14ac:dyDescent="0.3">
      <c r="A264" s="79" t="str">
        <f t="shared" si="25"/>
        <v>01/01/2022-31/01/2022</v>
      </c>
      <c r="B264" s="117">
        <f t="shared" si="26"/>
        <v>480</v>
      </c>
      <c r="C264" s="417">
        <f t="shared" si="27"/>
        <v>212</v>
      </c>
      <c r="D264" s="453"/>
      <c r="E264" s="450"/>
    </row>
    <row r="265" spans="1:6" x14ac:dyDescent="0.3">
      <c r="A265" s="79" t="str">
        <f t="shared" si="25"/>
        <v>01/02/2022-28/02/2022</v>
      </c>
      <c r="B265" s="117">
        <f t="shared" si="26"/>
        <v>442</v>
      </c>
      <c r="C265" s="417">
        <f t="shared" si="27"/>
        <v>188</v>
      </c>
      <c r="D265" s="453"/>
      <c r="E265" s="450"/>
    </row>
    <row r="266" spans="1:6" x14ac:dyDescent="0.3">
      <c r="A266" s="79" t="str">
        <f t="shared" si="25"/>
        <v>01/03/2022-31/03/2022</v>
      </c>
      <c r="B266" s="117">
        <f t="shared" si="26"/>
        <v>493</v>
      </c>
      <c r="C266" s="417">
        <f t="shared" si="27"/>
        <v>207</v>
      </c>
      <c r="D266" s="454"/>
      <c r="E266" s="450"/>
    </row>
    <row r="267" spans="1:6" ht="15.5" x14ac:dyDescent="0.4">
      <c r="A267" s="87" t="str">
        <f>A203</f>
        <v>01/01/2021-31/12/2021</v>
      </c>
      <c r="B267" s="455">
        <f>SUM(B252:C263)</f>
        <v>7777</v>
      </c>
      <c r="C267" s="456"/>
      <c r="D267" s="23" t="s">
        <v>186</v>
      </c>
      <c r="E267" s="450"/>
    </row>
    <row r="268" spans="1:6" ht="15.5" x14ac:dyDescent="0.4">
      <c r="A268" s="87" t="str">
        <f>A204</f>
        <v>01/01/2022-31/03/2022</v>
      </c>
      <c r="B268" s="455">
        <f>SUM(B264:C266)</f>
        <v>2022</v>
      </c>
      <c r="C268" s="456"/>
      <c r="D268" s="23" t="s">
        <v>186</v>
      </c>
      <c r="E268" s="450"/>
    </row>
    <row r="269" spans="1:6" ht="16" thickBot="1" x14ac:dyDescent="0.45">
      <c r="A269" s="108" t="s">
        <v>195</v>
      </c>
      <c r="B269" s="457">
        <f>B267+B268</f>
        <v>9799</v>
      </c>
      <c r="C269" s="457"/>
      <c r="D269" s="30" t="s">
        <v>184</v>
      </c>
      <c r="E269" s="451"/>
    </row>
    <row r="270" spans="1:6" x14ac:dyDescent="0.3">
      <c r="A270" s="61"/>
      <c r="B270" s="118"/>
      <c r="C270" s="118"/>
    </row>
    <row r="271" spans="1:6" ht="16.5" thickBot="1" x14ac:dyDescent="0.45">
      <c r="A271" s="445" t="s">
        <v>196</v>
      </c>
      <c r="B271" s="446"/>
      <c r="C271" s="446"/>
      <c r="D271" s="446"/>
      <c r="E271" s="418">
        <f>B272+B273</f>
        <v>4080</v>
      </c>
      <c r="F271" s="418" t="s">
        <v>370</v>
      </c>
    </row>
    <row r="272" spans="1:6" s="61" customFormat="1" ht="15.5" x14ac:dyDescent="0.4">
      <c r="A272" s="119" t="str">
        <f>A267</f>
        <v>01/01/2021-31/12/2021</v>
      </c>
      <c r="B272" s="419">
        <f>INT(B249*B250/1000*(B267+B203))</f>
        <v>3238</v>
      </c>
      <c r="C272" s="420" t="s">
        <v>370</v>
      </c>
    </row>
    <row r="273" spans="1:6" ht="16" thickBot="1" x14ac:dyDescent="0.45">
      <c r="A273" s="425" t="str">
        <f>A268</f>
        <v>01/01/2022-31/03/2022</v>
      </c>
      <c r="B273" s="426">
        <f>INT(B250*B249/1000*(B268+B204))</f>
        <v>842</v>
      </c>
      <c r="C273" s="424" t="s">
        <v>370</v>
      </c>
    </row>
    <row r="274" spans="1:6" x14ac:dyDescent="0.3">
      <c r="A274" s="120"/>
      <c r="B274" s="121"/>
      <c r="C274" s="122"/>
      <c r="D274" s="110"/>
    </row>
    <row r="275" spans="1:6" ht="16" x14ac:dyDescent="0.4">
      <c r="A275" s="123" t="s">
        <v>92</v>
      </c>
      <c r="B275" s="124"/>
      <c r="C275" s="125" t="s">
        <v>197</v>
      </c>
      <c r="D275" s="126"/>
      <c r="E275" s="418">
        <f>B277+B278</f>
        <v>301770</v>
      </c>
      <c r="F275" s="418" t="s">
        <v>370</v>
      </c>
    </row>
    <row r="276" spans="1:6" ht="14" thickBot="1" x14ac:dyDescent="0.35">
      <c r="B276" s="127"/>
    </row>
    <row r="277" spans="1:6" ht="15.5" x14ac:dyDescent="0.4">
      <c r="A277" s="119" t="str">
        <f t="shared" ref="A277:A278" si="28">A272</f>
        <v>01/01/2021-31/12/2021</v>
      </c>
      <c r="B277" s="419">
        <f>ROUNDDOWN(B272+B101,0)</f>
        <v>239414</v>
      </c>
      <c r="C277" s="420" t="s">
        <v>370</v>
      </c>
      <c r="D277" s="128"/>
    </row>
    <row r="278" spans="1:6" ht="15.5" x14ac:dyDescent="0.4">
      <c r="A278" s="87" t="str">
        <f t="shared" si="28"/>
        <v>01/01/2022-31/03/2022</v>
      </c>
      <c r="B278" s="421">
        <f>ROUNDDOWN(B273+B102,0)</f>
        <v>62356</v>
      </c>
      <c r="C278" s="422" t="s">
        <v>370</v>
      </c>
      <c r="D278" s="128"/>
    </row>
    <row r="279" spans="1:6" ht="16" thickBot="1" x14ac:dyDescent="0.45">
      <c r="A279" s="33" t="s">
        <v>119</v>
      </c>
      <c r="B279" s="423">
        <f>B277+B278</f>
        <v>301770</v>
      </c>
      <c r="C279" s="424" t="s">
        <v>370</v>
      </c>
    </row>
    <row r="284" spans="1:6" x14ac:dyDescent="0.3">
      <c r="D284" s="129"/>
    </row>
  </sheetData>
  <mergeCells count="35">
    <mergeCell ref="D155:D169"/>
    <mergeCell ref="E155:E169"/>
    <mergeCell ref="E188:E205"/>
    <mergeCell ref="B102:C102"/>
    <mergeCell ref="E52:E67"/>
    <mergeCell ref="D52:D67"/>
    <mergeCell ref="D120:D135"/>
    <mergeCell ref="E120:E135"/>
    <mergeCell ref="A106:D106"/>
    <mergeCell ref="D69:D84"/>
    <mergeCell ref="E69:E84"/>
    <mergeCell ref="E86:E103"/>
    <mergeCell ref="B101:C101"/>
    <mergeCell ref="D18:D33"/>
    <mergeCell ref="E18:E32"/>
    <mergeCell ref="D34:D49"/>
    <mergeCell ref="E34:E49"/>
    <mergeCell ref="D136:D151"/>
    <mergeCell ref="E136:E151"/>
    <mergeCell ref="A271:D271"/>
    <mergeCell ref="E170:E185"/>
    <mergeCell ref="E252:E269"/>
    <mergeCell ref="D232:D247"/>
    <mergeCell ref="E232:E247"/>
    <mergeCell ref="D216:D231"/>
    <mergeCell ref="E216:E231"/>
    <mergeCell ref="B267:C267"/>
    <mergeCell ref="B268:C268"/>
    <mergeCell ref="B269:C269"/>
    <mergeCell ref="B203:C203"/>
    <mergeCell ref="B204:C204"/>
    <mergeCell ref="B205:C205"/>
    <mergeCell ref="D188:D202"/>
    <mergeCell ref="D170:D185"/>
    <mergeCell ref="D252:D266"/>
  </mergeCells>
  <phoneticPr fontId="1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5"/>
  <sheetViews>
    <sheetView zoomScaleNormal="100" workbookViewId="0">
      <selection activeCell="G163" sqref="G163"/>
    </sheetView>
  </sheetViews>
  <sheetFormatPr defaultColWidth="8.7265625" defaultRowHeight="13.5" x14ac:dyDescent="0.3"/>
  <cols>
    <col min="1" max="1" width="35.1796875" style="22" customWidth="1"/>
    <col min="2" max="2" width="29.81640625" style="22" customWidth="1"/>
    <col min="3" max="3" width="24.453125" style="22" customWidth="1"/>
    <col min="4" max="4" width="31.36328125" style="22" customWidth="1"/>
    <col min="5" max="5" width="47" style="22" customWidth="1"/>
    <col min="6" max="6" width="8.7265625" style="22"/>
    <col min="7" max="7" width="11.7265625" style="22" bestFit="1" customWidth="1"/>
    <col min="8" max="10" width="13" style="22" bestFit="1" customWidth="1"/>
    <col min="11" max="16384" width="8.7265625" style="22"/>
  </cols>
  <sheetData>
    <row r="1" spans="1:5" ht="15" x14ac:dyDescent="0.3">
      <c r="A1" s="60" t="s">
        <v>41</v>
      </c>
    </row>
    <row r="3" spans="1:5" x14ac:dyDescent="0.3">
      <c r="E3" s="92"/>
    </row>
    <row r="4" spans="1:5" x14ac:dyDescent="0.3">
      <c r="A4" s="134" t="s">
        <v>19</v>
      </c>
    </row>
    <row r="5" spans="1:5" x14ac:dyDescent="0.3">
      <c r="A5" s="134"/>
    </row>
    <row r="6" spans="1:5" ht="15.5" x14ac:dyDescent="0.4">
      <c r="A6" s="135" t="s">
        <v>366</v>
      </c>
      <c r="B6" s="135"/>
    </row>
    <row r="7" spans="1:5" x14ac:dyDescent="0.3">
      <c r="A7" s="61"/>
    </row>
    <row r="8" spans="1:5" ht="15" x14ac:dyDescent="0.3">
      <c r="A8" s="136"/>
      <c r="B8" s="137"/>
      <c r="D8" s="138"/>
      <c r="E8" s="92"/>
    </row>
    <row r="9" spans="1:5" ht="15" x14ac:dyDescent="0.3">
      <c r="A9" s="136"/>
      <c r="B9" s="137"/>
      <c r="C9" s="139"/>
      <c r="D9" s="139"/>
      <c r="E9" s="92"/>
    </row>
    <row r="10" spans="1:5" ht="15" x14ac:dyDescent="0.3">
      <c r="A10" s="136"/>
      <c r="B10" s="137"/>
      <c r="C10" s="139"/>
      <c r="D10" s="139"/>
      <c r="E10" s="92"/>
    </row>
    <row r="11" spans="1:5" ht="15" x14ac:dyDescent="0.3">
      <c r="B11" s="137"/>
      <c r="C11" s="139"/>
      <c r="D11" s="139"/>
      <c r="E11" s="92"/>
    </row>
    <row r="12" spans="1:5" ht="15.5" thickBot="1" x14ac:dyDescent="0.35">
      <c r="A12" s="136"/>
      <c r="B12" s="137"/>
      <c r="C12" s="139"/>
      <c r="D12" s="139"/>
    </row>
    <row r="13" spans="1:5" x14ac:dyDescent="0.3">
      <c r="A13" s="140" t="s">
        <v>60</v>
      </c>
      <c r="B13" s="97" t="s">
        <v>59</v>
      </c>
      <c r="C13" s="97" t="s">
        <v>57</v>
      </c>
      <c r="D13" s="487" t="s">
        <v>58</v>
      </c>
      <c r="E13" s="488"/>
    </row>
    <row r="14" spans="1:5" ht="15" customHeight="1" x14ac:dyDescent="0.4">
      <c r="A14" s="141" t="s">
        <v>201</v>
      </c>
      <c r="B14" s="32"/>
      <c r="C14" s="528" t="s">
        <v>108</v>
      </c>
      <c r="D14" s="511" t="s">
        <v>349</v>
      </c>
      <c r="E14" s="512"/>
    </row>
    <row r="15" spans="1:5" ht="15" customHeight="1" x14ac:dyDescent="0.3">
      <c r="A15" s="79" t="str">
        <f>'Baseline emission'!A252</f>
        <v>20/01/2021-31/01/2021</v>
      </c>
      <c r="B15" s="32">
        <f>'monitoring results'!B24</f>
        <v>6.2623100000000003</v>
      </c>
      <c r="C15" s="529"/>
      <c r="D15" s="513"/>
      <c r="E15" s="514"/>
    </row>
    <row r="16" spans="1:5" ht="15" customHeight="1" x14ac:dyDescent="0.3">
      <c r="A16" s="79" t="str">
        <f>'Baseline emission'!A253</f>
        <v>01/02/1021-28/02/2021</v>
      </c>
      <c r="B16" s="32">
        <f>'monitoring results'!B25</f>
        <v>16.16046</v>
      </c>
      <c r="C16" s="529"/>
      <c r="D16" s="513"/>
      <c r="E16" s="514"/>
    </row>
    <row r="17" spans="1:5" ht="15" customHeight="1" x14ac:dyDescent="0.3">
      <c r="A17" s="79" t="str">
        <f>'Baseline emission'!A254</f>
        <v>01/03/2021-31/03/3021</v>
      </c>
      <c r="B17" s="32">
        <f>'monitoring results'!B26</f>
        <v>16.153500000000001</v>
      </c>
      <c r="C17" s="529"/>
      <c r="D17" s="513"/>
      <c r="E17" s="514"/>
    </row>
    <row r="18" spans="1:5" ht="15" customHeight="1" x14ac:dyDescent="0.3">
      <c r="A18" s="79" t="str">
        <f>'Baseline emission'!A255</f>
        <v>01/04/2021-30/04/2021</v>
      </c>
      <c r="B18" s="32">
        <f>'monitoring results'!B27</f>
        <v>16.148859999999999</v>
      </c>
      <c r="C18" s="529"/>
      <c r="D18" s="513"/>
      <c r="E18" s="514"/>
    </row>
    <row r="19" spans="1:5" ht="15" customHeight="1" x14ac:dyDescent="0.3">
      <c r="A19" s="79" t="str">
        <f>'Baseline emission'!A256</f>
        <v>01/05/2021-31/05/2021</v>
      </c>
      <c r="B19" s="32">
        <f>'monitoring results'!B28</f>
        <v>16.164359999999999</v>
      </c>
      <c r="C19" s="529"/>
      <c r="D19" s="513"/>
      <c r="E19" s="514"/>
    </row>
    <row r="20" spans="1:5" ht="15" customHeight="1" x14ac:dyDescent="0.3">
      <c r="A20" s="79" t="str">
        <f>'Baseline emission'!A257</f>
        <v>01/06/2021-30/06/2021</v>
      </c>
      <c r="B20" s="32">
        <f>'monitoring results'!B29</f>
        <v>16.145630000000001</v>
      </c>
      <c r="C20" s="529"/>
      <c r="D20" s="513"/>
      <c r="E20" s="514"/>
    </row>
    <row r="21" spans="1:5" ht="15" customHeight="1" x14ac:dyDescent="0.3">
      <c r="A21" s="79" t="str">
        <f>'Baseline emission'!A258</f>
        <v>01/07/2021-31/07/2021</v>
      </c>
      <c r="B21" s="32">
        <f>'monitoring results'!B30</f>
        <v>16.169799999999999</v>
      </c>
      <c r="C21" s="529"/>
      <c r="D21" s="513"/>
      <c r="E21" s="514"/>
    </row>
    <row r="22" spans="1:5" ht="15" customHeight="1" x14ac:dyDescent="0.3">
      <c r="A22" s="79" t="str">
        <f>'Baseline emission'!A259</f>
        <v>01/08/2021-31/08/2021</v>
      </c>
      <c r="B22" s="32">
        <f>'monitoring results'!B31</f>
        <v>16.146369999999997</v>
      </c>
      <c r="C22" s="529"/>
      <c r="D22" s="513"/>
      <c r="E22" s="514"/>
    </row>
    <row r="23" spans="1:5" ht="15" customHeight="1" x14ac:dyDescent="0.3">
      <c r="A23" s="79" t="str">
        <f>'Baseline emission'!A260</f>
        <v>01/09/2021-30/09/2021</v>
      </c>
      <c r="B23" s="32">
        <f>'monitoring results'!B32</f>
        <v>16.166059999999998</v>
      </c>
      <c r="C23" s="529"/>
      <c r="D23" s="513"/>
      <c r="E23" s="514"/>
    </row>
    <row r="24" spans="1:5" ht="15" customHeight="1" x14ac:dyDescent="0.3">
      <c r="A24" s="79" t="str">
        <f>'Baseline emission'!A261</f>
        <v>01/10/2021-31/10/2021</v>
      </c>
      <c r="B24" s="32">
        <f>'monitoring results'!B33</f>
        <v>16.14432</v>
      </c>
      <c r="C24" s="529"/>
      <c r="D24" s="513"/>
      <c r="E24" s="514"/>
    </row>
    <row r="25" spans="1:5" ht="15" customHeight="1" x14ac:dyDescent="0.3">
      <c r="A25" s="79" t="str">
        <f>'Baseline emission'!A262</f>
        <v>01/11/2021-30/11/2021</v>
      </c>
      <c r="B25" s="32">
        <f>'monitoring results'!B34</f>
        <v>16.176400000000001</v>
      </c>
      <c r="C25" s="529"/>
      <c r="D25" s="513"/>
      <c r="E25" s="514"/>
    </row>
    <row r="26" spans="1:5" ht="15" customHeight="1" x14ac:dyDescent="0.3">
      <c r="A26" s="79" t="str">
        <f>'Baseline emission'!A263</f>
        <v>01/12/2021-31/12/2021</v>
      </c>
      <c r="B26" s="32">
        <f>'monitoring results'!B35</f>
        <v>16.147250000000003</v>
      </c>
      <c r="C26" s="529"/>
      <c r="D26" s="513"/>
      <c r="E26" s="514"/>
    </row>
    <row r="27" spans="1:5" ht="15" customHeight="1" x14ac:dyDescent="0.3">
      <c r="A27" s="79" t="str">
        <f>'Baseline emission'!A264</f>
        <v>01/01/2022-31/01/2022</v>
      </c>
      <c r="B27" s="32">
        <f>'monitoring results'!B36</f>
        <v>16.16076</v>
      </c>
      <c r="C27" s="529"/>
      <c r="D27" s="513"/>
      <c r="E27" s="514"/>
    </row>
    <row r="28" spans="1:5" ht="15" customHeight="1" x14ac:dyDescent="0.3">
      <c r="A28" s="79" t="str">
        <f>'Baseline emission'!A265</f>
        <v>01/02/2022-28/02/2022</v>
      </c>
      <c r="B28" s="32">
        <f>'monitoring results'!B37</f>
        <v>16.16939</v>
      </c>
      <c r="C28" s="529"/>
      <c r="D28" s="513"/>
      <c r="E28" s="514"/>
    </row>
    <row r="29" spans="1:5" ht="15" customHeight="1" x14ac:dyDescent="0.3">
      <c r="A29" s="79" t="str">
        <f>'Baseline emission'!A266</f>
        <v>01/03/2022-31/03/2022</v>
      </c>
      <c r="B29" s="32">
        <f>'monitoring results'!B38</f>
        <v>16.152439999999999</v>
      </c>
      <c r="C29" s="530"/>
      <c r="D29" s="517"/>
      <c r="E29" s="518"/>
    </row>
    <row r="30" spans="1:5" ht="28" customHeight="1" x14ac:dyDescent="0.4">
      <c r="A30" s="141" t="s">
        <v>202</v>
      </c>
      <c r="B30" s="142">
        <f>(0.8042*0.5+0.2135*0.5)</f>
        <v>0.50885000000000002</v>
      </c>
      <c r="C30" s="143" t="s">
        <v>203</v>
      </c>
      <c r="D30" s="505" t="s">
        <v>120</v>
      </c>
      <c r="E30" s="506"/>
    </row>
    <row r="31" spans="1:5" ht="28.5" customHeight="1" x14ac:dyDescent="0.4">
      <c r="A31" s="141" t="s">
        <v>204</v>
      </c>
      <c r="B31" s="144">
        <v>0.2</v>
      </c>
      <c r="C31" s="143" t="s">
        <v>91</v>
      </c>
      <c r="D31" s="505" t="s">
        <v>121</v>
      </c>
      <c r="E31" s="506"/>
    </row>
    <row r="32" spans="1:5" ht="15" customHeight="1" x14ac:dyDescent="0.4">
      <c r="A32" s="145" t="s">
        <v>205</v>
      </c>
      <c r="B32" s="146">
        <f>B33+B34</f>
        <v>143</v>
      </c>
      <c r="C32" s="143"/>
      <c r="D32" s="522" t="s">
        <v>348</v>
      </c>
      <c r="E32" s="523"/>
    </row>
    <row r="33" spans="1:5" ht="15" customHeight="1" x14ac:dyDescent="0.3">
      <c r="A33" s="147" t="str">
        <f>'Baseline emission'!A267</f>
        <v>01/01/2021-31/12/2021</v>
      </c>
      <c r="B33" s="146">
        <f>ROUNDUP(SUM(B15:B26)*B30*(1+B31),0)</f>
        <v>113</v>
      </c>
      <c r="C33" s="143" t="s">
        <v>206</v>
      </c>
      <c r="D33" s="524"/>
      <c r="E33" s="525"/>
    </row>
    <row r="34" spans="1:5" ht="15" customHeight="1" x14ac:dyDescent="0.3">
      <c r="A34" s="147" t="str">
        <f>'Baseline emission'!A268</f>
        <v>01/01/2022-31/03/2022</v>
      </c>
      <c r="B34" s="146">
        <f>ROUNDUP(SUM(B27:B29)*B30*(1+B31),0)</f>
        <v>30</v>
      </c>
      <c r="C34" s="143" t="s">
        <v>206</v>
      </c>
      <c r="D34" s="526"/>
      <c r="E34" s="527"/>
    </row>
    <row r="35" spans="1:5" ht="33.5" customHeight="1" thickBot="1" x14ac:dyDescent="0.45">
      <c r="A35" s="148" t="s">
        <v>207</v>
      </c>
      <c r="B35" s="149">
        <v>0</v>
      </c>
      <c r="C35" s="150" t="s">
        <v>206</v>
      </c>
      <c r="D35" s="531" t="s">
        <v>122</v>
      </c>
      <c r="E35" s="532"/>
    </row>
    <row r="36" spans="1:5" ht="23.5" customHeight="1" x14ac:dyDescent="0.3">
      <c r="A36" s="136"/>
      <c r="B36" s="151"/>
      <c r="C36" s="152"/>
      <c r="D36" s="153"/>
      <c r="E36" s="153"/>
    </row>
    <row r="37" spans="1:5" ht="23.5" customHeight="1" x14ac:dyDescent="0.3">
      <c r="A37" s="136"/>
      <c r="B37" s="151"/>
      <c r="C37" s="152"/>
      <c r="D37" s="153"/>
      <c r="E37" s="153"/>
    </row>
    <row r="38" spans="1:5" ht="15" customHeight="1" x14ac:dyDescent="0.3">
      <c r="A38" s="136"/>
      <c r="B38" s="137"/>
      <c r="C38" s="139"/>
      <c r="D38" s="120"/>
    </row>
    <row r="39" spans="1:5" ht="15" customHeight="1" x14ac:dyDescent="0.3">
      <c r="A39" s="136"/>
      <c r="B39" s="137"/>
      <c r="C39" s="139"/>
      <c r="D39" s="120"/>
    </row>
    <row r="40" spans="1:5" ht="15.5" thickBot="1" x14ac:dyDescent="0.35">
      <c r="A40" s="136"/>
      <c r="B40" s="137"/>
      <c r="C40" s="139"/>
      <c r="D40" s="139"/>
    </row>
    <row r="41" spans="1:5" x14ac:dyDescent="0.3">
      <c r="A41" s="96" t="s">
        <v>60</v>
      </c>
      <c r="B41" s="389" t="s">
        <v>123</v>
      </c>
      <c r="C41" s="97" t="s">
        <v>57</v>
      </c>
      <c r="D41" s="487" t="s">
        <v>4</v>
      </c>
      <c r="E41" s="488"/>
    </row>
    <row r="42" spans="1:5" ht="15.5" x14ac:dyDescent="0.4">
      <c r="A42" s="71" t="s">
        <v>208</v>
      </c>
      <c r="B42" s="74">
        <f>'Baseline emission'!B12</f>
        <v>28</v>
      </c>
      <c r="C42" s="23" t="s">
        <v>209</v>
      </c>
      <c r="D42" s="489" t="s">
        <v>124</v>
      </c>
      <c r="E42" s="490"/>
    </row>
    <row r="43" spans="1:5" ht="15.5" x14ac:dyDescent="0.4">
      <c r="A43" s="71" t="s">
        <v>210</v>
      </c>
      <c r="B43" s="154">
        <v>0.05</v>
      </c>
      <c r="C43" s="23" t="s">
        <v>211</v>
      </c>
      <c r="D43" s="489" t="s">
        <v>94</v>
      </c>
      <c r="E43" s="490"/>
    </row>
    <row r="44" spans="1:5" ht="15.5" customHeight="1" x14ac:dyDescent="0.3">
      <c r="A44" s="155" t="s">
        <v>212</v>
      </c>
      <c r="B44" s="156"/>
      <c r="C44" s="534" t="s">
        <v>99</v>
      </c>
      <c r="D44" s="511" t="s">
        <v>350</v>
      </c>
      <c r="E44" s="512"/>
    </row>
    <row r="45" spans="1:5" x14ac:dyDescent="0.3">
      <c r="A45" s="79" t="str">
        <f t="shared" ref="A45:A59" si="0">A15</f>
        <v>20/01/2021-31/01/2021</v>
      </c>
      <c r="B45" s="156">
        <f>'monitoring results'!M45</f>
        <v>280.00421198568</v>
      </c>
      <c r="C45" s="535"/>
      <c r="D45" s="513"/>
      <c r="E45" s="514"/>
    </row>
    <row r="46" spans="1:5" x14ac:dyDescent="0.3">
      <c r="A46" s="79" t="str">
        <f t="shared" si="0"/>
        <v>01/02/1021-28/02/2021</v>
      </c>
      <c r="B46" s="156">
        <f>'monitoring results'!M46</f>
        <v>656.8253519530507</v>
      </c>
      <c r="C46" s="535"/>
      <c r="D46" s="513"/>
      <c r="E46" s="514"/>
    </row>
    <row r="47" spans="1:5" x14ac:dyDescent="0.3">
      <c r="A47" s="79" t="str">
        <f t="shared" si="0"/>
        <v>01/03/2021-31/03/3021</v>
      </c>
      <c r="B47" s="156">
        <f>'monitoring results'!M47</f>
        <v>729.0124552462496</v>
      </c>
      <c r="C47" s="535"/>
      <c r="D47" s="513"/>
      <c r="E47" s="514"/>
    </row>
    <row r="48" spans="1:5" x14ac:dyDescent="0.3">
      <c r="A48" s="79" t="str">
        <f t="shared" si="0"/>
        <v>01/04/2021-30/04/2021</v>
      </c>
      <c r="B48" s="156">
        <f>'monitoring results'!M48</f>
        <v>703.60830999899872</v>
      </c>
      <c r="C48" s="535"/>
      <c r="D48" s="513"/>
      <c r="E48" s="514"/>
    </row>
    <row r="49" spans="1:10" x14ac:dyDescent="0.3">
      <c r="A49" s="79" t="str">
        <f t="shared" si="0"/>
        <v>01/05/2021-31/05/2021</v>
      </c>
      <c r="B49" s="156">
        <f>'monitoring results'!M49</f>
        <v>731.40176701746134</v>
      </c>
      <c r="C49" s="535"/>
      <c r="D49" s="513"/>
      <c r="E49" s="514"/>
      <c r="G49" s="263"/>
      <c r="H49" s="263"/>
      <c r="I49" s="263"/>
      <c r="J49" s="263"/>
    </row>
    <row r="50" spans="1:10" x14ac:dyDescent="0.3">
      <c r="A50" s="79" t="str">
        <f t="shared" si="0"/>
        <v>01/06/2021-30/06/2021</v>
      </c>
      <c r="B50" s="156">
        <f>'monitoring results'!M50</f>
        <v>706.35692125907997</v>
      </c>
      <c r="C50" s="535"/>
      <c r="D50" s="513"/>
      <c r="E50" s="514"/>
    </row>
    <row r="51" spans="1:10" x14ac:dyDescent="0.3">
      <c r="A51" s="79" t="str">
        <f t="shared" si="0"/>
        <v>01/07/2021-31/07/2021</v>
      </c>
      <c r="B51" s="156">
        <f>'monitoring results'!M51</f>
        <v>724.46540209974148</v>
      </c>
      <c r="C51" s="535"/>
      <c r="D51" s="513"/>
      <c r="E51" s="514"/>
    </row>
    <row r="52" spans="1:10" x14ac:dyDescent="0.3">
      <c r="A52" s="79" t="str">
        <f t="shared" si="0"/>
        <v>01/08/2021-31/08/2021</v>
      </c>
      <c r="B52" s="156">
        <f>'monitoring results'!M52</f>
        <v>725.24187793133865</v>
      </c>
      <c r="C52" s="535"/>
      <c r="D52" s="513"/>
      <c r="E52" s="514"/>
    </row>
    <row r="53" spans="1:10" x14ac:dyDescent="0.3">
      <c r="A53" s="79" t="str">
        <f t="shared" si="0"/>
        <v>01/09/2021-30/09/2021</v>
      </c>
      <c r="B53" s="156">
        <f>'monitoring results'!M53</f>
        <v>699.46878558059916</v>
      </c>
      <c r="C53" s="535"/>
      <c r="D53" s="513"/>
      <c r="E53" s="514"/>
    </row>
    <row r="54" spans="1:10" x14ac:dyDescent="0.3">
      <c r="A54" s="79" t="str">
        <f t="shared" si="0"/>
        <v>01/10/2021-31/10/2021</v>
      </c>
      <c r="B54" s="156">
        <f>'monitoring results'!M54</f>
        <v>723.54295734902917</v>
      </c>
      <c r="C54" s="535"/>
      <c r="D54" s="513"/>
      <c r="E54" s="514"/>
    </row>
    <row r="55" spans="1:10" x14ac:dyDescent="0.3">
      <c r="A55" s="79" t="str">
        <f t="shared" si="0"/>
        <v>01/11/2021-30/11/2021</v>
      </c>
      <c r="B55" s="156">
        <f>'monitoring results'!M55</f>
        <v>700.54103428343853</v>
      </c>
      <c r="C55" s="535"/>
      <c r="D55" s="513"/>
      <c r="E55" s="514"/>
    </row>
    <row r="56" spans="1:10" x14ac:dyDescent="0.3">
      <c r="A56" s="79" t="str">
        <f t="shared" si="0"/>
        <v>01/12/2021-31/12/2021</v>
      </c>
      <c r="B56" s="156">
        <f>'monitoring results'!M56</f>
        <v>731.88140892048102</v>
      </c>
      <c r="C56" s="535"/>
      <c r="D56" s="513"/>
      <c r="E56" s="514"/>
    </row>
    <row r="57" spans="1:10" x14ac:dyDescent="0.3">
      <c r="A57" s="79" t="str">
        <f t="shared" si="0"/>
        <v>01/01/2022-31/01/2022</v>
      </c>
      <c r="B57" s="156">
        <f>'monitoring results'!M57</f>
        <v>731.23831809630008</v>
      </c>
      <c r="C57" s="535"/>
      <c r="D57" s="513"/>
      <c r="E57" s="514"/>
    </row>
    <row r="58" spans="1:10" x14ac:dyDescent="0.3">
      <c r="A58" s="79" t="str">
        <f t="shared" si="0"/>
        <v>01/02/2022-28/02/2022</v>
      </c>
      <c r="B58" s="156">
        <f>'monitoring results'!M58</f>
        <v>662.8951476567006</v>
      </c>
      <c r="C58" s="535"/>
      <c r="D58" s="513"/>
      <c r="E58" s="514"/>
    </row>
    <row r="59" spans="1:10" x14ac:dyDescent="0.3">
      <c r="A59" s="79" t="str">
        <f t="shared" si="0"/>
        <v>01/03/2022-31/03/2022</v>
      </c>
      <c r="B59" s="156">
        <f>'monitoring results'!M59</f>
        <v>716.52469205016087</v>
      </c>
      <c r="C59" s="536"/>
      <c r="D59" s="517"/>
      <c r="E59" s="518"/>
    </row>
    <row r="60" spans="1:10" ht="15" customHeight="1" x14ac:dyDescent="0.3">
      <c r="A60" s="157" t="s">
        <v>213</v>
      </c>
      <c r="B60" s="158">
        <f>B61+B62</f>
        <v>14312</v>
      </c>
      <c r="C60" s="159" t="s">
        <v>206</v>
      </c>
      <c r="D60" s="511" t="s">
        <v>61</v>
      </c>
      <c r="E60" s="512"/>
    </row>
    <row r="61" spans="1:10" ht="15" customHeight="1" x14ac:dyDescent="0.3">
      <c r="A61" s="87" t="str">
        <f>A33</f>
        <v>01/01/2021-31/12/2021</v>
      </c>
      <c r="B61" s="158">
        <f>INT(SUM(B45:B56)*B42*B43)</f>
        <v>11357</v>
      </c>
      <c r="C61" s="159" t="s">
        <v>206</v>
      </c>
      <c r="D61" s="513"/>
      <c r="E61" s="514"/>
    </row>
    <row r="62" spans="1:10" ht="15" customHeight="1" thickBot="1" x14ac:dyDescent="0.35">
      <c r="A62" s="87" t="str">
        <f>A34</f>
        <v>01/01/2022-31/03/2022</v>
      </c>
      <c r="B62" s="411">
        <f>ROUNDUP(SUM(B57:B59)*B42*B43,0)</f>
        <v>2955</v>
      </c>
      <c r="C62" s="160" t="s">
        <v>206</v>
      </c>
      <c r="D62" s="515"/>
      <c r="E62" s="516"/>
    </row>
    <row r="63" spans="1:10" x14ac:dyDescent="0.3">
      <c r="A63" s="161"/>
      <c r="B63" s="118"/>
      <c r="C63" s="61"/>
      <c r="D63" s="61"/>
      <c r="E63" s="61"/>
    </row>
    <row r="64" spans="1:10" x14ac:dyDescent="0.3">
      <c r="A64" s="161"/>
      <c r="B64" s="118"/>
      <c r="C64" s="61"/>
      <c r="D64" s="61"/>
      <c r="E64" s="61"/>
    </row>
    <row r="65" spans="1:5" x14ac:dyDescent="0.3">
      <c r="A65" s="161"/>
      <c r="B65" s="118"/>
      <c r="C65" s="61"/>
      <c r="D65" s="218"/>
      <c r="E65" s="339"/>
    </row>
    <row r="66" spans="1:5" x14ac:dyDescent="0.3">
      <c r="A66" s="161"/>
      <c r="B66" s="118"/>
      <c r="C66" s="61"/>
      <c r="D66" s="61"/>
      <c r="E66" s="61"/>
    </row>
    <row r="67" spans="1:5" x14ac:dyDescent="0.3">
      <c r="A67" s="161"/>
      <c r="B67" s="118"/>
      <c r="C67" s="61"/>
      <c r="D67" s="61"/>
      <c r="E67" s="61"/>
    </row>
    <row r="68" spans="1:5" x14ac:dyDescent="0.3">
      <c r="A68" s="161"/>
      <c r="B68" s="118"/>
      <c r="C68" s="61"/>
      <c r="D68" s="61"/>
      <c r="E68" s="61"/>
    </row>
    <row r="69" spans="1:5" ht="14" thickBot="1" x14ac:dyDescent="0.35">
      <c r="A69" s="161"/>
      <c r="B69" s="118"/>
      <c r="C69" s="61"/>
      <c r="D69" s="61"/>
      <c r="E69" s="61"/>
    </row>
    <row r="70" spans="1:5" x14ac:dyDescent="0.3">
      <c r="A70" s="96" t="s">
        <v>60</v>
      </c>
      <c r="B70" s="97" t="s">
        <v>112</v>
      </c>
      <c r="C70" s="97" t="s">
        <v>57</v>
      </c>
      <c r="D70" s="487" t="s">
        <v>4</v>
      </c>
      <c r="E70" s="488"/>
    </row>
    <row r="71" spans="1:5" x14ac:dyDescent="0.3">
      <c r="A71" s="162"/>
      <c r="B71" s="163"/>
      <c r="C71" s="163"/>
      <c r="D71" s="509"/>
      <c r="E71" s="510"/>
    </row>
    <row r="72" spans="1:5" ht="15.5" x14ac:dyDescent="0.4">
      <c r="A72" s="71" t="s">
        <v>208</v>
      </c>
      <c r="B72" s="74">
        <f>'Baseline emission'!B12</f>
        <v>28</v>
      </c>
      <c r="C72" s="23" t="s">
        <v>209</v>
      </c>
      <c r="D72" s="489" t="s">
        <v>124</v>
      </c>
      <c r="E72" s="490"/>
    </row>
    <row r="73" spans="1:5" x14ac:dyDescent="0.3">
      <c r="A73" s="133" t="s">
        <v>200</v>
      </c>
      <c r="B73" s="74"/>
      <c r="C73" s="23"/>
      <c r="D73" s="164"/>
      <c r="E73" s="165"/>
    </row>
    <row r="74" spans="1:5" x14ac:dyDescent="0.3">
      <c r="A74" s="79" t="str">
        <f t="shared" ref="A74:A88" si="1">A45</f>
        <v>20/01/2021-31/01/2021</v>
      </c>
      <c r="B74" s="166">
        <f>'monitoring results'!D45</f>
        <v>0</v>
      </c>
      <c r="C74" s="537" t="s">
        <v>371</v>
      </c>
      <c r="D74" s="513" t="s">
        <v>351</v>
      </c>
      <c r="E74" s="514"/>
    </row>
    <row r="75" spans="1:5" x14ac:dyDescent="0.3">
      <c r="A75" s="79" t="str">
        <f t="shared" si="1"/>
        <v>01/02/1021-28/02/2021</v>
      </c>
      <c r="B75" s="166">
        <f>'monitoring results'!D46</f>
        <v>0</v>
      </c>
      <c r="C75" s="537"/>
      <c r="D75" s="513"/>
      <c r="E75" s="514"/>
    </row>
    <row r="76" spans="1:5" x14ac:dyDescent="0.3">
      <c r="A76" s="79" t="str">
        <f t="shared" si="1"/>
        <v>01/03/2021-31/03/3021</v>
      </c>
      <c r="B76" s="166">
        <f>'monitoring results'!D47</f>
        <v>0</v>
      </c>
      <c r="C76" s="537"/>
      <c r="D76" s="513"/>
      <c r="E76" s="514"/>
    </row>
    <row r="77" spans="1:5" x14ac:dyDescent="0.3">
      <c r="A77" s="79" t="str">
        <f t="shared" si="1"/>
        <v>01/04/2021-30/04/2021</v>
      </c>
      <c r="B77" s="166">
        <f>'monitoring results'!D48</f>
        <v>0</v>
      </c>
      <c r="C77" s="537"/>
      <c r="D77" s="513"/>
      <c r="E77" s="514"/>
    </row>
    <row r="78" spans="1:5" x14ac:dyDescent="0.3">
      <c r="A78" s="79" t="str">
        <f t="shared" si="1"/>
        <v>01/05/2021-31/05/2021</v>
      </c>
      <c r="B78" s="166">
        <f>'monitoring results'!D49</f>
        <v>0</v>
      </c>
      <c r="C78" s="537"/>
      <c r="D78" s="513"/>
      <c r="E78" s="514"/>
    </row>
    <row r="79" spans="1:5" x14ac:dyDescent="0.3">
      <c r="A79" s="79" t="str">
        <f t="shared" si="1"/>
        <v>01/06/2021-30/06/2021</v>
      </c>
      <c r="B79" s="166">
        <f>'monitoring results'!D50</f>
        <v>0</v>
      </c>
      <c r="C79" s="537"/>
      <c r="D79" s="513"/>
      <c r="E79" s="514"/>
    </row>
    <row r="80" spans="1:5" x14ac:dyDescent="0.3">
      <c r="A80" s="79" t="str">
        <f t="shared" si="1"/>
        <v>01/07/2021-31/07/2021</v>
      </c>
      <c r="B80" s="166">
        <f>'monitoring results'!D51</f>
        <v>0</v>
      </c>
      <c r="C80" s="537"/>
      <c r="D80" s="513"/>
      <c r="E80" s="514"/>
    </row>
    <row r="81" spans="1:5" x14ac:dyDescent="0.3">
      <c r="A81" s="79" t="str">
        <f t="shared" si="1"/>
        <v>01/08/2021-31/08/2021</v>
      </c>
      <c r="B81" s="166">
        <f>'monitoring results'!D52</f>
        <v>0</v>
      </c>
      <c r="C81" s="537"/>
      <c r="D81" s="513"/>
      <c r="E81" s="514"/>
    </row>
    <row r="82" spans="1:5" x14ac:dyDescent="0.3">
      <c r="A82" s="79" t="str">
        <f t="shared" si="1"/>
        <v>01/09/2021-30/09/2021</v>
      </c>
      <c r="B82" s="166">
        <f>'monitoring results'!D53</f>
        <v>0</v>
      </c>
      <c r="C82" s="537"/>
      <c r="D82" s="513"/>
      <c r="E82" s="514"/>
    </row>
    <row r="83" spans="1:5" x14ac:dyDescent="0.3">
      <c r="A83" s="79" t="str">
        <f t="shared" si="1"/>
        <v>01/10/2021-31/10/2021</v>
      </c>
      <c r="B83" s="166">
        <f>'monitoring results'!D54</f>
        <v>0</v>
      </c>
      <c r="C83" s="537"/>
      <c r="D83" s="513"/>
      <c r="E83" s="514"/>
    </row>
    <row r="84" spans="1:5" x14ac:dyDescent="0.3">
      <c r="A84" s="79" t="str">
        <f t="shared" si="1"/>
        <v>01/11/2021-30/11/2021</v>
      </c>
      <c r="B84" s="166">
        <f>'monitoring results'!D55</f>
        <v>0</v>
      </c>
      <c r="C84" s="537"/>
      <c r="D84" s="513"/>
      <c r="E84" s="514"/>
    </row>
    <row r="85" spans="1:5" x14ac:dyDescent="0.3">
      <c r="A85" s="79" t="str">
        <f t="shared" si="1"/>
        <v>01/12/2021-31/12/2021</v>
      </c>
      <c r="B85" s="166">
        <f>'monitoring results'!D56</f>
        <v>0</v>
      </c>
      <c r="C85" s="537"/>
      <c r="D85" s="513"/>
      <c r="E85" s="514"/>
    </row>
    <row r="86" spans="1:5" x14ac:dyDescent="0.3">
      <c r="A86" s="79" t="str">
        <f t="shared" si="1"/>
        <v>01/01/2022-31/01/2022</v>
      </c>
      <c r="B86" s="166">
        <f>'monitoring results'!D57</f>
        <v>0</v>
      </c>
      <c r="C86" s="537"/>
      <c r="D86" s="513"/>
      <c r="E86" s="514"/>
    </row>
    <row r="87" spans="1:5" x14ac:dyDescent="0.3">
      <c r="A87" s="79" t="str">
        <f t="shared" si="1"/>
        <v>01/02/2022-28/02/2022</v>
      </c>
      <c r="B87" s="166">
        <f>'monitoring results'!D58</f>
        <v>0</v>
      </c>
      <c r="C87" s="537"/>
      <c r="D87" s="513"/>
      <c r="E87" s="514"/>
    </row>
    <row r="88" spans="1:5" x14ac:dyDescent="0.3">
      <c r="A88" s="79" t="str">
        <f t="shared" si="1"/>
        <v>01/03/2022-31/03/2022</v>
      </c>
      <c r="B88" s="166">
        <f>'monitoring results'!D59</f>
        <v>0</v>
      </c>
      <c r="C88" s="538"/>
      <c r="D88" s="517"/>
      <c r="E88" s="518"/>
    </row>
    <row r="89" spans="1:5" ht="15.5" x14ac:dyDescent="0.4">
      <c r="A89" s="79" t="s">
        <v>214</v>
      </c>
      <c r="B89" s="167">
        <v>0</v>
      </c>
      <c r="C89" s="168" t="s">
        <v>91</v>
      </c>
      <c r="D89" s="491" t="s">
        <v>113</v>
      </c>
      <c r="E89" s="492"/>
    </row>
    <row r="90" spans="1:5" ht="15.5" x14ac:dyDescent="0.4">
      <c r="A90" s="79" t="s">
        <v>215</v>
      </c>
      <c r="B90" s="167"/>
      <c r="C90" s="168"/>
      <c r="D90" s="511" t="s">
        <v>106</v>
      </c>
      <c r="E90" s="512"/>
    </row>
    <row r="91" spans="1:5" x14ac:dyDescent="0.3">
      <c r="A91" s="87" t="str">
        <f>A61</f>
        <v>01/01/2021-31/12/2021</v>
      </c>
      <c r="B91" s="167">
        <f>ROUNDUP(B72*SUM(B74:B85)*(1-B89)/1000,0)</f>
        <v>0</v>
      </c>
      <c r="C91" s="493" t="s">
        <v>127</v>
      </c>
      <c r="D91" s="513"/>
      <c r="E91" s="514"/>
    </row>
    <row r="92" spans="1:5" x14ac:dyDescent="0.3">
      <c r="A92" s="87" t="str">
        <f>A62</f>
        <v>01/01/2022-31/03/2022</v>
      </c>
      <c r="B92" s="167">
        <f>ROUNDUP(SUM(B86:B88)*B72*(1-B89)/1000,0)</f>
        <v>0</v>
      </c>
      <c r="C92" s="493"/>
      <c r="D92" s="513"/>
      <c r="E92" s="514"/>
    </row>
    <row r="93" spans="1:5" ht="15.5" x14ac:dyDescent="0.3">
      <c r="A93" s="169" t="s">
        <v>216</v>
      </c>
      <c r="B93" s="167">
        <f>B94+B95</f>
        <v>14455</v>
      </c>
      <c r="C93" s="168"/>
      <c r="D93" s="513"/>
      <c r="E93" s="514"/>
    </row>
    <row r="94" spans="1:5" x14ac:dyDescent="0.3">
      <c r="A94" s="217" t="str">
        <f>A91</f>
        <v>01/01/2021-31/12/2021</v>
      </c>
      <c r="B94" s="167">
        <f>B33+B61+B91</f>
        <v>11470</v>
      </c>
      <c r="C94" s="170" t="s">
        <v>103</v>
      </c>
      <c r="D94" s="513"/>
      <c r="E94" s="514"/>
    </row>
    <row r="95" spans="1:5" ht="14" thickBot="1" x14ac:dyDescent="0.35">
      <c r="A95" s="172" t="str">
        <f>A92</f>
        <v>01/01/2022-31/03/2022</v>
      </c>
      <c r="B95" s="414">
        <f>B34+B62+B92</f>
        <v>2985</v>
      </c>
      <c r="C95" s="171" t="s">
        <v>103</v>
      </c>
      <c r="D95" s="515"/>
      <c r="E95" s="516"/>
    </row>
    <row r="96" spans="1:5" x14ac:dyDescent="0.3">
      <c r="A96" s="161"/>
      <c r="B96" s="118"/>
      <c r="C96" s="61"/>
      <c r="D96" s="61"/>
      <c r="E96" s="61"/>
    </row>
    <row r="97" spans="1:5" x14ac:dyDescent="0.3">
      <c r="A97" s="161"/>
      <c r="B97" s="118"/>
      <c r="C97" s="61"/>
      <c r="D97" s="61"/>
      <c r="E97" s="61"/>
    </row>
    <row r="98" spans="1:5" x14ac:dyDescent="0.3">
      <c r="A98" s="173"/>
      <c r="B98" s="118"/>
      <c r="C98" s="61"/>
      <c r="D98" s="61"/>
      <c r="E98" s="61"/>
    </row>
    <row r="99" spans="1:5" x14ac:dyDescent="0.3">
      <c r="A99" s="174" t="s">
        <v>39</v>
      </c>
      <c r="B99" s="135"/>
    </row>
    <row r="100" spans="1:5" x14ac:dyDescent="0.3">
      <c r="A100" s="175"/>
    </row>
    <row r="101" spans="1:5" x14ac:dyDescent="0.3">
      <c r="A101" s="175"/>
      <c r="E101" s="62"/>
    </row>
    <row r="102" spans="1:5" x14ac:dyDescent="0.3">
      <c r="A102" s="175"/>
    </row>
    <row r="103" spans="1:5" x14ac:dyDescent="0.3">
      <c r="A103" s="175"/>
    </row>
    <row r="104" spans="1:5" x14ac:dyDescent="0.3">
      <c r="A104" s="175"/>
    </row>
    <row r="105" spans="1:5" ht="14" thickBot="1" x14ac:dyDescent="0.35">
      <c r="A105" s="176"/>
      <c r="B105" s="177"/>
      <c r="C105" s="177"/>
    </row>
    <row r="106" spans="1:5" x14ac:dyDescent="0.3">
      <c r="A106" s="178" t="s">
        <v>3</v>
      </c>
      <c r="B106" s="179" t="s">
        <v>18</v>
      </c>
      <c r="C106" s="179"/>
      <c r="D106" s="35" t="s">
        <v>2</v>
      </c>
      <c r="E106" s="36" t="s">
        <v>4</v>
      </c>
    </row>
    <row r="107" spans="1:5" x14ac:dyDescent="0.3">
      <c r="A107" s="157"/>
      <c r="B107" s="180" t="s">
        <v>32</v>
      </c>
      <c r="C107" s="180" t="s">
        <v>33</v>
      </c>
      <c r="D107" s="32"/>
      <c r="E107" s="181"/>
    </row>
    <row r="108" spans="1:5" ht="15.5" x14ac:dyDescent="0.4">
      <c r="A108" s="155" t="s">
        <v>217</v>
      </c>
      <c r="B108" s="182">
        <f>'Baseline emission'!B12</f>
        <v>28</v>
      </c>
      <c r="C108" s="182">
        <f>B108</f>
        <v>28</v>
      </c>
      <c r="D108" s="23" t="s">
        <v>209</v>
      </c>
      <c r="E108" s="183" t="s">
        <v>124</v>
      </c>
    </row>
    <row r="109" spans="1:5" ht="15.5" x14ac:dyDescent="0.3">
      <c r="A109" s="155" t="s">
        <v>218</v>
      </c>
      <c r="B109" s="184">
        <f>'[3]Baseline Emission'!B13</f>
        <v>6.7000000000000002E-4</v>
      </c>
      <c r="C109" s="184">
        <f>'[3]Baseline Emission'!C13</f>
        <v>6.7000000000000002E-4</v>
      </c>
      <c r="D109" s="23" t="s">
        <v>219</v>
      </c>
      <c r="E109" s="185" t="s">
        <v>352</v>
      </c>
    </row>
    <row r="110" spans="1:5" x14ac:dyDescent="0.3">
      <c r="A110" s="155"/>
      <c r="B110" s="186">
        <v>1E-3</v>
      </c>
      <c r="C110" s="186">
        <v>1E-3</v>
      </c>
      <c r="D110" s="23" t="s">
        <v>91</v>
      </c>
      <c r="E110" s="185"/>
    </row>
    <row r="111" spans="1:5" ht="15.5" x14ac:dyDescent="0.3">
      <c r="A111" s="155" t="s">
        <v>220</v>
      </c>
      <c r="B111" s="187">
        <v>1</v>
      </c>
      <c r="C111" s="187">
        <v>1</v>
      </c>
      <c r="D111" s="23" t="s">
        <v>91</v>
      </c>
      <c r="E111" s="185"/>
    </row>
    <row r="112" spans="1:5" ht="15.5" x14ac:dyDescent="0.3">
      <c r="A112" s="155" t="s">
        <v>221</v>
      </c>
      <c r="B112" s="187">
        <f>(1-80%)</f>
        <v>0.19999999999999996</v>
      </c>
      <c r="C112" s="187">
        <f>(1-80%)</f>
        <v>0.19999999999999996</v>
      </c>
      <c r="D112" s="23" t="s">
        <v>91</v>
      </c>
      <c r="E112" s="183" t="s">
        <v>353</v>
      </c>
    </row>
    <row r="113" spans="1:5" ht="27" x14ac:dyDescent="0.4">
      <c r="A113" s="155" t="s">
        <v>222</v>
      </c>
      <c r="B113" s="182">
        <f>'[3]Baseline Emission'!B17</f>
        <v>0.28999999999999998</v>
      </c>
      <c r="C113" s="182">
        <f>'[3]Baseline Emission'!C17</f>
        <v>0.28999999999999998</v>
      </c>
      <c r="D113" s="23" t="s">
        <v>223</v>
      </c>
      <c r="E113" s="407" t="s">
        <v>95</v>
      </c>
    </row>
    <row r="114" spans="1:5" ht="15.5" x14ac:dyDescent="0.3">
      <c r="A114" s="155" t="s">
        <v>224</v>
      </c>
      <c r="B114" s="188"/>
      <c r="C114" s="188"/>
      <c r="D114" s="452" t="str">
        <f>'[3]Baseline Emission'!D18</f>
        <v>No of heads</v>
      </c>
      <c r="E114" s="519" t="s">
        <v>363</v>
      </c>
    </row>
    <row r="115" spans="1:5" x14ac:dyDescent="0.3">
      <c r="A115" s="79" t="str">
        <f t="shared" ref="A115:A129" si="2">A74</f>
        <v>20/01/2021-31/01/2021</v>
      </c>
      <c r="B115" s="188">
        <f>'monitoring results'!B4</f>
        <v>152825</v>
      </c>
      <c r="C115" s="188">
        <f>'monitoring results'!C4</f>
        <v>89885</v>
      </c>
      <c r="D115" s="453"/>
      <c r="E115" s="520"/>
    </row>
    <row r="116" spans="1:5" x14ac:dyDescent="0.3">
      <c r="A116" s="79" t="str">
        <f t="shared" si="2"/>
        <v>01/02/1021-28/02/2021</v>
      </c>
      <c r="B116" s="188">
        <f>'monitoring results'!B5</f>
        <v>152825</v>
      </c>
      <c r="C116" s="188">
        <f>'monitoring results'!C5</f>
        <v>89832</v>
      </c>
      <c r="D116" s="453"/>
      <c r="E116" s="520"/>
    </row>
    <row r="117" spans="1:5" x14ac:dyDescent="0.3">
      <c r="A117" s="79" t="str">
        <f t="shared" si="2"/>
        <v>01/03/2021-31/03/3021</v>
      </c>
      <c r="B117" s="188">
        <f>'monitoring results'!B6</f>
        <v>152825</v>
      </c>
      <c r="C117" s="188">
        <f>'monitoring results'!C6</f>
        <v>89845</v>
      </c>
      <c r="D117" s="453"/>
      <c r="E117" s="520"/>
    </row>
    <row r="118" spans="1:5" x14ac:dyDescent="0.3">
      <c r="A118" s="79" t="str">
        <f t="shared" si="2"/>
        <v>01/04/2021-30/04/2021</v>
      </c>
      <c r="B118" s="188">
        <f>'monitoring results'!B7</f>
        <v>152825</v>
      </c>
      <c r="C118" s="188">
        <f>'monitoring results'!C7</f>
        <v>89915</v>
      </c>
      <c r="D118" s="453"/>
      <c r="E118" s="520"/>
    </row>
    <row r="119" spans="1:5" x14ac:dyDescent="0.3">
      <c r="A119" s="79" t="str">
        <f t="shared" si="2"/>
        <v>01/05/2021-31/05/2021</v>
      </c>
      <c r="B119" s="188">
        <f>'monitoring results'!B8</f>
        <v>152825</v>
      </c>
      <c r="C119" s="188">
        <f>'monitoring results'!C8</f>
        <v>89809</v>
      </c>
      <c r="D119" s="453"/>
      <c r="E119" s="520"/>
    </row>
    <row r="120" spans="1:5" x14ac:dyDescent="0.3">
      <c r="A120" s="79" t="str">
        <f t="shared" si="2"/>
        <v>01/06/2021-30/06/2021</v>
      </c>
      <c r="B120" s="188">
        <f>'monitoring results'!B9</f>
        <v>152825</v>
      </c>
      <c r="C120" s="188">
        <f>'monitoring results'!C9</f>
        <v>89754</v>
      </c>
      <c r="D120" s="453"/>
      <c r="E120" s="520"/>
    </row>
    <row r="121" spans="1:5" x14ac:dyDescent="0.3">
      <c r="A121" s="79" t="str">
        <f t="shared" si="2"/>
        <v>01/07/2021-31/07/2021</v>
      </c>
      <c r="B121" s="188">
        <f>'monitoring results'!B10</f>
        <v>152825</v>
      </c>
      <c r="C121" s="188">
        <f>'monitoring results'!C10</f>
        <v>89905</v>
      </c>
      <c r="D121" s="453"/>
      <c r="E121" s="520"/>
    </row>
    <row r="122" spans="1:5" x14ac:dyDescent="0.3">
      <c r="A122" s="79" t="str">
        <f t="shared" si="2"/>
        <v>01/08/2021-31/08/2021</v>
      </c>
      <c r="B122" s="188">
        <f>'monitoring results'!B11</f>
        <v>152825</v>
      </c>
      <c r="C122" s="188">
        <f>'monitoring results'!C11</f>
        <v>89670</v>
      </c>
      <c r="D122" s="453"/>
      <c r="E122" s="520"/>
    </row>
    <row r="123" spans="1:5" x14ac:dyDescent="0.3">
      <c r="A123" s="79" t="str">
        <f t="shared" si="2"/>
        <v>01/09/2021-30/09/2021</v>
      </c>
      <c r="B123" s="188">
        <f>'monitoring results'!B12</f>
        <v>152825</v>
      </c>
      <c r="C123" s="188">
        <f>'monitoring results'!C12</f>
        <v>89854</v>
      </c>
      <c r="D123" s="453"/>
      <c r="E123" s="520"/>
    </row>
    <row r="124" spans="1:5" x14ac:dyDescent="0.3">
      <c r="A124" s="79" t="str">
        <f t="shared" si="2"/>
        <v>01/10/2021-31/10/2021</v>
      </c>
      <c r="B124" s="188">
        <f>'monitoring results'!B13</f>
        <v>152825</v>
      </c>
      <c r="C124" s="188">
        <f>'monitoring results'!C13</f>
        <v>89790</v>
      </c>
      <c r="D124" s="453"/>
      <c r="E124" s="520"/>
    </row>
    <row r="125" spans="1:5" x14ac:dyDescent="0.3">
      <c r="A125" s="79" t="str">
        <f t="shared" si="2"/>
        <v>01/11/2021-30/11/2021</v>
      </c>
      <c r="B125" s="188">
        <f>'monitoring results'!B14</f>
        <v>152825</v>
      </c>
      <c r="C125" s="188">
        <f>'monitoring results'!C14</f>
        <v>89905</v>
      </c>
      <c r="D125" s="453"/>
      <c r="E125" s="520"/>
    </row>
    <row r="126" spans="1:5" x14ac:dyDescent="0.3">
      <c r="A126" s="79" t="str">
        <f t="shared" si="2"/>
        <v>01/12/2021-31/12/2021</v>
      </c>
      <c r="B126" s="188">
        <f>'monitoring results'!B15</f>
        <v>152825</v>
      </c>
      <c r="C126" s="188">
        <f>'monitoring results'!C15</f>
        <v>89761</v>
      </c>
      <c r="D126" s="453"/>
      <c r="E126" s="520"/>
    </row>
    <row r="127" spans="1:5" x14ac:dyDescent="0.3">
      <c r="A127" s="79" t="str">
        <f t="shared" si="2"/>
        <v>01/01/2022-31/01/2022</v>
      </c>
      <c r="B127" s="188">
        <f>'monitoring results'!B16</f>
        <v>152825</v>
      </c>
      <c r="C127" s="188">
        <f>'monitoring results'!C16</f>
        <v>89894</v>
      </c>
      <c r="D127" s="453"/>
      <c r="E127" s="520"/>
    </row>
    <row r="128" spans="1:5" x14ac:dyDescent="0.3">
      <c r="A128" s="79" t="str">
        <f t="shared" si="2"/>
        <v>01/02/2022-28/02/2022</v>
      </c>
      <c r="B128" s="188">
        <f>'monitoring results'!B17</f>
        <v>152825</v>
      </c>
      <c r="C128" s="188">
        <f>'monitoring results'!C17</f>
        <v>89820</v>
      </c>
      <c r="D128" s="453"/>
      <c r="E128" s="520"/>
    </row>
    <row r="129" spans="1:5" x14ac:dyDescent="0.3">
      <c r="A129" s="79" t="str">
        <f t="shared" si="2"/>
        <v>01/03/2022-31/03/2022</v>
      </c>
      <c r="B129" s="188">
        <f>'monitoring results'!B18</f>
        <v>152825</v>
      </c>
      <c r="C129" s="188">
        <f>'monitoring results'!C18</f>
        <v>89703</v>
      </c>
      <c r="D129" s="454"/>
      <c r="E129" s="521"/>
    </row>
    <row r="130" spans="1:5" ht="15.5" x14ac:dyDescent="0.3">
      <c r="A130" s="155" t="s">
        <v>225</v>
      </c>
      <c r="B130" s="182"/>
      <c r="C130" s="182"/>
      <c r="D130" s="452" t="s">
        <v>93</v>
      </c>
      <c r="E130" s="543" t="s">
        <v>106</v>
      </c>
    </row>
    <row r="131" spans="1:5" x14ac:dyDescent="0.3">
      <c r="A131" s="79" t="str">
        <f t="shared" ref="A131:A145" si="3">A115</f>
        <v>20/01/2021-31/01/2021</v>
      </c>
      <c r="B131" s="182">
        <f>'Baseline emission'!B53</f>
        <v>7.8171428571428567</v>
      </c>
      <c r="C131" s="182">
        <f>'Baseline emission'!C53</f>
        <v>10.234285714285713</v>
      </c>
      <c r="D131" s="453"/>
      <c r="E131" s="507"/>
    </row>
    <row r="132" spans="1:5" x14ac:dyDescent="0.3">
      <c r="A132" s="79" t="str">
        <f t="shared" si="3"/>
        <v>01/02/1021-28/02/2021</v>
      </c>
      <c r="B132" s="182">
        <f>'Baseline emission'!B54</f>
        <v>18.48</v>
      </c>
      <c r="C132" s="182">
        <f>'Baseline emission'!C54</f>
        <v>23.13</v>
      </c>
      <c r="D132" s="453"/>
      <c r="E132" s="507"/>
    </row>
    <row r="133" spans="1:5" x14ac:dyDescent="0.3">
      <c r="A133" s="79" t="str">
        <f t="shared" si="3"/>
        <v>01/03/2021-31/03/3021</v>
      </c>
      <c r="B133" s="182">
        <f>'Baseline emission'!B55</f>
        <v>20.659285714285716</v>
      </c>
      <c r="C133" s="182">
        <f>'Baseline emission'!C55</f>
        <v>25.741071428571427</v>
      </c>
      <c r="D133" s="453"/>
      <c r="E133" s="507"/>
    </row>
    <row r="134" spans="1:5" x14ac:dyDescent="0.3">
      <c r="A134" s="79" t="str">
        <f t="shared" si="3"/>
        <v>01/04/2021-30/04/2021</v>
      </c>
      <c r="B134" s="182">
        <f>'Baseline emission'!B56</f>
        <v>19.992857142857144</v>
      </c>
      <c r="C134" s="182">
        <f>'Baseline emission'!C56</f>
        <v>25.071428571428569</v>
      </c>
      <c r="D134" s="453"/>
      <c r="E134" s="507"/>
    </row>
    <row r="135" spans="1:5" x14ac:dyDescent="0.3">
      <c r="A135" s="79" t="str">
        <f t="shared" si="3"/>
        <v>01/05/2021-31/05/2021</v>
      </c>
      <c r="B135" s="182">
        <f>'Baseline emission'!B57</f>
        <v>20.36035714285714</v>
      </c>
      <c r="C135" s="182">
        <f>'Baseline emission'!C57</f>
        <v>26.073214285714283</v>
      </c>
      <c r="D135" s="453"/>
      <c r="E135" s="507"/>
    </row>
    <row r="136" spans="1:5" x14ac:dyDescent="0.3">
      <c r="A136" s="79" t="str">
        <f t="shared" si="3"/>
        <v>01/06/2021-30/06/2021</v>
      </c>
      <c r="B136" s="182">
        <f>'Baseline emission'!B58</f>
        <v>19.703571428571426</v>
      </c>
      <c r="C136" s="182">
        <f>'Baseline emission'!C58</f>
        <v>25.007142857142856</v>
      </c>
      <c r="D136" s="453"/>
      <c r="E136" s="507"/>
    </row>
    <row r="137" spans="1:5" x14ac:dyDescent="0.3">
      <c r="A137" s="79" t="str">
        <f t="shared" si="3"/>
        <v>01/07/2021-31/07/2021</v>
      </c>
      <c r="B137" s="182">
        <f>'Baseline emission'!B59</f>
        <v>20.36035714285714</v>
      </c>
      <c r="C137" s="182">
        <f>'Baseline emission'!C59</f>
        <v>25.873928571428575</v>
      </c>
      <c r="D137" s="453"/>
      <c r="E137" s="507"/>
    </row>
    <row r="138" spans="1:5" x14ac:dyDescent="0.3">
      <c r="A138" s="79" t="str">
        <f t="shared" si="3"/>
        <v>01/08/2021-31/08/2021</v>
      </c>
      <c r="B138" s="182">
        <f>'Baseline emission'!B60</f>
        <v>20.626071428571429</v>
      </c>
      <c r="C138" s="182">
        <f>'Baseline emission'!C60</f>
        <v>25.940357142857142</v>
      </c>
      <c r="D138" s="453"/>
      <c r="E138" s="507"/>
    </row>
    <row r="139" spans="1:5" x14ac:dyDescent="0.3">
      <c r="A139" s="79" t="str">
        <f t="shared" si="3"/>
        <v>01/09/2021-30/09/2021</v>
      </c>
      <c r="B139" s="182">
        <f>'Baseline emission'!B61</f>
        <v>19.8</v>
      </c>
      <c r="C139" s="182">
        <f>'Baseline emission'!C61</f>
        <v>24.910714285714285</v>
      </c>
      <c r="D139" s="453"/>
      <c r="E139" s="507"/>
    </row>
    <row r="140" spans="1:5" x14ac:dyDescent="0.3">
      <c r="A140" s="79" t="str">
        <f t="shared" si="3"/>
        <v>01/10/2021-31/10/2021</v>
      </c>
      <c r="B140" s="182">
        <f>'Baseline emission'!B62</f>
        <v>20.393571428571427</v>
      </c>
      <c r="C140" s="182">
        <f>'Baseline emission'!C62</f>
        <v>25.707857142857147</v>
      </c>
      <c r="D140" s="453"/>
      <c r="E140" s="507"/>
    </row>
    <row r="141" spans="1:5" x14ac:dyDescent="0.3">
      <c r="A141" s="79" t="str">
        <f t="shared" si="3"/>
        <v>01/11/2021-30/11/2021</v>
      </c>
      <c r="B141" s="182">
        <f>'Baseline emission'!B63</f>
        <v>19.478571428571428</v>
      </c>
      <c r="C141" s="182">
        <f>'Baseline emission'!C63</f>
        <v>24.910714285714285</v>
      </c>
      <c r="D141" s="453"/>
      <c r="E141" s="507"/>
    </row>
    <row r="142" spans="1:5" x14ac:dyDescent="0.3">
      <c r="A142" s="79" t="str">
        <f t="shared" si="3"/>
        <v>01/12/2021-31/12/2021</v>
      </c>
      <c r="B142" s="182">
        <f>'Baseline emission'!B64</f>
        <v>20.493214285714288</v>
      </c>
      <c r="C142" s="182">
        <f>'Baseline emission'!C64</f>
        <v>25.741071428571427</v>
      </c>
      <c r="D142" s="453"/>
      <c r="E142" s="507"/>
    </row>
    <row r="143" spans="1:5" x14ac:dyDescent="0.3">
      <c r="A143" s="79" t="str">
        <f t="shared" si="3"/>
        <v>01/01/2022-31/01/2022</v>
      </c>
      <c r="B143" s="182">
        <f>'Baseline emission'!B65</f>
        <v>20.061428571428571</v>
      </c>
      <c r="C143" s="182">
        <f>'Baseline emission'!C65</f>
        <v>26.372142857142858</v>
      </c>
      <c r="D143" s="453"/>
      <c r="E143" s="507"/>
    </row>
    <row r="144" spans="1:5" x14ac:dyDescent="0.3">
      <c r="A144" s="79" t="str">
        <f t="shared" si="3"/>
        <v>01/02/2022-28/02/2022</v>
      </c>
      <c r="B144" s="182">
        <f>'Baseline emission'!B66</f>
        <v>18.48</v>
      </c>
      <c r="C144" s="182">
        <f>'Baseline emission'!C66</f>
        <v>23.370000000000005</v>
      </c>
      <c r="D144" s="453"/>
      <c r="E144" s="507"/>
    </row>
    <row r="145" spans="1:5" x14ac:dyDescent="0.3">
      <c r="A145" s="79" t="str">
        <f t="shared" si="3"/>
        <v>01/03/2022-31/03/2022</v>
      </c>
      <c r="B145" s="182">
        <f>'Baseline emission'!B67</f>
        <v>20.592857142857142</v>
      </c>
      <c r="C145" s="182">
        <f>'Baseline emission'!C67</f>
        <v>25.873928571428575</v>
      </c>
      <c r="D145" s="454"/>
      <c r="E145" s="508"/>
    </row>
    <row r="146" spans="1:5" ht="15.5" x14ac:dyDescent="0.3">
      <c r="A146" s="155" t="s">
        <v>226</v>
      </c>
      <c r="B146" s="187">
        <v>1</v>
      </c>
      <c r="C146" s="187">
        <v>1</v>
      </c>
      <c r="D146" s="23" t="s">
        <v>91</v>
      </c>
      <c r="E146" s="185" t="s">
        <v>125</v>
      </c>
    </row>
    <row r="147" spans="1:5" ht="15.5" x14ac:dyDescent="0.3">
      <c r="A147" s="155" t="s">
        <v>244</v>
      </c>
      <c r="B147" s="187"/>
      <c r="C147" s="187"/>
      <c r="D147" s="130"/>
      <c r="E147" s="220"/>
    </row>
    <row r="148" spans="1:5" x14ac:dyDescent="0.3">
      <c r="A148" s="79" t="str">
        <f t="shared" ref="A148:A162" si="4">A131</f>
        <v>20/01/2021-31/01/2021</v>
      </c>
      <c r="B148" s="182">
        <f t="shared" ref="B148:B162" si="5">ROUNDUP($B$108*$B$109*$B$110*$B$111*$B$112*$B$113*B115*B131*$B$146,0)</f>
        <v>2</v>
      </c>
      <c r="C148" s="427">
        <f>ROUNDUP($C$108*$C$109*$C$110*$C$111*$C$112*$C$113*C115*C131*$C$146,0)</f>
        <v>2</v>
      </c>
      <c r="D148" s="453"/>
      <c r="E148" s="507" t="s">
        <v>348</v>
      </c>
    </row>
    <row r="149" spans="1:5" x14ac:dyDescent="0.3">
      <c r="A149" s="79" t="str">
        <f t="shared" si="4"/>
        <v>01/02/1021-28/02/2021</v>
      </c>
      <c r="B149" s="182">
        <f t="shared" si="5"/>
        <v>4</v>
      </c>
      <c r="C149" s="427">
        <f t="shared" ref="C149:C162" si="6">ROUNDUP($C$108*$C$109*$C$110*$C$111*$C$112*$C$113*C116*C132*$C$146,0)</f>
        <v>3</v>
      </c>
      <c r="D149" s="453"/>
      <c r="E149" s="507"/>
    </row>
    <row r="150" spans="1:5" x14ac:dyDescent="0.3">
      <c r="A150" s="79" t="str">
        <f t="shared" si="4"/>
        <v>01/03/2021-31/03/3021</v>
      </c>
      <c r="B150" s="182">
        <f t="shared" si="5"/>
        <v>4</v>
      </c>
      <c r="C150" s="427">
        <f t="shared" si="6"/>
        <v>3</v>
      </c>
      <c r="D150" s="453"/>
      <c r="E150" s="507"/>
    </row>
    <row r="151" spans="1:5" x14ac:dyDescent="0.3">
      <c r="A151" s="79" t="str">
        <f t="shared" si="4"/>
        <v>01/04/2021-30/04/2021</v>
      </c>
      <c r="B151" s="182">
        <f t="shared" si="5"/>
        <v>4</v>
      </c>
      <c r="C151" s="427">
        <f t="shared" si="6"/>
        <v>3</v>
      </c>
      <c r="D151" s="453"/>
      <c r="E151" s="507"/>
    </row>
    <row r="152" spans="1:5" x14ac:dyDescent="0.3">
      <c r="A152" s="79" t="str">
        <f t="shared" si="4"/>
        <v>01/05/2021-31/05/2021</v>
      </c>
      <c r="B152" s="182">
        <f t="shared" si="5"/>
        <v>4</v>
      </c>
      <c r="C152" s="427">
        <f t="shared" si="6"/>
        <v>3</v>
      </c>
      <c r="D152" s="453"/>
      <c r="E152" s="507"/>
    </row>
    <row r="153" spans="1:5" x14ac:dyDescent="0.3">
      <c r="A153" s="79" t="str">
        <f t="shared" si="4"/>
        <v>01/06/2021-30/06/2021</v>
      </c>
      <c r="B153" s="182">
        <f t="shared" si="5"/>
        <v>4</v>
      </c>
      <c r="C153" s="427">
        <f t="shared" si="6"/>
        <v>3</v>
      </c>
      <c r="D153" s="453"/>
      <c r="E153" s="507"/>
    </row>
    <row r="154" spans="1:5" x14ac:dyDescent="0.3">
      <c r="A154" s="79" t="str">
        <f t="shared" si="4"/>
        <v>01/07/2021-31/07/2021</v>
      </c>
      <c r="B154" s="182">
        <f t="shared" si="5"/>
        <v>4</v>
      </c>
      <c r="C154" s="427">
        <f t="shared" si="6"/>
        <v>3</v>
      </c>
      <c r="D154" s="453"/>
      <c r="E154" s="507"/>
    </row>
    <row r="155" spans="1:5" x14ac:dyDescent="0.3">
      <c r="A155" s="79" t="str">
        <f t="shared" si="4"/>
        <v>01/08/2021-31/08/2021</v>
      </c>
      <c r="B155" s="182">
        <f t="shared" si="5"/>
        <v>4</v>
      </c>
      <c r="C155" s="427">
        <f t="shared" si="6"/>
        <v>3</v>
      </c>
      <c r="D155" s="453"/>
      <c r="E155" s="507"/>
    </row>
    <row r="156" spans="1:5" x14ac:dyDescent="0.3">
      <c r="A156" s="79" t="str">
        <f t="shared" si="4"/>
        <v>01/09/2021-30/09/2021</v>
      </c>
      <c r="B156" s="182">
        <f t="shared" si="5"/>
        <v>4</v>
      </c>
      <c r="C156" s="427">
        <f t="shared" si="6"/>
        <v>3</v>
      </c>
      <c r="D156" s="453"/>
      <c r="E156" s="507"/>
    </row>
    <row r="157" spans="1:5" x14ac:dyDescent="0.3">
      <c r="A157" s="79" t="str">
        <f t="shared" si="4"/>
        <v>01/10/2021-31/10/2021</v>
      </c>
      <c r="B157" s="182">
        <f t="shared" si="5"/>
        <v>4</v>
      </c>
      <c r="C157" s="427">
        <f t="shared" si="6"/>
        <v>3</v>
      </c>
      <c r="D157" s="453"/>
      <c r="E157" s="507"/>
    </row>
    <row r="158" spans="1:5" x14ac:dyDescent="0.3">
      <c r="A158" s="79" t="str">
        <f t="shared" si="4"/>
        <v>01/11/2021-30/11/2021</v>
      </c>
      <c r="B158" s="182">
        <f t="shared" si="5"/>
        <v>4</v>
      </c>
      <c r="C158" s="427">
        <f t="shared" si="6"/>
        <v>3</v>
      </c>
      <c r="D158" s="453"/>
      <c r="E158" s="507"/>
    </row>
    <row r="159" spans="1:5" x14ac:dyDescent="0.3">
      <c r="A159" s="79" t="str">
        <f t="shared" si="4"/>
        <v>01/12/2021-31/12/2021</v>
      </c>
      <c r="B159" s="182">
        <f t="shared" si="5"/>
        <v>4</v>
      </c>
      <c r="C159" s="427">
        <f t="shared" si="6"/>
        <v>3</v>
      </c>
      <c r="D159" s="453"/>
      <c r="E159" s="507"/>
    </row>
    <row r="160" spans="1:5" x14ac:dyDescent="0.3">
      <c r="A160" s="79" t="str">
        <f t="shared" si="4"/>
        <v>01/01/2022-31/01/2022</v>
      </c>
      <c r="B160" s="182">
        <f t="shared" si="5"/>
        <v>4</v>
      </c>
      <c r="C160" s="427">
        <f t="shared" si="6"/>
        <v>3</v>
      </c>
      <c r="D160" s="453"/>
      <c r="E160" s="507"/>
    </row>
    <row r="161" spans="1:5" x14ac:dyDescent="0.3">
      <c r="A161" s="79" t="str">
        <f t="shared" si="4"/>
        <v>01/02/2022-28/02/2022</v>
      </c>
      <c r="B161" s="182">
        <f t="shared" si="5"/>
        <v>4</v>
      </c>
      <c r="C161" s="427">
        <f t="shared" si="6"/>
        <v>3</v>
      </c>
      <c r="D161" s="453"/>
      <c r="E161" s="507"/>
    </row>
    <row r="162" spans="1:5" x14ac:dyDescent="0.3">
      <c r="A162" s="79" t="str">
        <f t="shared" si="4"/>
        <v>01/03/2022-31/03/2022</v>
      </c>
      <c r="B162" s="182">
        <f t="shared" si="5"/>
        <v>4</v>
      </c>
      <c r="C162" s="427">
        <f t="shared" si="6"/>
        <v>3</v>
      </c>
      <c r="D162" s="454"/>
      <c r="E162" s="508"/>
    </row>
    <row r="163" spans="1:5" ht="15.5" x14ac:dyDescent="0.4">
      <c r="A163" s="87" t="str">
        <f>A94</f>
        <v>01/01/2021-31/12/2021</v>
      </c>
      <c r="B163" s="539">
        <f>SUM(B148:C159)</f>
        <v>81</v>
      </c>
      <c r="C163" s="539"/>
      <c r="D163" s="23" t="s">
        <v>206</v>
      </c>
      <c r="E163" s="24" t="s">
        <v>106</v>
      </c>
    </row>
    <row r="164" spans="1:5" ht="15.5" x14ac:dyDescent="0.4">
      <c r="A164" s="87" t="str">
        <f>A95</f>
        <v>01/01/2022-31/03/2022</v>
      </c>
      <c r="B164" s="541">
        <f>SUM(B160:C162)</f>
        <v>21</v>
      </c>
      <c r="C164" s="542"/>
      <c r="D164" s="23" t="s">
        <v>206</v>
      </c>
      <c r="E164" s="24" t="s">
        <v>106</v>
      </c>
    </row>
    <row r="165" spans="1:5" ht="16" thickBot="1" x14ac:dyDescent="0.45">
      <c r="A165" s="189" t="s">
        <v>227</v>
      </c>
      <c r="B165" s="540">
        <f>B163+B164</f>
        <v>102</v>
      </c>
      <c r="C165" s="540"/>
      <c r="D165" s="30" t="s">
        <v>206</v>
      </c>
      <c r="E165" s="190" t="s">
        <v>106</v>
      </c>
    </row>
    <row r="166" spans="1:5" x14ac:dyDescent="0.3">
      <c r="A166" s="175"/>
    </row>
    <row r="167" spans="1:5" ht="15.5" x14ac:dyDescent="0.3">
      <c r="A167" s="191" t="s">
        <v>373</v>
      </c>
    </row>
    <row r="168" spans="1:5" x14ac:dyDescent="0.3">
      <c r="A168" s="175"/>
    </row>
    <row r="169" spans="1:5" x14ac:dyDescent="0.3">
      <c r="A169" s="175"/>
      <c r="D169" s="62"/>
    </row>
    <row r="170" spans="1:5" x14ac:dyDescent="0.3">
      <c r="A170" s="61"/>
      <c r="D170" s="62"/>
    </row>
    <row r="171" spans="1:5" x14ac:dyDescent="0.3">
      <c r="A171" s="61"/>
      <c r="D171" s="62"/>
    </row>
    <row r="172" spans="1:5" x14ac:dyDescent="0.3">
      <c r="A172" s="61"/>
      <c r="D172" s="62"/>
    </row>
    <row r="173" spans="1:5" x14ac:dyDescent="0.3">
      <c r="A173" s="61"/>
      <c r="D173" s="62"/>
    </row>
    <row r="174" spans="1:5" ht="15.5" x14ac:dyDescent="0.4">
      <c r="A174" s="192" t="s">
        <v>228</v>
      </c>
      <c r="B174" s="193"/>
    </row>
    <row r="175" spans="1:5" ht="14" thickBot="1" x14ac:dyDescent="0.35">
      <c r="A175" s="136"/>
    </row>
    <row r="176" spans="1:5" x14ac:dyDescent="0.3">
      <c r="A176" s="96" t="s">
        <v>3</v>
      </c>
      <c r="B176" s="97" t="s">
        <v>18</v>
      </c>
      <c r="C176" s="97"/>
      <c r="D176" s="97" t="s">
        <v>2</v>
      </c>
      <c r="E176" s="97" t="s">
        <v>4</v>
      </c>
    </row>
    <row r="177" spans="1:9" s="67" customFormat="1" x14ac:dyDescent="0.3">
      <c r="A177" s="98"/>
      <c r="B177" s="99" t="s">
        <v>32</v>
      </c>
      <c r="C177" s="99" t="s">
        <v>33</v>
      </c>
      <c r="D177" s="99"/>
      <c r="E177" s="99"/>
      <c r="F177" s="22"/>
      <c r="G177" s="22"/>
      <c r="H177" s="22"/>
      <c r="I177" s="22"/>
    </row>
    <row r="178" spans="1:9" ht="36.5" customHeight="1" x14ac:dyDescent="0.3">
      <c r="A178" s="155" t="s">
        <v>229</v>
      </c>
      <c r="B178" s="194">
        <v>0</v>
      </c>
      <c r="C178" s="194">
        <v>0</v>
      </c>
      <c r="D178" s="113" t="s">
        <v>178</v>
      </c>
      <c r="E178" s="131" t="s">
        <v>62</v>
      </c>
    </row>
    <row r="179" spans="1:9" x14ac:dyDescent="0.3">
      <c r="A179" s="155" t="s">
        <v>230</v>
      </c>
      <c r="B179" s="195"/>
      <c r="C179" s="195"/>
      <c r="D179" s="452" t="s">
        <v>67</v>
      </c>
      <c r="E179" s="452" t="s">
        <v>109</v>
      </c>
    </row>
    <row r="180" spans="1:9" x14ac:dyDescent="0.3">
      <c r="A180" s="79" t="str">
        <f t="shared" ref="A180:A194" si="7">A148</f>
        <v>20/01/2021-31/01/2021</v>
      </c>
      <c r="B180" s="195">
        <f>'Baseline emission'!B155</f>
        <v>0.30643199999999998</v>
      </c>
      <c r="C180" s="195">
        <f>'Baseline emission'!C155</f>
        <v>0.22924799999999995</v>
      </c>
      <c r="D180" s="453"/>
      <c r="E180" s="453"/>
    </row>
    <row r="181" spans="1:9" x14ac:dyDescent="0.3">
      <c r="A181" s="79" t="str">
        <f t="shared" si="7"/>
        <v>01/02/1021-28/02/2021</v>
      </c>
      <c r="B181" s="195">
        <f>'Baseline emission'!B156</f>
        <v>0.72441600000000006</v>
      </c>
      <c r="C181" s="195">
        <f>'Baseline emission'!C156</f>
        <v>0.51811200000000002</v>
      </c>
      <c r="D181" s="453"/>
      <c r="E181" s="453"/>
    </row>
    <row r="182" spans="1:9" x14ac:dyDescent="0.3">
      <c r="A182" s="79" t="str">
        <f t="shared" si="7"/>
        <v>01/03/2021-31/03/3021</v>
      </c>
      <c r="B182" s="195">
        <f>'Baseline emission'!B157</f>
        <v>0.80984400000000001</v>
      </c>
      <c r="C182" s="195">
        <f>'Baseline emission'!C157</f>
        <v>0.57659999999999989</v>
      </c>
      <c r="D182" s="453"/>
      <c r="E182" s="453"/>
    </row>
    <row r="183" spans="1:9" x14ac:dyDescent="0.3">
      <c r="A183" s="79" t="str">
        <f t="shared" si="7"/>
        <v>01/04/2021-30/04/2021</v>
      </c>
      <c r="B183" s="195">
        <f>'Baseline emission'!B158</f>
        <v>0.78372000000000008</v>
      </c>
      <c r="C183" s="195">
        <f>'Baseline emission'!C158</f>
        <v>0.56159999999999988</v>
      </c>
      <c r="D183" s="453"/>
      <c r="E183" s="453"/>
    </row>
    <row r="184" spans="1:9" x14ac:dyDescent="0.3">
      <c r="A184" s="79" t="str">
        <f t="shared" si="7"/>
        <v>01/05/2021-31/05/2021</v>
      </c>
      <c r="B184" s="195">
        <f>'Baseline emission'!B159</f>
        <v>0.79812599999999989</v>
      </c>
      <c r="C184" s="195">
        <f>'Baseline emission'!C159</f>
        <v>0.58403999999999989</v>
      </c>
      <c r="D184" s="453"/>
      <c r="E184" s="453"/>
    </row>
    <row r="185" spans="1:9" x14ac:dyDescent="0.3">
      <c r="A185" s="79" t="str">
        <f t="shared" si="7"/>
        <v>01/06/2021-30/06/2021</v>
      </c>
      <c r="B185" s="195">
        <f>'Baseline emission'!B160</f>
        <v>0.77237999999999996</v>
      </c>
      <c r="C185" s="195">
        <f>'Baseline emission'!C160</f>
        <v>0.56015999999999988</v>
      </c>
      <c r="D185" s="453"/>
      <c r="E185" s="453"/>
    </row>
    <row r="186" spans="1:9" x14ac:dyDescent="0.3">
      <c r="A186" s="79" t="str">
        <f t="shared" si="7"/>
        <v>01/07/2021-31/07/2021</v>
      </c>
      <c r="B186" s="195">
        <f>'Baseline emission'!B161</f>
        <v>0.79812599999999989</v>
      </c>
      <c r="C186" s="195">
        <f>'Baseline emission'!C161</f>
        <v>0.57957599999999998</v>
      </c>
      <c r="D186" s="453"/>
      <c r="E186" s="453"/>
    </row>
    <row r="187" spans="1:9" x14ac:dyDescent="0.3">
      <c r="A187" s="79" t="str">
        <f t="shared" si="7"/>
        <v>01/08/2021-31/08/2021</v>
      </c>
      <c r="B187" s="195">
        <f>'Baseline emission'!B162</f>
        <v>0.80854199999999998</v>
      </c>
      <c r="C187" s="195">
        <f>'Baseline emission'!C162</f>
        <v>0.58106399999999991</v>
      </c>
      <c r="D187" s="453"/>
      <c r="E187" s="453"/>
    </row>
    <row r="188" spans="1:9" x14ac:dyDescent="0.3">
      <c r="A188" s="79" t="str">
        <f t="shared" si="7"/>
        <v>01/09/2021-30/09/2021</v>
      </c>
      <c r="B188" s="195">
        <f>'Baseline emission'!B163</f>
        <v>0.77616000000000007</v>
      </c>
      <c r="C188" s="195">
        <f>'Baseline emission'!C163</f>
        <v>0.55799999999999994</v>
      </c>
      <c r="D188" s="453"/>
      <c r="E188" s="453"/>
    </row>
    <row r="189" spans="1:9" x14ac:dyDescent="0.3">
      <c r="A189" s="79" t="str">
        <f t="shared" si="7"/>
        <v>01/10/2021-31/10/2021</v>
      </c>
      <c r="B189" s="195">
        <f>'Baseline emission'!B164</f>
        <v>0.79942799999999992</v>
      </c>
      <c r="C189" s="195">
        <f>'Baseline emission'!C164</f>
        <v>0.57585600000000003</v>
      </c>
      <c r="D189" s="453"/>
      <c r="E189" s="453"/>
    </row>
    <row r="190" spans="1:9" x14ac:dyDescent="0.3">
      <c r="A190" s="79" t="str">
        <f t="shared" si="7"/>
        <v>01/11/2021-30/11/2021</v>
      </c>
      <c r="B190" s="195">
        <f>'Baseline emission'!B165</f>
        <v>0.76355999999999991</v>
      </c>
      <c r="C190" s="195">
        <f>'Baseline emission'!C165</f>
        <v>0.55799999999999994</v>
      </c>
      <c r="D190" s="453"/>
      <c r="E190" s="453"/>
    </row>
    <row r="191" spans="1:9" x14ac:dyDescent="0.3">
      <c r="A191" s="79" t="str">
        <f t="shared" si="7"/>
        <v>01/12/2021-31/12/2021</v>
      </c>
      <c r="B191" s="195">
        <f>'Baseline emission'!B166</f>
        <v>0.8033340000000001</v>
      </c>
      <c r="C191" s="195">
        <f>'Baseline emission'!C166</f>
        <v>0.57659999999999989</v>
      </c>
      <c r="D191" s="453"/>
      <c r="E191" s="453"/>
    </row>
    <row r="192" spans="1:9" x14ac:dyDescent="0.3">
      <c r="A192" s="79" t="str">
        <f t="shared" si="7"/>
        <v>01/01/2022-31/01/2022</v>
      </c>
      <c r="B192" s="195">
        <f>'Baseline emission'!B167</f>
        <v>0.786408</v>
      </c>
      <c r="C192" s="195">
        <f>'Baseline emission'!C167</f>
        <v>0.59073599999999993</v>
      </c>
      <c r="D192" s="453"/>
      <c r="E192" s="453"/>
    </row>
    <row r="193" spans="1:5" x14ac:dyDescent="0.3">
      <c r="A193" s="79" t="str">
        <f t="shared" si="7"/>
        <v>01/02/2022-28/02/2022</v>
      </c>
      <c r="B193" s="195">
        <f>'Baseline emission'!B168</f>
        <v>0.72441600000000006</v>
      </c>
      <c r="C193" s="195">
        <f>'Baseline emission'!C168</f>
        <v>0.52348800000000006</v>
      </c>
      <c r="D193" s="453"/>
      <c r="E193" s="453"/>
    </row>
    <row r="194" spans="1:5" x14ac:dyDescent="0.3">
      <c r="A194" s="79" t="str">
        <f t="shared" si="7"/>
        <v>01/03/2022-31/03/2022</v>
      </c>
      <c r="B194" s="195">
        <f>'Baseline emission'!B169</f>
        <v>0.80724000000000007</v>
      </c>
      <c r="C194" s="195">
        <f>'Baseline emission'!C169</f>
        <v>0.57957599999999998</v>
      </c>
      <c r="D194" s="454"/>
      <c r="E194" s="454"/>
    </row>
    <row r="195" spans="1:5" x14ac:dyDescent="0.3">
      <c r="A195" s="155" t="s">
        <v>40</v>
      </c>
      <c r="B195" s="196">
        <v>1</v>
      </c>
      <c r="C195" s="196">
        <f>B195</f>
        <v>1</v>
      </c>
      <c r="D195" s="23" t="s">
        <v>91</v>
      </c>
      <c r="E195" s="75" t="s">
        <v>354</v>
      </c>
    </row>
    <row r="196" spans="1:5" ht="15.5" x14ac:dyDescent="0.3">
      <c r="A196" s="155" t="s">
        <v>243</v>
      </c>
      <c r="B196" s="196"/>
      <c r="C196" s="196"/>
      <c r="D196" s="23"/>
      <c r="E196" s="75"/>
    </row>
    <row r="197" spans="1:5" x14ac:dyDescent="0.3">
      <c r="A197" s="79" t="str">
        <f t="shared" ref="A197:A211" si="8">A180</f>
        <v>20/01/2021-31/01/2021</v>
      </c>
      <c r="B197" s="197">
        <f t="shared" ref="B197:B211" si="9">$B$178*B180*B115*$B$195</f>
        <v>0</v>
      </c>
      <c r="C197" s="197">
        <f t="shared" ref="C197:C211" si="10">$C$178*C180*C115*$C$195</f>
        <v>0</v>
      </c>
      <c r="D197" s="453" t="s">
        <v>184</v>
      </c>
      <c r="E197" s="450" t="s">
        <v>348</v>
      </c>
    </row>
    <row r="198" spans="1:5" x14ac:dyDescent="0.3">
      <c r="A198" s="79" t="str">
        <f t="shared" si="8"/>
        <v>01/02/1021-28/02/2021</v>
      </c>
      <c r="B198" s="197">
        <f t="shared" si="9"/>
        <v>0</v>
      </c>
      <c r="C198" s="197">
        <f t="shared" si="10"/>
        <v>0</v>
      </c>
      <c r="D198" s="453"/>
      <c r="E198" s="450"/>
    </row>
    <row r="199" spans="1:5" x14ac:dyDescent="0.3">
      <c r="A199" s="79" t="str">
        <f t="shared" si="8"/>
        <v>01/03/2021-31/03/3021</v>
      </c>
      <c r="B199" s="197">
        <f t="shared" si="9"/>
        <v>0</v>
      </c>
      <c r="C199" s="197">
        <f t="shared" si="10"/>
        <v>0</v>
      </c>
      <c r="D199" s="453"/>
      <c r="E199" s="450"/>
    </row>
    <row r="200" spans="1:5" x14ac:dyDescent="0.3">
      <c r="A200" s="79" t="str">
        <f t="shared" si="8"/>
        <v>01/04/2021-30/04/2021</v>
      </c>
      <c r="B200" s="197">
        <f t="shared" si="9"/>
        <v>0</v>
      </c>
      <c r="C200" s="197">
        <f t="shared" si="10"/>
        <v>0</v>
      </c>
      <c r="D200" s="453"/>
      <c r="E200" s="450"/>
    </row>
    <row r="201" spans="1:5" x14ac:dyDescent="0.3">
      <c r="A201" s="79" t="str">
        <f t="shared" si="8"/>
        <v>01/05/2021-31/05/2021</v>
      </c>
      <c r="B201" s="197">
        <f t="shared" si="9"/>
        <v>0</v>
      </c>
      <c r="C201" s="197">
        <f t="shared" si="10"/>
        <v>0</v>
      </c>
      <c r="D201" s="453"/>
      <c r="E201" s="450"/>
    </row>
    <row r="202" spans="1:5" x14ac:dyDescent="0.3">
      <c r="A202" s="79" t="str">
        <f t="shared" si="8"/>
        <v>01/06/2021-30/06/2021</v>
      </c>
      <c r="B202" s="197">
        <f t="shared" si="9"/>
        <v>0</v>
      </c>
      <c r="C202" s="197">
        <f t="shared" si="10"/>
        <v>0</v>
      </c>
      <c r="D202" s="453"/>
      <c r="E202" s="450"/>
    </row>
    <row r="203" spans="1:5" x14ac:dyDescent="0.3">
      <c r="A203" s="79" t="str">
        <f t="shared" si="8"/>
        <v>01/07/2021-31/07/2021</v>
      </c>
      <c r="B203" s="197">
        <f t="shared" si="9"/>
        <v>0</v>
      </c>
      <c r="C203" s="197">
        <f t="shared" si="10"/>
        <v>0</v>
      </c>
      <c r="D203" s="453"/>
      <c r="E203" s="450"/>
    </row>
    <row r="204" spans="1:5" x14ac:dyDescent="0.3">
      <c r="A204" s="79" t="str">
        <f t="shared" si="8"/>
        <v>01/08/2021-31/08/2021</v>
      </c>
      <c r="B204" s="197">
        <f t="shared" si="9"/>
        <v>0</v>
      </c>
      <c r="C204" s="197">
        <f t="shared" si="10"/>
        <v>0</v>
      </c>
      <c r="D204" s="453"/>
      <c r="E204" s="450"/>
    </row>
    <row r="205" spans="1:5" x14ac:dyDescent="0.3">
      <c r="A205" s="79" t="str">
        <f t="shared" si="8"/>
        <v>01/09/2021-30/09/2021</v>
      </c>
      <c r="B205" s="197">
        <f t="shared" si="9"/>
        <v>0</v>
      </c>
      <c r="C205" s="197">
        <f t="shared" si="10"/>
        <v>0</v>
      </c>
      <c r="D205" s="453"/>
      <c r="E205" s="450"/>
    </row>
    <row r="206" spans="1:5" x14ac:dyDescent="0.3">
      <c r="A206" s="79" t="str">
        <f t="shared" si="8"/>
        <v>01/10/2021-31/10/2021</v>
      </c>
      <c r="B206" s="197">
        <f t="shared" si="9"/>
        <v>0</v>
      </c>
      <c r="C206" s="197">
        <f t="shared" si="10"/>
        <v>0</v>
      </c>
      <c r="D206" s="453"/>
      <c r="E206" s="450"/>
    </row>
    <row r="207" spans="1:5" x14ac:dyDescent="0.3">
      <c r="A207" s="79" t="str">
        <f t="shared" si="8"/>
        <v>01/11/2021-30/11/2021</v>
      </c>
      <c r="B207" s="197">
        <f t="shared" si="9"/>
        <v>0</v>
      </c>
      <c r="C207" s="197">
        <f t="shared" si="10"/>
        <v>0</v>
      </c>
      <c r="D207" s="453"/>
      <c r="E207" s="450"/>
    </row>
    <row r="208" spans="1:5" x14ac:dyDescent="0.3">
      <c r="A208" s="79" t="str">
        <f t="shared" si="8"/>
        <v>01/12/2021-31/12/2021</v>
      </c>
      <c r="B208" s="197">
        <f t="shared" si="9"/>
        <v>0</v>
      </c>
      <c r="C208" s="197">
        <f t="shared" si="10"/>
        <v>0</v>
      </c>
      <c r="D208" s="453"/>
      <c r="E208" s="450"/>
    </row>
    <row r="209" spans="1:5" x14ac:dyDescent="0.3">
      <c r="A209" s="79" t="str">
        <f t="shared" si="8"/>
        <v>01/01/2022-31/01/2022</v>
      </c>
      <c r="B209" s="197">
        <f t="shared" si="9"/>
        <v>0</v>
      </c>
      <c r="C209" s="197">
        <f t="shared" si="10"/>
        <v>0</v>
      </c>
      <c r="D209" s="453"/>
      <c r="E209" s="450"/>
    </row>
    <row r="210" spans="1:5" x14ac:dyDescent="0.3">
      <c r="A210" s="79" t="str">
        <f t="shared" si="8"/>
        <v>01/02/2022-28/02/2022</v>
      </c>
      <c r="B210" s="197">
        <f t="shared" si="9"/>
        <v>0</v>
      </c>
      <c r="C210" s="197">
        <f t="shared" si="10"/>
        <v>0</v>
      </c>
      <c r="D210" s="453"/>
      <c r="E210" s="450"/>
    </row>
    <row r="211" spans="1:5" x14ac:dyDescent="0.3">
      <c r="A211" s="79" t="str">
        <f t="shared" si="8"/>
        <v>01/03/2022-31/03/2022</v>
      </c>
      <c r="B211" s="197">
        <f t="shared" si="9"/>
        <v>0</v>
      </c>
      <c r="C211" s="197">
        <f t="shared" si="10"/>
        <v>0</v>
      </c>
      <c r="D211" s="453"/>
      <c r="E211" s="450"/>
    </row>
    <row r="212" spans="1:5" x14ac:dyDescent="0.3">
      <c r="A212" s="87" t="str">
        <f>A163</f>
        <v>01/01/2021-31/12/2021</v>
      </c>
      <c r="B212" s="502">
        <f>SUM(B197:C208)</f>
        <v>0</v>
      </c>
      <c r="C212" s="502"/>
      <c r="D212" s="453"/>
      <c r="E212" s="450"/>
    </row>
    <row r="213" spans="1:5" x14ac:dyDescent="0.3">
      <c r="A213" s="87" t="str">
        <f>A164</f>
        <v>01/01/2022-31/03/2022</v>
      </c>
      <c r="B213" s="502">
        <f>SUM(B209:C211)</f>
        <v>0</v>
      </c>
      <c r="C213" s="502"/>
      <c r="D213" s="453"/>
      <c r="E213" s="450"/>
    </row>
    <row r="214" spans="1:5" ht="15.5" x14ac:dyDescent="0.3">
      <c r="A214" s="157" t="s">
        <v>185</v>
      </c>
      <c r="B214" s="503">
        <f>B212+B213</f>
        <v>0</v>
      </c>
      <c r="C214" s="504"/>
      <c r="D214" s="454"/>
      <c r="E214" s="460"/>
    </row>
    <row r="215" spans="1:5" ht="27.5" customHeight="1" x14ac:dyDescent="0.3">
      <c r="A215" s="155" t="s">
        <v>231</v>
      </c>
      <c r="B215" s="198">
        <v>6.0000000000000001E-3</v>
      </c>
      <c r="C215" s="198">
        <v>6.0000000000000001E-3</v>
      </c>
      <c r="D215" s="113" t="s">
        <v>232</v>
      </c>
      <c r="E215" s="408" t="s">
        <v>359</v>
      </c>
    </row>
    <row r="216" spans="1:5" x14ac:dyDescent="0.3">
      <c r="A216" s="155" t="s">
        <v>40</v>
      </c>
      <c r="B216" s="187">
        <v>1</v>
      </c>
      <c r="C216" s="187">
        <v>1</v>
      </c>
      <c r="D216" s="23" t="s">
        <v>91</v>
      </c>
      <c r="E216" s="75" t="s">
        <v>354</v>
      </c>
    </row>
    <row r="217" spans="1:5" ht="15.5" x14ac:dyDescent="0.3">
      <c r="A217" s="155" t="s">
        <v>243</v>
      </c>
      <c r="B217" s="187"/>
      <c r="C217" s="187"/>
      <c r="D217" s="452" t="s">
        <v>186</v>
      </c>
      <c r="E217" s="459" t="s">
        <v>109</v>
      </c>
    </row>
    <row r="218" spans="1:5" x14ac:dyDescent="0.3">
      <c r="A218" s="79" t="str">
        <f t="shared" ref="A218:A234" si="11">A197</f>
        <v>20/01/2021-31/01/2021</v>
      </c>
      <c r="B218" s="199">
        <f t="shared" ref="B218:B232" si="12">$B$215*$B$216*B180*B115</f>
        <v>280.98282239999998</v>
      </c>
      <c r="C218" s="428">
        <f>$C$215*$C$216*C180*C115</f>
        <v>123.63573887999998</v>
      </c>
      <c r="D218" s="453"/>
      <c r="E218" s="450"/>
    </row>
    <row r="219" spans="1:5" x14ac:dyDescent="0.3">
      <c r="A219" s="79" t="str">
        <f t="shared" si="11"/>
        <v>01/02/1021-28/02/2021</v>
      </c>
      <c r="B219" s="199">
        <f t="shared" si="12"/>
        <v>664.25325120000002</v>
      </c>
      <c r="C219" s="428">
        <f t="shared" ref="C219:C232" si="13">$C$215*$C$216*C181*C116</f>
        <v>279.25822310400002</v>
      </c>
      <c r="D219" s="453"/>
      <c r="E219" s="450"/>
    </row>
    <row r="220" spans="1:5" x14ac:dyDescent="0.3">
      <c r="A220" s="79" t="str">
        <f t="shared" si="11"/>
        <v>01/03/2021-31/03/3021</v>
      </c>
      <c r="B220" s="199">
        <f t="shared" si="12"/>
        <v>742.58645579999995</v>
      </c>
      <c r="C220" s="428">
        <f t="shared" si="13"/>
        <v>310.82776199999995</v>
      </c>
      <c r="D220" s="453"/>
      <c r="E220" s="450"/>
    </row>
    <row r="221" spans="1:5" x14ac:dyDescent="0.3">
      <c r="A221" s="79" t="str">
        <f t="shared" si="11"/>
        <v>01/04/2021-30/04/2021</v>
      </c>
      <c r="B221" s="199">
        <f t="shared" si="12"/>
        <v>718.63205400000004</v>
      </c>
      <c r="C221" s="428">
        <f t="shared" si="13"/>
        <v>302.97758399999998</v>
      </c>
      <c r="D221" s="453"/>
      <c r="E221" s="450"/>
    </row>
    <row r="222" spans="1:5" x14ac:dyDescent="0.3">
      <c r="A222" s="79" t="str">
        <f t="shared" si="11"/>
        <v>01/05/2021-31/05/2021</v>
      </c>
      <c r="B222" s="199">
        <f t="shared" si="12"/>
        <v>731.84163569999987</v>
      </c>
      <c r="C222" s="428">
        <f t="shared" si="13"/>
        <v>314.71229015999995</v>
      </c>
      <c r="D222" s="453"/>
      <c r="E222" s="450"/>
    </row>
    <row r="223" spans="1:5" x14ac:dyDescent="0.3">
      <c r="A223" s="79" t="str">
        <f t="shared" si="11"/>
        <v>01/06/2021-30/06/2021</v>
      </c>
      <c r="B223" s="199">
        <f t="shared" si="12"/>
        <v>708.23384099999998</v>
      </c>
      <c r="C223" s="428">
        <f t="shared" si="13"/>
        <v>301.65960383999993</v>
      </c>
      <c r="D223" s="453"/>
      <c r="E223" s="450"/>
    </row>
    <row r="224" spans="1:5" x14ac:dyDescent="0.3">
      <c r="A224" s="79" t="str">
        <f t="shared" si="11"/>
        <v>01/07/2021-31/07/2021</v>
      </c>
      <c r="B224" s="199">
        <f t="shared" si="12"/>
        <v>731.84163569999987</v>
      </c>
      <c r="C224" s="428">
        <f t="shared" si="13"/>
        <v>312.64068168</v>
      </c>
      <c r="D224" s="453"/>
      <c r="E224" s="450"/>
    </row>
    <row r="225" spans="1:5" x14ac:dyDescent="0.3">
      <c r="A225" s="79" t="str">
        <f t="shared" si="11"/>
        <v>01/08/2021-31/08/2021</v>
      </c>
      <c r="B225" s="199">
        <f t="shared" si="12"/>
        <v>741.39258690000008</v>
      </c>
      <c r="C225" s="428">
        <f t="shared" si="13"/>
        <v>312.62405327999994</v>
      </c>
      <c r="D225" s="453"/>
      <c r="E225" s="450"/>
    </row>
    <row r="226" spans="1:5" x14ac:dyDescent="0.3">
      <c r="A226" s="79" t="str">
        <f t="shared" si="11"/>
        <v>01/09/2021-30/09/2021</v>
      </c>
      <c r="B226" s="199">
        <f t="shared" si="12"/>
        <v>711.69991200000015</v>
      </c>
      <c r="C226" s="428">
        <f t="shared" si="13"/>
        <v>300.83119199999999</v>
      </c>
      <c r="D226" s="453"/>
      <c r="E226" s="450"/>
    </row>
    <row r="227" spans="1:5" x14ac:dyDescent="0.3">
      <c r="A227" s="79" t="str">
        <f t="shared" si="11"/>
        <v>01/10/2021-31/10/2021</v>
      </c>
      <c r="B227" s="199">
        <f t="shared" si="12"/>
        <v>733.03550459999985</v>
      </c>
      <c r="C227" s="428">
        <f t="shared" si="13"/>
        <v>310.23666144000003</v>
      </c>
      <c r="D227" s="453"/>
      <c r="E227" s="450"/>
    </row>
    <row r="228" spans="1:5" x14ac:dyDescent="0.3">
      <c r="A228" s="79" t="str">
        <f t="shared" si="11"/>
        <v>01/11/2021-30/11/2021</v>
      </c>
      <c r="B228" s="199">
        <f t="shared" si="12"/>
        <v>700.14634199999989</v>
      </c>
      <c r="C228" s="428">
        <f t="shared" si="13"/>
        <v>301.00193999999999</v>
      </c>
      <c r="D228" s="453"/>
      <c r="E228" s="450"/>
    </row>
    <row r="229" spans="1:5" x14ac:dyDescent="0.3">
      <c r="A229" s="79" t="str">
        <f t="shared" si="11"/>
        <v>01/12/2021-31/12/2021</v>
      </c>
      <c r="B229" s="199">
        <f t="shared" si="12"/>
        <v>736.61711130000015</v>
      </c>
      <c r="C229" s="428">
        <f t="shared" si="13"/>
        <v>310.53715559999995</v>
      </c>
      <c r="D229" s="453"/>
      <c r="E229" s="450"/>
    </row>
    <row r="230" spans="1:5" x14ac:dyDescent="0.3">
      <c r="A230" s="79" t="str">
        <f t="shared" si="11"/>
        <v>01/01/2022-31/01/2022</v>
      </c>
      <c r="B230" s="199">
        <f t="shared" si="12"/>
        <v>721.09681560000001</v>
      </c>
      <c r="C230" s="428">
        <f t="shared" si="13"/>
        <v>318.62173190399994</v>
      </c>
      <c r="D230" s="453"/>
      <c r="E230" s="450"/>
    </row>
    <row r="231" spans="1:5" x14ac:dyDescent="0.3">
      <c r="A231" s="79" t="str">
        <f t="shared" si="11"/>
        <v>01/02/2022-28/02/2022</v>
      </c>
      <c r="B231" s="199">
        <f t="shared" si="12"/>
        <v>664.25325120000002</v>
      </c>
      <c r="C231" s="428">
        <f t="shared" si="13"/>
        <v>282.11815296000003</v>
      </c>
      <c r="D231" s="453"/>
      <c r="E231" s="450"/>
    </row>
    <row r="232" spans="1:5" x14ac:dyDescent="0.3">
      <c r="A232" s="79" t="str">
        <f t="shared" si="11"/>
        <v>01/03/2022-31/03/2022</v>
      </c>
      <c r="B232" s="199">
        <f t="shared" si="12"/>
        <v>740.1987180000001</v>
      </c>
      <c r="C232" s="428">
        <f t="shared" si="13"/>
        <v>311.93823556799998</v>
      </c>
      <c r="D232" s="454"/>
      <c r="E232" s="460"/>
    </row>
    <row r="233" spans="1:5" x14ac:dyDescent="0.3">
      <c r="A233" s="87" t="str">
        <f t="shared" si="11"/>
        <v>01/01/2021-31/12/2021</v>
      </c>
      <c r="B233" s="500">
        <f>ROUNDUP(SUM(B218:C229),0)</f>
        <v>11683</v>
      </c>
      <c r="C233" s="501"/>
      <c r="D233" s="453" t="s">
        <v>184</v>
      </c>
      <c r="E233" s="450" t="s">
        <v>348</v>
      </c>
    </row>
    <row r="234" spans="1:5" x14ac:dyDescent="0.3">
      <c r="A234" s="87" t="str">
        <f t="shared" si="11"/>
        <v>01/01/2022-31/03/2022</v>
      </c>
      <c r="B234" s="498">
        <f>ROUNDUP(SUM(B230:C232),0)</f>
        <v>3039</v>
      </c>
      <c r="C234" s="498"/>
      <c r="D234" s="453"/>
      <c r="E234" s="450"/>
    </row>
    <row r="235" spans="1:5" ht="14" thickBot="1" x14ac:dyDescent="0.35">
      <c r="A235" s="189" t="s">
        <v>233</v>
      </c>
      <c r="B235" s="499">
        <f>B234+B233</f>
        <v>14722</v>
      </c>
      <c r="C235" s="499"/>
      <c r="D235" s="485"/>
      <c r="E235" s="451"/>
    </row>
    <row r="237" spans="1:5" x14ac:dyDescent="0.3">
      <c r="A237" s="134" t="s">
        <v>21</v>
      </c>
      <c r="B237" s="193"/>
      <c r="C237" s="193"/>
      <c r="D237" s="62"/>
      <c r="E237" s="193"/>
    </row>
    <row r="238" spans="1:5" x14ac:dyDescent="0.3">
      <c r="A238" s="134"/>
      <c r="B238" s="193"/>
      <c r="C238" s="193"/>
      <c r="D238" s="62"/>
      <c r="E238" s="193"/>
    </row>
    <row r="239" spans="1:5" ht="14" thickBot="1" x14ac:dyDescent="0.35">
      <c r="A239" s="134" t="s">
        <v>234</v>
      </c>
      <c r="B239" s="193"/>
      <c r="C239" s="193"/>
      <c r="D239" s="193"/>
      <c r="E239" s="193"/>
    </row>
    <row r="240" spans="1:5" x14ac:dyDescent="0.3">
      <c r="A240" s="201" t="s">
        <v>3</v>
      </c>
      <c r="B240" s="97" t="s">
        <v>18</v>
      </c>
      <c r="C240" s="97"/>
      <c r="D240" s="97" t="s">
        <v>2</v>
      </c>
      <c r="E240" s="202" t="s">
        <v>4</v>
      </c>
    </row>
    <row r="241" spans="1:9" x14ac:dyDescent="0.3">
      <c r="A241" s="98"/>
      <c r="B241" s="99" t="str">
        <f>B177</f>
        <v>Market Swine</v>
      </c>
      <c r="C241" s="99" t="str">
        <f>C177</f>
        <v>Breeding Swine</v>
      </c>
      <c r="D241" s="99"/>
      <c r="E241" s="203"/>
    </row>
    <row r="242" spans="1:9" s="67" customFormat="1" ht="27" x14ac:dyDescent="0.4">
      <c r="A242" s="155" t="s">
        <v>235</v>
      </c>
      <c r="B242" s="204">
        <v>0.01</v>
      </c>
      <c r="C242" s="204">
        <f>B242</f>
        <v>0.01</v>
      </c>
      <c r="D242" s="23" t="s">
        <v>232</v>
      </c>
      <c r="E242" s="183" t="s">
        <v>54</v>
      </c>
      <c r="F242" s="22"/>
      <c r="G242" s="22"/>
      <c r="H242" s="22"/>
      <c r="I242" s="22"/>
    </row>
    <row r="243" spans="1:9" ht="54" x14ac:dyDescent="0.3">
      <c r="A243" s="155" t="s">
        <v>236</v>
      </c>
      <c r="B243" s="205">
        <v>0.4</v>
      </c>
      <c r="C243" s="205">
        <v>0.4</v>
      </c>
      <c r="D243" s="113" t="s">
        <v>91</v>
      </c>
      <c r="E243" s="206" t="s">
        <v>55</v>
      </c>
    </row>
    <row r="244" spans="1:9" x14ac:dyDescent="0.3">
      <c r="A244" s="155" t="s">
        <v>40</v>
      </c>
      <c r="B244" s="207">
        <v>1</v>
      </c>
      <c r="C244" s="207">
        <f>B244</f>
        <v>1</v>
      </c>
      <c r="D244" s="23" t="s">
        <v>110</v>
      </c>
      <c r="E244" s="208" t="s">
        <v>354</v>
      </c>
    </row>
    <row r="245" spans="1:9" x14ac:dyDescent="0.3">
      <c r="A245" s="155" t="s">
        <v>199</v>
      </c>
      <c r="B245" s="74"/>
      <c r="C245" s="74"/>
      <c r="D245" s="452" t="s">
        <v>186</v>
      </c>
      <c r="E245" s="479" t="s">
        <v>109</v>
      </c>
    </row>
    <row r="246" spans="1:9" x14ac:dyDescent="0.3">
      <c r="A246" s="79" t="str">
        <f t="shared" ref="A246:A262" si="14">A218</f>
        <v>20/01/2021-31/01/2021</v>
      </c>
      <c r="B246" s="200">
        <f t="shared" ref="B246:B260" si="15">ROUNDUP($B$242*$B$243*$B$244*B180*B115,0)</f>
        <v>188</v>
      </c>
      <c r="C246" s="200">
        <f>ROUNDUP($C$242*$C$243*$C$244*C180*C115,0)</f>
        <v>83</v>
      </c>
      <c r="D246" s="453"/>
      <c r="E246" s="480"/>
    </row>
    <row r="247" spans="1:9" x14ac:dyDescent="0.3">
      <c r="A247" s="79" t="str">
        <f t="shared" si="14"/>
        <v>01/02/1021-28/02/2021</v>
      </c>
      <c r="B247" s="200">
        <f t="shared" si="15"/>
        <v>443</v>
      </c>
      <c r="C247" s="200">
        <f t="shared" ref="C247:C260" si="16">ROUNDUP($C$242*$C$243*$C$244*C181*C116,0)</f>
        <v>187</v>
      </c>
      <c r="D247" s="453"/>
      <c r="E247" s="480"/>
    </row>
    <row r="248" spans="1:9" x14ac:dyDescent="0.3">
      <c r="A248" s="79" t="str">
        <f t="shared" si="14"/>
        <v>01/03/2021-31/03/3021</v>
      </c>
      <c r="B248" s="200">
        <f t="shared" si="15"/>
        <v>496</v>
      </c>
      <c r="C248" s="200">
        <f t="shared" si="16"/>
        <v>208</v>
      </c>
      <c r="D248" s="453"/>
      <c r="E248" s="480"/>
    </row>
    <row r="249" spans="1:9" x14ac:dyDescent="0.3">
      <c r="A249" s="79" t="str">
        <f t="shared" si="14"/>
        <v>01/04/2021-30/04/2021</v>
      </c>
      <c r="B249" s="200">
        <f t="shared" si="15"/>
        <v>480</v>
      </c>
      <c r="C249" s="200">
        <f t="shared" si="16"/>
        <v>202</v>
      </c>
      <c r="D249" s="453"/>
      <c r="E249" s="480"/>
    </row>
    <row r="250" spans="1:9" x14ac:dyDescent="0.3">
      <c r="A250" s="79" t="str">
        <f t="shared" si="14"/>
        <v>01/05/2021-31/05/2021</v>
      </c>
      <c r="B250" s="200">
        <f t="shared" si="15"/>
        <v>488</v>
      </c>
      <c r="C250" s="200">
        <f t="shared" si="16"/>
        <v>210</v>
      </c>
      <c r="D250" s="453"/>
      <c r="E250" s="480"/>
    </row>
    <row r="251" spans="1:9" x14ac:dyDescent="0.3">
      <c r="A251" s="79" t="str">
        <f t="shared" si="14"/>
        <v>01/06/2021-30/06/2021</v>
      </c>
      <c r="B251" s="200">
        <f t="shared" si="15"/>
        <v>473</v>
      </c>
      <c r="C251" s="200">
        <f t="shared" si="16"/>
        <v>202</v>
      </c>
      <c r="D251" s="453"/>
      <c r="E251" s="480"/>
    </row>
    <row r="252" spans="1:9" x14ac:dyDescent="0.3">
      <c r="A252" s="79" t="str">
        <f t="shared" si="14"/>
        <v>01/07/2021-31/07/2021</v>
      </c>
      <c r="B252" s="200">
        <f t="shared" si="15"/>
        <v>488</v>
      </c>
      <c r="C252" s="200">
        <f t="shared" si="16"/>
        <v>209</v>
      </c>
      <c r="D252" s="453"/>
      <c r="E252" s="480"/>
    </row>
    <row r="253" spans="1:9" x14ac:dyDescent="0.3">
      <c r="A253" s="79" t="str">
        <f t="shared" si="14"/>
        <v>01/08/2021-31/08/2021</v>
      </c>
      <c r="B253" s="200">
        <f t="shared" si="15"/>
        <v>495</v>
      </c>
      <c r="C253" s="200">
        <f>ROUNDUP($C$242*$C$243*$C$244*C187*C122,0)</f>
        <v>209</v>
      </c>
      <c r="D253" s="453"/>
      <c r="E253" s="480"/>
    </row>
    <row r="254" spans="1:9" x14ac:dyDescent="0.3">
      <c r="A254" s="79" t="str">
        <f t="shared" si="14"/>
        <v>01/09/2021-30/09/2021</v>
      </c>
      <c r="B254" s="200">
        <f t="shared" si="15"/>
        <v>475</v>
      </c>
      <c r="C254" s="200">
        <f t="shared" si="16"/>
        <v>201</v>
      </c>
      <c r="D254" s="453"/>
      <c r="E254" s="480"/>
    </row>
    <row r="255" spans="1:9" x14ac:dyDescent="0.3">
      <c r="A255" s="79" t="str">
        <f t="shared" si="14"/>
        <v>01/10/2021-31/10/2021</v>
      </c>
      <c r="B255" s="200">
        <f t="shared" si="15"/>
        <v>489</v>
      </c>
      <c r="C255" s="200">
        <f t="shared" si="16"/>
        <v>207</v>
      </c>
      <c r="D255" s="453"/>
      <c r="E255" s="480"/>
    </row>
    <row r="256" spans="1:9" x14ac:dyDescent="0.3">
      <c r="A256" s="79" t="str">
        <f t="shared" si="14"/>
        <v>01/11/2021-30/11/2021</v>
      </c>
      <c r="B256" s="200">
        <f t="shared" si="15"/>
        <v>467</v>
      </c>
      <c r="C256" s="200">
        <f t="shared" si="16"/>
        <v>201</v>
      </c>
      <c r="D256" s="453"/>
      <c r="E256" s="480"/>
    </row>
    <row r="257" spans="1:5" x14ac:dyDescent="0.3">
      <c r="A257" s="79" t="str">
        <f t="shared" si="14"/>
        <v>01/12/2021-31/12/2021</v>
      </c>
      <c r="B257" s="200">
        <f t="shared" si="15"/>
        <v>492</v>
      </c>
      <c r="C257" s="200">
        <f t="shared" si="16"/>
        <v>208</v>
      </c>
      <c r="D257" s="453"/>
      <c r="E257" s="480"/>
    </row>
    <row r="258" spans="1:5" x14ac:dyDescent="0.3">
      <c r="A258" s="79" t="str">
        <f t="shared" si="14"/>
        <v>01/01/2022-31/01/2022</v>
      </c>
      <c r="B258" s="200">
        <f t="shared" si="15"/>
        <v>481</v>
      </c>
      <c r="C258" s="200">
        <f t="shared" si="16"/>
        <v>213</v>
      </c>
      <c r="D258" s="453"/>
      <c r="E258" s="480"/>
    </row>
    <row r="259" spans="1:5" x14ac:dyDescent="0.3">
      <c r="A259" s="79" t="str">
        <f t="shared" si="14"/>
        <v>01/02/2022-28/02/2022</v>
      </c>
      <c r="B259" s="200">
        <f t="shared" si="15"/>
        <v>443</v>
      </c>
      <c r="C259" s="200">
        <f t="shared" si="16"/>
        <v>189</v>
      </c>
      <c r="D259" s="453"/>
      <c r="E259" s="480"/>
    </row>
    <row r="260" spans="1:5" x14ac:dyDescent="0.3">
      <c r="A260" s="79" t="str">
        <f t="shared" si="14"/>
        <v>01/03/2022-31/03/2022</v>
      </c>
      <c r="B260" s="200">
        <f t="shared" si="15"/>
        <v>494</v>
      </c>
      <c r="C260" s="200">
        <f t="shared" si="16"/>
        <v>208</v>
      </c>
      <c r="D260" s="454"/>
      <c r="E260" s="497"/>
    </row>
    <row r="261" spans="1:5" x14ac:dyDescent="0.3">
      <c r="A261" s="87" t="str">
        <f t="shared" si="14"/>
        <v>01/01/2021-31/12/2021</v>
      </c>
      <c r="B261" s="482">
        <f>SUM(B246:C257)</f>
        <v>7801</v>
      </c>
      <c r="C261" s="483"/>
      <c r="D261" s="452" t="s">
        <v>186</v>
      </c>
      <c r="E261" s="479" t="s">
        <v>109</v>
      </c>
    </row>
    <row r="262" spans="1:5" x14ac:dyDescent="0.3">
      <c r="A262" s="87" t="str">
        <f t="shared" si="14"/>
        <v>01/01/2022-31/03/2022</v>
      </c>
      <c r="B262" s="482">
        <f>SUM(B258:C260)</f>
        <v>2028</v>
      </c>
      <c r="C262" s="483"/>
      <c r="D262" s="453"/>
      <c r="E262" s="480"/>
    </row>
    <row r="263" spans="1:5" s="110" customFormat="1" ht="14" thickBot="1" x14ac:dyDescent="0.35">
      <c r="A263" s="209" t="s">
        <v>238</v>
      </c>
      <c r="B263" s="484">
        <f>B261+B262</f>
        <v>9829</v>
      </c>
      <c r="C263" s="484"/>
      <c r="D263" s="485"/>
      <c r="E263" s="481"/>
    </row>
    <row r="264" spans="1:5" ht="14" thickBot="1" x14ac:dyDescent="0.35">
      <c r="A264" s="193"/>
      <c r="B264" s="193"/>
      <c r="C264" s="193"/>
      <c r="D264" s="193"/>
      <c r="E264" s="193"/>
    </row>
    <row r="265" spans="1:5" x14ac:dyDescent="0.3">
      <c r="A265" s="201" t="s">
        <v>3</v>
      </c>
      <c r="B265" s="97" t="s">
        <v>18</v>
      </c>
      <c r="C265" s="97"/>
      <c r="D265" s="97" t="s">
        <v>2</v>
      </c>
      <c r="E265" s="97" t="s">
        <v>4</v>
      </c>
    </row>
    <row r="266" spans="1:5" x14ac:dyDescent="0.3">
      <c r="A266" s="98"/>
      <c r="B266" s="99" t="s">
        <v>32</v>
      </c>
      <c r="C266" s="99" t="s">
        <v>33</v>
      </c>
      <c r="D266" s="99"/>
      <c r="E266" s="99"/>
    </row>
    <row r="267" spans="1:5" ht="27" x14ac:dyDescent="0.4">
      <c r="A267" s="155" t="s">
        <v>235</v>
      </c>
      <c r="B267" s="204">
        <v>0.01</v>
      </c>
      <c r="C267" s="204">
        <f>B267</f>
        <v>0.01</v>
      </c>
      <c r="D267" s="23" t="s">
        <v>232</v>
      </c>
      <c r="E267" s="131" t="s">
        <v>54</v>
      </c>
    </row>
    <row r="268" spans="1:5" ht="54" x14ac:dyDescent="0.3">
      <c r="A268" s="155" t="s">
        <v>236</v>
      </c>
      <c r="B268" s="205">
        <v>0.45</v>
      </c>
      <c r="C268" s="205">
        <v>0.45</v>
      </c>
      <c r="D268" s="23" t="s">
        <v>91</v>
      </c>
      <c r="E268" s="210" t="s">
        <v>55</v>
      </c>
    </row>
    <row r="269" spans="1:5" x14ac:dyDescent="0.3">
      <c r="A269" s="155" t="s">
        <v>40</v>
      </c>
      <c r="B269" s="76">
        <v>1</v>
      </c>
      <c r="C269" s="76">
        <f>B269</f>
        <v>1</v>
      </c>
      <c r="D269" s="23" t="s">
        <v>1</v>
      </c>
      <c r="E269" s="73" t="s">
        <v>354</v>
      </c>
    </row>
    <row r="270" spans="1:5" ht="15.5" x14ac:dyDescent="0.4">
      <c r="A270" s="155" t="s">
        <v>191</v>
      </c>
      <c r="B270" s="112">
        <f>'Baseline emission'!B249</f>
        <v>265</v>
      </c>
      <c r="C270" s="112">
        <f>B270</f>
        <v>265</v>
      </c>
      <c r="D270" s="23" t="s">
        <v>237</v>
      </c>
      <c r="E270" s="210" t="s">
        <v>124</v>
      </c>
    </row>
    <row r="271" spans="1:5" x14ac:dyDescent="0.3">
      <c r="A271" s="155" t="str">
        <f t="shared" ref="A271:A288" si="17">A245</f>
        <v>EN2O,ID,y-monthly</v>
      </c>
      <c r="B271" s="112"/>
      <c r="C271" s="112"/>
      <c r="D271" s="23"/>
      <c r="E271" s="210"/>
    </row>
    <row r="272" spans="1:5" x14ac:dyDescent="0.3">
      <c r="A272" s="79" t="str">
        <f t="shared" si="17"/>
        <v>20/01/2021-31/01/2021</v>
      </c>
      <c r="B272" s="86">
        <f t="shared" ref="B272:B286" si="18">ROUNDUP($B$267*$B$268*$B$269*B180*B115,0)</f>
        <v>211</v>
      </c>
      <c r="C272" s="86">
        <f>ROUNDUP($C$267*$C$268*$C$269*C180*C115,0)</f>
        <v>93</v>
      </c>
      <c r="D272" s="494" t="s">
        <v>184</v>
      </c>
      <c r="E272" s="495" t="s">
        <v>348</v>
      </c>
    </row>
    <row r="273" spans="1:5" x14ac:dyDescent="0.3">
      <c r="A273" s="79" t="str">
        <f t="shared" si="17"/>
        <v>01/02/1021-28/02/2021</v>
      </c>
      <c r="B273" s="86">
        <f t="shared" si="18"/>
        <v>499</v>
      </c>
      <c r="C273" s="86">
        <f t="shared" ref="C273:C286" si="19">ROUNDUP($C$267*$C$268*$C$269*C181*C116,0)</f>
        <v>210</v>
      </c>
      <c r="D273" s="494"/>
      <c r="E273" s="495"/>
    </row>
    <row r="274" spans="1:5" x14ac:dyDescent="0.3">
      <c r="A274" s="79" t="str">
        <f t="shared" si="17"/>
        <v>01/03/2021-31/03/3021</v>
      </c>
      <c r="B274" s="86">
        <f t="shared" si="18"/>
        <v>557</v>
      </c>
      <c r="C274" s="86">
        <f>ROUNDUP($C$267*$C$268*$C$269*C182*C117,0)</f>
        <v>234</v>
      </c>
      <c r="D274" s="494"/>
      <c r="E274" s="495"/>
    </row>
    <row r="275" spans="1:5" x14ac:dyDescent="0.3">
      <c r="A275" s="79" t="str">
        <f t="shared" si="17"/>
        <v>01/04/2021-30/04/2021</v>
      </c>
      <c r="B275" s="86">
        <f t="shared" si="18"/>
        <v>539</v>
      </c>
      <c r="C275" s="86">
        <f t="shared" si="19"/>
        <v>228</v>
      </c>
      <c r="D275" s="494"/>
      <c r="E275" s="495"/>
    </row>
    <row r="276" spans="1:5" x14ac:dyDescent="0.3">
      <c r="A276" s="79" t="str">
        <f t="shared" si="17"/>
        <v>01/05/2021-31/05/2021</v>
      </c>
      <c r="B276" s="86">
        <f t="shared" si="18"/>
        <v>549</v>
      </c>
      <c r="C276" s="86">
        <f t="shared" si="19"/>
        <v>237</v>
      </c>
      <c r="D276" s="494"/>
      <c r="E276" s="495"/>
    </row>
    <row r="277" spans="1:5" x14ac:dyDescent="0.3">
      <c r="A277" s="79" t="str">
        <f t="shared" si="17"/>
        <v>01/06/2021-30/06/2021</v>
      </c>
      <c r="B277" s="86">
        <f t="shared" si="18"/>
        <v>532</v>
      </c>
      <c r="C277" s="86">
        <f t="shared" si="19"/>
        <v>227</v>
      </c>
      <c r="D277" s="494"/>
      <c r="E277" s="495"/>
    </row>
    <row r="278" spans="1:5" x14ac:dyDescent="0.3">
      <c r="A278" s="79" t="str">
        <f t="shared" si="17"/>
        <v>01/07/2021-31/07/2021</v>
      </c>
      <c r="B278" s="86">
        <f t="shared" si="18"/>
        <v>549</v>
      </c>
      <c r="C278" s="86">
        <f t="shared" si="19"/>
        <v>235</v>
      </c>
      <c r="D278" s="494"/>
      <c r="E278" s="495"/>
    </row>
    <row r="279" spans="1:5" x14ac:dyDescent="0.3">
      <c r="A279" s="79" t="str">
        <f t="shared" si="17"/>
        <v>01/08/2021-31/08/2021</v>
      </c>
      <c r="B279" s="86">
        <f t="shared" si="18"/>
        <v>557</v>
      </c>
      <c r="C279" s="86">
        <f t="shared" si="19"/>
        <v>235</v>
      </c>
      <c r="D279" s="494"/>
      <c r="E279" s="495"/>
    </row>
    <row r="280" spans="1:5" x14ac:dyDescent="0.3">
      <c r="A280" s="79" t="str">
        <f t="shared" si="17"/>
        <v>01/09/2021-30/09/2021</v>
      </c>
      <c r="B280" s="86">
        <f t="shared" si="18"/>
        <v>534</v>
      </c>
      <c r="C280" s="86">
        <f t="shared" si="19"/>
        <v>226</v>
      </c>
      <c r="D280" s="494"/>
      <c r="E280" s="495"/>
    </row>
    <row r="281" spans="1:5" x14ac:dyDescent="0.3">
      <c r="A281" s="79" t="str">
        <f t="shared" si="17"/>
        <v>01/10/2021-31/10/2021</v>
      </c>
      <c r="B281" s="86">
        <f t="shared" si="18"/>
        <v>550</v>
      </c>
      <c r="C281" s="86">
        <f t="shared" si="19"/>
        <v>233</v>
      </c>
      <c r="D281" s="494"/>
      <c r="E281" s="495"/>
    </row>
    <row r="282" spans="1:5" x14ac:dyDescent="0.3">
      <c r="A282" s="79" t="str">
        <f t="shared" si="17"/>
        <v>01/11/2021-30/11/2021</v>
      </c>
      <c r="B282" s="86">
        <f t="shared" si="18"/>
        <v>526</v>
      </c>
      <c r="C282" s="86">
        <f t="shared" si="19"/>
        <v>226</v>
      </c>
      <c r="D282" s="494"/>
      <c r="E282" s="495"/>
    </row>
    <row r="283" spans="1:5" x14ac:dyDescent="0.3">
      <c r="A283" s="79" t="str">
        <f t="shared" si="17"/>
        <v>01/12/2021-31/12/2021</v>
      </c>
      <c r="B283" s="86">
        <f t="shared" si="18"/>
        <v>553</v>
      </c>
      <c r="C283" s="86">
        <f t="shared" si="19"/>
        <v>233</v>
      </c>
      <c r="D283" s="494"/>
      <c r="E283" s="495"/>
    </row>
    <row r="284" spans="1:5" x14ac:dyDescent="0.3">
      <c r="A284" s="79" t="str">
        <f t="shared" si="17"/>
        <v>01/01/2022-31/01/2022</v>
      </c>
      <c r="B284" s="86">
        <f t="shared" si="18"/>
        <v>541</v>
      </c>
      <c r="C284" s="86">
        <f t="shared" si="19"/>
        <v>239</v>
      </c>
      <c r="D284" s="494"/>
      <c r="E284" s="495"/>
    </row>
    <row r="285" spans="1:5" x14ac:dyDescent="0.3">
      <c r="A285" s="79" t="str">
        <f t="shared" si="17"/>
        <v>01/02/2022-28/02/2022</v>
      </c>
      <c r="B285" s="86">
        <f t="shared" si="18"/>
        <v>499</v>
      </c>
      <c r="C285" s="86">
        <f t="shared" si="19"/>
        <v>212</v>
      </c>
      <c r="D285" s="494"/>
      <c r="E285" s="495"/>
    </row>
    <row r="286" spans="1:5" x14ac:dyDescent="0.3">
      <c r="A286" s="79" t="str">
        <f t="shared" si="17"/>
        <v>01/03/2022-31/03/2022</v>
      </c>
      <c r="B286" s="86">
        <f t="shared" si="18"/>
        <v>556</v>
      </c>
      <c r="C286" s="86">
        <f t="shared" si="19"/>
        <v>234</v>
      </c>
      <c r="D286" s="494"/>
      <c r="E286" s="495"/>
    </row>
    <row r="287" spans="1:5" x14ac:dyDescent="0.3">
      <c r="A287" s="87" t="str">
        <f t="shared" si="17"/>
        <v>01/01/2021-31/12/2021</v>
      </c>
      <c r="B287" s="477">
        <f>SUM(B272:C283)</f>
        <v>8773</v>
      </c>
      <c r="C287" s="477"/>
      <c r="D287" s="494" t="s">
        <v>186</v>
      </c>
      <c r="E287" s="447" t="s">
        <v>109</v>
      </c>
    </row>
    <row r="288" spans="1:5" x14ac:dyDescent="0.3">
      <c r="A288" s="87" t="str">
        <f t="shared" si="17"/>
        <v>01/01/2022-31/03/2022</v>
      </c>
      <c r="B288" s="477">
        <f>SUM(B284:C286)</f>
        <v>2281</v>
      </c>
      <c r="C288" s="477"/>
      <c r="D288" s="494"/>
      <c r="E288" s="448"/>
    </row>
    <row r="289" spans="1:5" ht="16" thickBot="1" x14ac:dyDescent="0.45">
      <c r="A289" s="33" t="s">
        <v>195</v>
      </c>
      <c r="B289" s="478">
        <f>B287+B288</f>
        <v>11054</v>
      </c>
      <c r="C289" s="478"/>
      <c r="D289" s="496"/>
      <c r="E289" s="476"/>
    </row>
    <row r="290" spans="1:5" x14ac:dyDescent="0.3">
      <c r="A290" s="176"/>
      <c r="B290" s="211"/>
      <c r="C290" s="211"/>
      <c r="D290" s="193"/>
      <c r="E290" s="193"/>
    </row>
    <row r="291" spans="1:5" ht="16" thickBot="1" x14ac:dyDescent="0.45">
      <c r="A291" s="136" t="s">
        <v>239</v>
      </c>
      <c r="B291" s="415"/>
      <c r="C291" s="429">
        <f>B293+B292</f>
        <v>14826</v>
      </c>
      <c r="D291" s="429" t="s">
        <v>370</v>
      </c>
      <c r="E291" s="212"/>
    </row>
    <row r="292" spans="1:5" ht="15.5" x14ac:dyDescent="0.4">
      <c r="A292" s="213" t="str">
        <f t="shared" ref="A292:A293" si="20">A287</f>
        <v>01/01/2021-31/12/2021</v>
      </c>
      <c r="B292" s="533">
        <f>INT(B270*44/28*1/1000*(B212+B233+B261+B287))</f>
        <v>11767</v>
      </c>
      <c r="C292" s="533"/>
      <c r="D292" s="420" t="s">
        <v>370</v>
      </c>
      <c r="E292" s="212"/>
    </row>
    <row r="293" spans="1:5" ht="16" thickBot="1" x14ac:dyDescent="0.45">
      <c r="A293" s="430" t="str">
        <f t="shared" si="20"/>
        <v>01/01/2022-31/03/2022</v>
      </c>
      <c r="B293" s="486">
        <f>INT(B270*44/28*1/1000*(B213+B234+B262+B288))</f>
        <v>3059</v>
      </c>
      <c r="C293" s="486"/>
      <c r="D293" s="424" t="s">
        <v>370</v>
      </c>
      <c r="E293" s="212"/>
    </row>
    <row r="294" spans="1:5" ht="27" customHeight="1" x14ac:dyDescent="0.3">
      <c r="A294" s="212"/>
      <c r="B294" s="212"/>
      <c r="C294" s="212"/>
      <c r="D294" s="212"/>
      <c r="E294" s="212"/>
    </row>
    <row r="295" spans="1:5" x14ac:dyDescent="0.3">
      <c r="D295" s="80"/>
    </row>
    <row r="296" spans="1:5" ht="14" thickBot="1" x14ac:dyDescent="0.35"/>
    <row r="297" spans="1:5" ht="17" x14ac:dyDescent="0.4">
      <c r="A297" s="431" t="s">
        <v>240</v>
      </c>
      <c r="B297" s="432">
        <f>B299+B298</f>
        <v>29383</v>
      </c>
      <c r="C297" s="440" t="s">
        <v>370</v>
      </c>
    </row>
    <row r="298" spans="1:5" ht="15.5" x14ac:dyDescent="0.4">
      <c r="A298" s="79" t="str">
        <f>A292</f>
        <v>01/01/2021-31/12/2021</v>
      </c>
      <c r="B298" s="221">
        <f>B292+B163+B94</f>
        <v>23318</v>
      </c>
      <c r="C298" s="422" t="s">
        <v>370</v>
      </c>
    </row>
    <row r="299" spans="1:5" ht="16" thickBot="1" x14ac:dyDescent="0.45">
      <c r="A299" s="430" t="str">
        <f>A293</f>
        <v>01/01/2022-31/03/2022</v>
      </c>
      <c r="B299" s="433">
        <f>B293+B164+B95</f>
        <v>6065</v>
      </c>
      <c r="C299" s="424" t="s">
        <v>370</v>
      </c>
    </row>
    <row r="300" spans="1:5" x14ac:dyDescent="0.3">
      <c r="A300" s="214"/>
      <c r="B300" s="214"/>
      <c r="C300" s="214"/>
      <c r="D300" s="214"/>
    </row>
    <row r="303" spans="1:5" x14ac:dyDescent="0.3">
      <c r="C303" s="129"/>
    </row>
    <row r="304" spans="1:5" x14ac:dyDescent="0.3">
      <c r="C304" s="129"/>
    </row>
    <row r="305" spans="4:4" x14ac:dyDescent="0.3">
      <c r="D305" s="129"/>
    </row>
  </sheetData>
  <mergeCells count="60">
    <mergeCell ref="B292:C292"/>
    <mergeCell ref="D42:E42"/>
    <mergeCell ref="D43:E43"/>
    <mergeCell ref="C44:C59"/>
    <mergeCell ref="C74:C88"/>
    <mergeCell ref="B163:C163"/>
    <mergeCell ref="B165:C165"/>
    <mergeCell ref="D179:D194"/>
    <mergeCell ref="E179:E194"/>
    <mergeCell ref="B164:C164"/>
    <mergeCell ref="D197:D214"/>
    <mergeCell ref="E197:E214"/>
    <mergeCell ref="B212:C212"/>
    <mergeCell ref="E130:E145"/>
    <mergeCell ref="D233:D235"/>
    <mergeCell ref="E233:E235"/>
    <mergeCell ref="D217:D232"/>
    <mergeCell ref="E217:E232"/>
    <mergeCell ref="C14:C29"/>
    <mergeCell ref="D14:E29"/>
    <mergeCell ref="D35:E35"/>
    <mergeCell ref="D13:E13"/>
    <mergeCell ref="D30:E30"/>
    <mergeCell ref="D31:E31"/>
    <mergeCell ref="D148:D162"/>
    <mergeCell ref="E148:E162"/>
    <mergeCell ref="D71:E71"/>
    <mergeCell ref="D60:E62"/>
    <mergeCell ref="D44:E59"/>
    <mergeCell ref="D74:E88"/>
    <mergeCell ref="D114:D129"/>
    <mergeCell ref="E114:E129"/>
    <mergeCell ref="D130:D145"/>
    <mergeCell ref="D41:E41"/>
    <mergeCell ref="D32:E34"/>
    <mergeCell ref="D90:E95"/>
    <mergeCell ref="B293:C293"/>
    <mergeCell ref="D70:E70"/>
    <mergeCell ref="D72:E72"/>
    <mergeCell ref="D89:E89"/>
    <mergeCell ref="C91:C92"/>
    <mergeCell ref="D272:D286"/>
    <mergeCell ref="E272:E286"/>
    <mergeCell ref="B287:C287"/>
    <mergeCell ref="D287:D289"/>
    <mergeCell ref="D245:D260"/>
    <mergeCell ref="E245:E260"/>
    <mergeCell ref="B234:C234"/>
    <mergeCell ref="B235:C235"/>
    <mergeCell ref="B233:C233"/>
    <mergeCell ref="B213:C213"/>
    <mergeCell ref="B214:C214"/>
    <mergeCell ref="E287:E289"/>
    <mergeCell ref="B288:C288"/>
    <mergeCell ref="B289:C289"/>
    <mergeCell ref="E261:E263"/>
    <mergeCell ref="B262:C262"/>
    <mergeCell ref="B263:C263"/>
    <mergeCell ref="B261:C261"/>
    <mergeCell ref="D261:D263"/>
  </mergeCells>
  <phoneticPr fontId="11" type="noConversion"/>
  <pageMargins left="0.7" right="0.7" top="0.75" bottom="0.75" header="0.3" footer="0.3"/>
  <pageSetup paperSize="9" orientation="portrait" horizontalDpi="1200" verticalDpi="1200" r:id="rId1"/>
  <ignoredErrors>
    <ignoredError sqref="B9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9"/>
  <sheetViews>
    <sheetView topLeftCell="A293" zoomScale="115" zoomScaleNormal="115" workbookViewId="0">
      <selection activeCell="D9" sqref="D9"/>
    </sheetView>
  </sheetViews>
  <sheetFormatPr defaultColWidth="8.7265625" defaultRowHeight="13.5" x14ac:dyDescent="0.3"/>
  <cols>
    <col min="1" max="1" width="34.6328125" style="22" customWidth="1"/>
    <col min="2" max="2" width="19.1796875" style="110" customWidth="1"/>
    <col min="3" max="3" width="17.54296875" style="110" customWidth="1"/>
    <col min="4" max="4" width="20.453125" style="22" customWidth="1"/>
    <col min="5" max="5" width="44" style="22" customWidth="1"/>
    <col min="6" max="6" width="38.81640625" style="22" bestFit="1" customWidth="1"/>
    <col min="7" max="16384" width="8.7265625" style="22"/>
  </cols>
  <sheetData>
    <row r="1" spans="1:4" ht="15" x14ac:dyDescent="0.3">
      <c r="A1" s="60" t="s">
        <v>22</v>
      </c>
    </row>
    <row r="2" spans="1:4" x14ac:dyDescent="0.3">
      <c r="A2" s="61"/>
      <c r="B2" s="64"/>
    </row>
    <row r="3" spans="1:4" x14ac:dyDescent="0.3">
      <c r="A3" s="61"/>
    </row>
    <row r="4" spans="1:4" ht="15.5" x14ac:dyDescent="0.4">
      <c r="A4" s="22" t="s">
        <v>374</v>
      </c>
    </row>
    <row r="5" spans="1:4" x14ac:dyDescent="0.3">
      <c r="A5" s="61"/>
      <c r="D5" s="92"/>
    </row>
    <row r="6" spans="1:4" x14ac:dyDescent="0.3">
      <c r="A6" s="61"/>
      <c r="D6" s="92"/>
    </row>
    <row r="7" spans="1:4" x14ac:dyDescent="0.3">
      <c r="A7" s="61"/>
      <c r="D7" s="92"/>
    </row>
    <row r="8" spans="1:4" x14ac:dyDescent="0.3">
      <c r="A8" s="61"/>
      <c r="D8" s="92"/>
    </row>
    <row r="9" spans="1:4" x14ac:dyDescent="0.3">
      <c r="A9" s="61"/>
      <c r="D9" s="92"/>
    </row>
    <row r="10" spans="1:4" x14ac:dyDescent="0.3">
      <c r="A10" s="61"/>
      <c r="D10" s="92"/>
    </row>
    <row r="11" spans="1:4" x14ac:dyDescent="0.3">
      <c r="A11" s="61"/>
      <c r="D11" s="92"/>
    </row>
    <row r="12" spans="1:4" x14ac:dyDescent="0.3">
      <c r="A12" s="61"/>
      <c r="D12" s="92"/>
    </row>
    <row r="13" spans="1:4" x14ac:dyDescent="0.3">
      <c r="A13" s="61"/>
      <c r="D13" s="92"/>
    </row>
    <row r="14" spans="1:4" x14ac:dyDescent="0.3">
      <c r="A14" s="61"/>
      <c r="D14" s="92"/>
    </row>
    <row r="15" spans="1:4" x14ac:dyDescent="0.3">
      <c r="A15" s="61"/>
      <c r="D15" s="92"/>
    </row>
    <row r="16" spans="1:4" x14ac:dyDescent="0.3">
      <c r="A16" s="61"/>
      <c r="D16" s="92"/>
    </row>
    <row r="17" spans="1:5" x14ac:dyDescent="0.3">
      <c r="A17" s="61"/>
      <c r="D17" s="92"/>
    </row>
    <row r="18" spans="1:5" x14ac:dyDescent="0.3">
      <c r="A18" s="61"/>
    </row>
    <row r="19" spans="1:5" x14ac:dyDescent="0.3">
      <c r="A19" s="61"/>
    </row>
    <row r="20" spans="1:5" ht="14" thickBot="1" x14ac:dyDescent="0.35">
      <c r="A20" s="61"/>
    </row>
    <row r="21" spans="1:5" x14ac:dyDescent="0.3">
      <c r="A21" s="96" t="s">
        <v>3</v>
      </c>
      <c r="B21" s="97" t="s">
        <v>18</v>
      </c>
      <c r="C21" s="97"/>
      <c r="D21" s="97" t="s">
        <v>2</v>
      </c>
      <c r="E21" s="202" t="s">
        <v>4</v>
      </c>
    </row>
    <row r="22" spans="1:5" x14ac:dyDescent="0.3">
      <c r="A22" s="98"/>
      <c r="B22" s="99" t="str">
        <f>B322</f>
        <v>Market Swine</v>
      </c>
      <c r="C22" s="99" t="str">
        <f>C322</f>
        <v>Breeding Swine</v>
      </c>
      <c r="D22" s="99"/>
      <c r="E22" s="203"/>
    </row>
    <row r="23" spans="1:5" s="67" customFormat="1" x14ac:dyDescent="0.3">
      <c r="A23" s="222" t="s">
        <v>246</v>
      </c>
      <c r="B23" s="223"/>
      <c r="C23" s="223"/>
      <c r="D23" s="452" t="s">
        <v>68</v>
      </c>
      <c r="E23" s="562" t="s">
        <v>364</v>
      </c>
    </row>
    <row r="24" spans="1:5" s="67" customFormat="1" x14ac:dyDescent="0.3">
      <c r="A24" s="79" t="str">
        <f>'Project emission'!A15</f>
        <v>20/01/2021-31/01/2021</v>
      </c>
      <c r="B24" s="223">
        <f>'monitoring results'!B4</f>
        <v>152825</v>
      </c>
      <c r="C24" s="223">
        <f>'monitoring results'!C4</f>
        <v>89885</v>
      </c>
      <c r="D24" s="453"/>
      <c r="E24" s="563"/>
    </row>
    <row r="25" spans="1:5" s="67" customFormat="1" x14ac:dyDescent="0.3">
      <c r="A25" s="79" t="str">
        <f>'Project emission'!A16</f>
        <v>01/02/1021-28/02/2021</v>
      </c>
      <c r="B25" s="223">
        <f>'monitoring results'!B5</f>
        <v>152825</v>
      </c>
      <c r="C25" s="223">
        <f>'monitoring results'!C5</f>
        <v>89832</v>
      </c>
      <c r="D25" s="453"/>
      <c r="E25" s="563"/>
    </row>
    <row r="26" spans="1:5" s="67" customFormat="1" x14ac:dyDescent="0.3">
      <c r="A26" s="79" t="str">
        <f>'Project emission'!A17</f>
        <v>01/03/2021-31/03/3021</v>
      </c>
      <c r="B26" s="223">
        <f>'monitoring results'!B6</f>
        <v>152825</v>
      </c>
      <c r="C26" s="223">
        <f>'monitoring results'!C6</f>
        <v>89845</v>
      </c>
      <c r="D26" s="453"/>
      <c r="E26" s="563"/>
    </row>
    <row r="27" spans="1:5" s="67" customFormat="1" x14ac:dyDescent="0.3">
      <c r="A27" s="79" t="str">
        <f>'Project emission'!A18</f>
        <v>01/04/2021-30/04/2021</v>
      </c>
      <c r="B27" s="223">
        <f>'monitoring results'!B7</f>
        <v>152825</v>
      </c>
      <c r="C27" s="223">
        <f>'monitoring results'!C7</f>
        <v>89915</v>
      </c>
      <c r="D27" s="453"/>
      <c r="E27" s="563"/>
    </row>
    <row r="28" spans="1:5" s="67" customFormat="1" x14ac:dyDescent="0.3">
      <c r="A28" s="79" t="str">
        <f>'Project emission'!A19</f>
        <v>01/05/2021-31/05/2021</v>
      </c>
      <c r="B28" s="223">
        <f>'monitoring results'!B8</f>
        <v>152825</v>
      </c>
      <c r="C28" s="223">
        <f>'monitoring results'!C8</f>
        <v>89809</v>
      </c>
      <c r="D28" s="453"/>
      <c r="E28" s="563"/>
    </row>
    <row r="29" spans="1:5" s="67" customFormat="1" x14ac:dyDescent="0.3">
      <c r="A29" s="79" t="str">
        <f>'Project emission'!A20</f>
        <v>01/06/2021-30/06/2021</v>
      </c>
      <c r="B29" s="223">
        <f>'monitoring results'!B9</f>
        <v>152825</v>
      </c>
      <c r="C29" s="223">
        <f>'monitoring results'!C9</f>
        <v>89754</v>
      </c>
      <c r="D29" s="453"/>
      <c r="E29" s="563"/>
    </row>
    <row r="30" spans="1:5" s="67" customFormat="1" x14ac:dyDescent="0.3">
      <c r="A30" s="79" t="str">
        <f>'Project emission'!A21</f>
        <v>01/07/2021-31/07/2021</v>
      </c>
      <c r="B30" s="223">
        <f>'monitoring results'!B10</f>
        <v>152825</v>
      </c>
      <c r="C30" s="223">
        <f>'monitoring results'!C10</f>
        <v>89905</v>
      </c>
      <c r="D30" s="453"/>
      <c r="E30" s="563"/>
    </row>
    <row r="31" spans="1:5" s="67" customFormat="1" x14ac:dyDescent="0.3">
      <c r="A31" s="79" t="str">
        <f>'Project emission'!A22</f>
        <v>01/08/2021-31/08/2021</v>
      </c>
      <c r="B31" s="223">
        <f>'monitoring results'!B11</f>
        <v>152825</v>
      </c>
      <c r="C31" s="223">
        <f>'monitoring results'!C11</f>
        <v>89670</v>
      </c>
      <c r="D31" s="453"/>
      <c r="E31" s="563"/>
    </row>
    <row r="32" spans="1:5" s="67" customFormat="1" x14ac:dyDescent="0.3">
      <c r="A32" s="79" t="str">
        <f>'Project emission'!A23</f>
        <v>01/09/2021-30/09/2021</v>
      </c>
      <c r="B32" s="223">
        <f>'monitoring results'!B12</f>
        <v>152825</v>
      </c>
      <c r="C32" s="223">
        <f>'monitoring results'!C12</f>
        <v>89854</v>
      </c>
      <c r="D32" s="453"/>
      <c r="E32" s="563"/>
    </row>
    <row r="33" spans="1:5" s="67" customFormat="1" x14ac:dyDescent="0.3">
      <c r="A33" s="79" t="str">
        <f>'Project emission'!A24</f>
        <v>01/10/2021-31/10/2021</v>
      </c>
      <c r="B33" s="223">
        <f>'monitoring results'!B13</f>
        <v>152825</v>
      </c>
      <c r="C33" s="223">
        <f>'monitoring results'!C13</f>
        <v>89790</v>
      </c>
      <c r="D33" s="453"/>
      <c r="E33" s="563"/>
    </row>
    <row r="34" spans="1:5" s="67" customFormat="1" x14ac:dyDescent="0.3">
      <c r="A34" s="79" t="str">
        <f>'Project emission'!A25</f>
        <v>01/11/2021-30/11/2021</v>
      </c>
      <c r="B34" s="223">
        <f>'monitoring results'!B14</f>
        <v>152825</v>
      </c>
      <c r="C34" s="223">
        <f>'monitoring results'!C14</f>
        <v>89905</v>
      </c>
      <c r="D34" s="453"/>
      <c r="E34" s="563"/>
    </row>
    <row r="35" spans="1:5" s="67" customFormat="1" x14ac:dyDescent="0.3">
      <c r="A35" s="79" t="str">
        <f>'Project emission'!A26</f>
        <v>01/12/2021-31/12/2021</v>
      </c>
      <c r="B35" s="223">
        <f>'monitoring results'!B15</f>
        <v>152825</v>
      </c>
      <c r="C35" s="223">
        <f>'monitoring results'!C15</f>
        <v>89761</v>
      </c>
      <c r="D35" s="453"/>
      <c r="E35" s="563"/>
    </row>
    <row r="36" spans="1:5" s="67" customFormat="1" x14ac:dyDescent="0.3">
      <c r="A36" s="79" t="str">
        <f>'Project emission'!A27</f>
        <v>01/01/2022-31/01/2022</v>
      </c>
      <c r="B36" s="223">
        <f>'monitoring results'!B16</f>
        <v>152825</v>
      </c>
      <c r="C36" s="223">
        <f>'monitoring results'!C16</f>
        <v>89894</v>
      </c>
      <c r="D36" s="453"/>
      <c r="E36" s="563"/>
    </row>
    <row r="37" spans="1:5" s="67" customFormat="1" x14ac:dyDescent="0.3">
      <c r="A37" s="79" t="str">
        <f>'Project emission'!A28</f>
        <v>01/02/2022-28/02/2022</v>
      </c>
      <c r="B37" s="223">
        <f>'monitoring results'!B17</f>
        <v>152825</v>
      </c>
      <c r="C37" s="223">
        <f>'monitoring results'!C17</f>
        <v>89820</v>
      </c>
      <c r="D37" s="453"/>
      <c r="E37" s="563"/>
    </row>
    <row r="38" spans="1:5" s="67" customFormat="1" x14ac:dyDescent="0.3">
      <c r="A38" s="79" t="str">
        <f>'Project emission'!A29</f>
        <v>01/03/2022-31/03/2022</v>
      </c>
      <c r="B38" s="223">
        <f>'monitoring results'!B18</f>
        <v>152825</v>
      </c>
      <c r="C38" s="223">
        <f>'monitoring results'!C18</f>
        <v>89703</v>
      </c>
      <c r="D38" s="454"/>
      <c r="E38" s="564"/>
    </row>
    <row r="39" spans="1:5" x14ac:dyDescent="0.3">
      <c r="A39" s="222" t="s">
        <v>247</v>
      </c>
      <c r="B39" s="224"/>
      <c r="C39" s="224"/>
      <c r="D39" s="452" t="s">
        <v>45</v>
      </c>
      <c r="E39" s="479" t="s">
        <v>28</v>
      </c>
    </row>
    <row r="40" spans="1:5" x14ac:dyDescent="0.3">
      <c r="A40" s="79" t="str">
        <f t="shared" ref="A40:A54" si="0">A24</f>
        <v>20/01/2021-31/01/2021</v>
      </c>
      <c r="B40" s="224">
        <f>'Baseline emission'!B155</f>
        <v>0.30643199999999998</v>
      </c>
      <c r="C40" s="224">
        <f>'Baseline emission'!C155</f>
        <v>0.22924799999999995</v>
      </c>
      <c r="D40" s="453"/>
      <c r="E40" s="480"/>
    </row>
    <row r="41" spans="1:5" x14ac:dyDescent="0.3">
      <c r="A41" s="79" t="str">
        <f t="shared" si="0"/>
        <v>01/02/1021-28/02/2021</v>
      </c>
      <c r="B41" s="224">
        <f>'Baseline emission'!B156</f>
        <v>0.72441600000000006</v>
      </c>
      <c r="C41" s="224">
        <f>'Baseline emission'!C156</f>
        <v>0.51811200000000002</v>
      </c>
      <c r="D41" s="453"/>
      <c r="E41" s="480"/>
    </row>
    <row r="42" spans="1:5" x14ac:dyDescent="0.3">
      <c r="A42" s="79" t="str">
        <f t="shared" si="0"/>
        <v>01/03/2021-31/03/3021</v>
      </c>
      <c r="B42" s="224">
        <f>'Baseline emission'!B157</f>
        <v>0.80984400000000001</v>
      </c>
      <c r="C42" s="224">
        <f>'Baseline emission'!C157</f>
        <v>0.57659999999999989</v>
      </c>
      <c r="D42" s="453"/>
      <c r="E42" s="480"/>
    </row>
    <row r="43" spans="1:5" x14ac:dyDescent="0.3">
      <c r="A43" s="79" t="str">
        <f t="shared" si="0"/>
        <v>01/04/2021-30/04/2021</v>
      </c>
      <c r="B43" s="224">
        <f>'Baseline emission'!B158</f>
        <v>0.78372000000000008</v>
      </c>
      <c r="C43" s="224">
        <f>'Baseline emission'!C158</f>
        <v>0.56159999999999988</v>
      </c>
      <c r="D43" s="453"/>
      <c r="E43" s="480"/>
    </row>
    <row r="44" spans="1:5" x14ac:dyDescent="0.3">
      <c r="A44" s="79" t="str">
        <f t="shared" si="0"/>
        <v>01/05/2021-31/05/2021</v>
      </c>
      <c r="B44" s="224">
        <f>'Baseline emission'!B159</f>
        <v>0.79812599999999989</v>
      </c>
      <c r="C44" s="224">
        <f>'Baseline emission'!C159</f>
        <v>0.58403999999999989</v>
      </c>
      <c r="D44" s="453"/>
      <c r="E44" s="480"/>
    </row>
    <row r="45" spans="1:5" x14ac:dyDescent="0.3">
      <c r="A45" s="79" t="str">
        <f t="shared" si="0"/>
        <v>01/06/2021-30/06/2021</v>
      </c>
      <c r="B45" s="224">
        <f>'Baseline emission'!B160</f>
        <v>0.77237999999999996</v>
      </c>
      <c r="C45" s="224">
        <f>'Baseline emission'!C160</f>
        <v>0.56015999999999988</v>
      </c>
      <c r="D45" s="453"/>
      <c r="E45" s="480"/>
    </row>
    <row r="46" spans="1:5" x14ac:dyDescent="0.3">
      <c r="A46" s="79" t="str">
        <f t="shared" si="0"/>
        <v>01/07/2021-31/07/2021</v>
      </c>
      <c r="B46" s="224">
        <f>'Baseline emission'!B161</f>
        <v>0.79812599999999989</v>
      </c>
      <c r="C46" s="224">
        <f>'Baseline emission'!C161</f>
        <v>0.57957599999999998</v>
      </c>
      <c r="D46" s="453"/>
      <c r="E46" s="480"/>
    </row>
    <row r="47" spans="1:5" x14ac:dyDescent="0.3">
      <c r="A47" s="79" t="str">
        <f t="shared" si="0"/>
        <v>01/08/2021-31/08/2021</v>
      </c>
      <c r="B47" s="224">
        <f>'Baseline emission'!B162</f>
        <v>0.80854199999999998</v>
      </c>
      <c r="C47" s="224">
        <f>'Baseline emission'!C162</f>
        <v>0.58106399999999991</v>
      </c>
      <c r="D47" s="453"/>
      <c r="E47" s="480"/>
    </row>
    <row r="48" spans="1:5" x14ac:dyDescent="0.3">
      <c r="A48" s="79" t="str">
        <f t="shared" si="0"/>
        <v>01/09/2021-30/09/2021</v>
      </c>
      <c r="B48" s="224">
        <f>'Baseline emission'!B163</f>
        <v>0.77616000000000007</v>
      </c>
      <c r="C48" s="224">
        <f>'Baseline emission'!C163</f>
        <v>0.55799999999999994</v>
      </c>
      <c r="D48" s="453"/>
      <c r="E48" s="480"/>
    </row>
    <row r="49" spans="1:6" x14ac:dyDescent="0.3">
      <c r="A49" s="79" t="str">
        <f t="shared" si="0"/>
        <v>01/10/2021-31/10/2021</v>
      </c>
      <c r="B49" s="224">
        <f>'Baseline emission'!B164</f>
        <v>0.79942799999999992</v>
      </c>
      <c r="C49" s="224">
        <f>'Baseline emission'!C164</f>
        <v>0.57585600000000003</v>
      </c>
      <c r="D49" s="453"/>
      <c r="E49" s="480"/>
    </row>
    <row r="50" spans="1:6" x14ac:dyDescent="0.3">
      <c r="A50" s="79" t="str">
        <f t="shared" si="0"/>
        <v>01/11/2021-30/11/2021</v>
      </c>
      <c r="B50" s="224">
        <f>'Baseline emission'!B165</f>
        <v>0.76355999999999991</v>
      </c>
      <c r="C50" s="224">
        <f>'Baseline emission'!C165</f>
        <v>0.55799999999999994</v>
      </c>
      <c r="D50" s="453"/>
      <c r="E50" s="480"/>
    </row>
    <row r="51" spans="1:6" x14ac:dyDescent="0.3">
      <c r="A51" s="79" t="str">
        <f t="shared" si="0"/>
        <v>01/12/2021-31/12/2021</v>
      </c>
      <c r="B51" s="224">
        <f>'Baseline emission'!B166</f>
        <v>0.8033340000000001</v>
      </c>
      <c r="C51" s="224">
        <f>'Baseline emission'!C166</f>
        <v>0.57659999999999989</v>
      </c>
      <c r="D51" s="453"/>
      <c r="E51" s="480"/>
    </row>
    <row r="52" spans="1:6" x14ac:dyDescent="0.3">
      <c r="A52" s="79" t="str">
        <f t="shared" si="0"/>
        <v>01/01/2022-31/01/2022</v>
      </c>
      <c r="B52" s="224">
        <f>'Baseline emission'!B167</f>
        <v>0.786408</v>
      </c>
      <c r="C52" s="224">
        <f>'Baseline emission'!C167</f>
        <v>0.59073599999999993</v>
      </c>
      <c r="D52" s="453"/>
      <c r="E52" s="480"/>
    </row>
    <row r="53" spans="1:6" x14ac:dyDescent="0.3">
      <c r="A53" s="79" t="str">
        <f t="shared" si="0"/>
        <v>01/02/2022-28/02/2022</v>
      </c>
      <c r="B53" s="224">
        <f>'Baseline emission'!B168</f>
        <v>0.72441600000000006</v>
      </c>
      <c r="C53" s="224">
        <f>'Baseline emission'!C168</f>
        <v>0.52348800000000006</v>
      </c>
      <c r="D53" s="453"/>
      <c r="E53" s="480"/>
    </row>
    <row r="54" spans="1:6" x14ac:dyDescent="0.3">
      <c r="A54" s="79" t="str">
        <f t="shared" si="0"/>
        <v>01/03/2022-31/03/2022</v>
      </c>
      <c r="B54" s="224">
        <f>'Baseline emission'!B169</f>
        <v>0.80724000000000007</v>
      </c>
      <c r="C54" s="224">
        <f>'Baseline emission'!C169</f>
        <v>0.57957599999999998</v>
      </c>
      <c r="D54" s="454"/>
      <c r="E54" s="497"/>
    </row>
    <row r="55" spans="1:6" s="67" customFormat="1" x14ac:dyDescent="0.3">
      <c r="A55" s="222" t="s">
        <v>248</v>
      </c>
      <c r="B55" s="225">
        <v>0.8</v>
      </c>
      <c r="C55" s="225">
        <v>0.8</v>
      </c>
      <c r="D55" s="113" t="s">
        <v>0</v>
      </c>
      <c r="E55" s="183" t="s">
        <v>355</v>
      </c>
      <c r="F55" s="412"/>
    </row>
    <row r="56" spans="1:6" ht="15.5" x14ac:dyDescent="0.4">
      <c r="A56" s="222" t="s">
        <v>13</v>
      </c>
      <c r="B56" s="226">
        <v>0.01</v>
      </c>
      <c r="C56" s="226">
        <v>0.01</v>
      </c>
      <c r="D56" s="23" t="s">
        <v>178</v>
      </c>
      <c r="E56" s="206" t="s">
        <v>43</v>
      </c>
      <c r="F56" s="412"/>
    </row>
    <row r="57" spans="1:6" ht="15.5" x14ac:dyDescent="0.4">
      <c r="A57" s="222" t="s">
        <v>14</v>
      </c>
      <c r="B57" s="226">
        <v>7.4999999999999997E-3</v>
      </c>
      <c r="C57" s="226">
        <v>7.4999999999999997E-3</v>
      </c>
      <c r="D57" s="23" t="s">
        <v>178</v>
      </c>
      <c r="E57" s="206" t="s">
        <v>31</v>
      </c>
      <c r="F57" s="412"/>
    </row>
    <row r="58" spans="1:6" ht="15.5" x14ac:dyDescent="0.4">
      <c r="A58" s="222" t="s">
        <v>12</v>
      </c>
      <c r="B58" s="226">
        <v>0.01</v>
      </c>
      <c r="C58" s="226">
        <v>0.01</v>
      </c>
      <c r="D58" s="23" t="s">
        <v>249</v>
      </c>
      <c r="E58" s="206" t="s">
        <v>31</v>
      </c>
      <c r="F58" s="412"/>
    </row>
    <row r="59" spans="1:6" ht="15.5" x14ac:dyDescent="0.3">
      <c r="A59" s="222" t="s">
        <v>250</v>
      </c>
      <c r="B59" s="226">
        <v>0.3</v>
      </c>
      <c r="C59" s="226">
        <v>0.3</v>
      </c>
      <c r="D59" s="23" t="s">
        <v>91</v>
      </c>
      <c r="E59" s="206" t="s">
        <v>31</v>
      </c>
      <c r="F59" s="412"/>
    </row>
    <row r="60" spans="1:6" ht="27" x14ac:dyDescent="0.3">
      <c r="A60" s="222" t="s">
        <v>251</v>
      </c>
      <c r="B60" s="226">
        <v>0.2</v>
      </c>
      <c r="C60" s="226">
        <v>0.2</v>
      </c>
      <c r="D60" s="23" t="s">
        <v>91</v>
      </c>
      <c r="E60" s="206" t="s">
        <v>63</v>
      </c>
    </row>
    <row r="61" spans="1:6" ht="15.5" x14ac:dyDescent="0.4">
      <c r="A61" s="155" t="s">
        <v>191</v>
      </c>
      <c r="B61" s="26">
        <f>'Baseline emission'!B249</f>
        <v>265</v>
      </c>
      <c r="C61" s="26">
        <f>'Baseline emission'!C249</f>
        <v>265</v>
      </c>
      <c r="D61" s="23" t="s">
        <v>252</v>
      </c>
      <c r="E61" s="183" t="s">
        <v>124</v>
      </c>
    </row>
    <row r="62" spans="1:6" ht="15.5" x14ac:dyDescent="0.3">
      <c r="A62" s="227" t="s">
        <v>253</v>
      </c>
      <c r="B62" s="228"/>
      <c r="C62" s="228"/>
      <c r="D62" s="452" t="s">
        <v>254</v>
      </c>
      <c r="E62" s="479" t="s">
        <v>29</v>
      </c>
    </row>
    <row r="63" spans="1:6" x14ac:dyDescent="0.3">
      <c r="A63" s="79" t="str">
        <f t="shared" ref="A63:A77" si="1">A40</f>
        <v>20/01/2021-31/01/2021</v>
      </c>
      <c r="B63" s="224">
        <f t="shared" ref="B63:B77" si="2">ROUNDDOWN($B$56*(1-$B$55)*B40*B24,0)</f>
        <v>93</v>
      </c>
      <c r="C63" s="224">
        <f>ROUNDUP($C$56*(1-$C$55)*C40*C24,0)</f>
        <v>42</v>
      </c>
      <c r="D63" s="453"/>
      <c r="E63" s="480"/>
    </row>
    <row r="64" spans="1:6" x14ac:dyDescent="0.3">
      <c r="A64" s="79" t="str">
        <f t="shared" si="1"/>
        <v>01/02/1021-28/02/2021</v>
      </c>
      <c r="B64" s="224">
        <f t="shared" si="2"/>
        <v>221</v>
      </c>
      <c r="C64" s="224">
        <f t="shared" ref="C64:C77" si="3">ROUNDUP($C$56*(1-$C$55)*C41*C25,0)</f>
        <v>94</v>
      </c>
      <c r="D64" s="453"/>
      <c r="E64" s="480"/>
    </row>
    <row r="65" spans="1:5" x14ac:dyDescent="0.3">
      <c r="A65" s="79" t="str">
        <f t="shared" si="1"/>
        <v>01/03/2021-31/03/3021</v>
      </c>
      <c r="B65" s="224">
        <f t="shared" si="2"/>
        <v>247</v>
      </c>
      <c r="C65" s="224">
        <f t="shared" si="3"/>
        <v>104</v>
      </c>
      <c r="D65" s="453"/>
      <c r="E65" s="480"/>
    </row>
    <row r="66" spans="1:5" x14ac:dyDescent="0.3">
      <c r="A66" s="79" t="str">
        <f t="shared" si="1"/>
        <v>01/04/2021-30/04/2021</v>
      </c>
      <c r="B66" s="224">
        <f t="shared" si="2"/>
        <v>239</v>
      </c>
      <c r="C66" s="224">
        <f t="shared" si="3"/>
        <v>101</v>
      </c>
      <c r="D66" s="453"/>
      <c r="E66" s="480"/>
    </row>
    <row r="67" spans="1:5" x14ac:dyDescent="0.3">
      <c r="A67" s="79" t="str">
        <f t="shared" si="1"/>
        <v>01/05/2021-31/05/2021</v>
      </c>
      <c r="B67" s="224">
        <f t="shared" si="2"/>
        <v>243</v>
      </c>
      <c r="C67" s="224">
        <f t="shared" si="3"/>
        <v>105</v>
      </c>
      <c r="D67" s="453"/>
      <c r="E67" s="480"/>
    </row>
    <row r="68" spans="1:5" x14ac:dyDescent="0.3">
      <c r="A68" s="79" t="str">
        <f t="shared" si="1"/>
        <v>01/06/2021-30/06/2021</v>
      </c>
      <c r="B68" s="224">
        <f t="shared" si="2"/>
        <v>236</v>
      </c>
      <c r="C68" s="224">
        <f t="shared" si="3"/>
        <v>101</v>
      </c>
      <c r="D68" s="453"/>
      <c r="E68" s="480"/>
    </row>
    <row r="69" spans="1:5" x14ac:dyDescent="0.3">
      <c r="A69" s="79" t="str">
        <f t="shared" si="1"/>
        <v>01/07/2021-31/07/2021</v>
      </c>
      <c r="B69" s="224">
        <f t="shared" si="2"/>
        <v>243</v>
      </c>
      <c r="C69" s="224">
        <f t="shared" si="3"/>
        <v>105</v>
      </c>
      <c r="D69" s="453"/>
      <c r="E69" s="480"/>
    </row>
    <row r="70" spans="1:5" x14ac:dyDescent="0.3">
      <c r="A70" s="79" t="str">
        <f t="shared" si="1"/>
        <v>01/08/2021-31/08/2021</v>
      </c>
      <c r="B70" s="224">
        <f t="shared" si="2"/>
        <v>247</v>
      </c>
      <c r="C70" s="224">
        <f t="shared" si="3"/>
        <v>105</v>
      </c>
      <c r="D70" s="453"/>
      <c r="E70" s="480"/>
    </row>
    <row r="71" spans="1:5" x14ac:dyDescent="0.3">
      <c r="A71" s="79" t="str">
        <f t="shared" si="1"/>
        <v>01/09/2021-30/09/2021</v>
      </c>
      <c r="B71" s="224">
        <f t="shared" si="2"/>
        <v>237</v>
      </c>
      <c r="C71" s="224">
        <f t="shared" si="3"/>
        <v>101</v>
      </c>
      <c r="D71" s="453"/>
      <c r="E71" s="480"/>
    </row>
    <row r="72" spans="1:5" x14ac:dyDescent="0.3">
      <c r="A72" s="79" t="str">
        <f t="shared" si="1"/>
        <v>01/10/2021-31/10/2021</v>
      </c>
      <c r="B72" s="224">
        <f t="shared" si="2"/>
        <v>244</v>
      </c>
      <c r="C72" s="224">
        <f t="shared" si="3"/>
        <v>104</v>
      </c>
      <c r="D72" s="453"/>
      <c r="E72" s="480"/>
    </row>
    <row r="73" spans="1:5" x14ac:dyDescent="0.3">
      <c r="A73" s="79" t="str">
        <f t="shared" si="1"/>
        <v>01/11/2021-30/11/2021</v>
      </c>
      <c r="B73" s="224">
        <f t="shared" si="2"/>
        <v>233</v>
      </c>
      <c r="C73" s="224">
        <f t="shared" si="3"/>
        <v>101</v>
      </c>
      <c r="D73" s="453"/>
      <c r="E73" s="480"/>
    </row>
    <row r="74" spans="1:5" x14ac:dyDescent="0.3">
      <c r="A74" s="79" t="str">
        <f t="shared" si="1"/>
        <v>01/12/2021-31/12/2021</v>
      </c>
      <c r="B74" s="224">
        <f t="shared" si="2"/>
        <v>245</v>
      </c>
      <c r="C74" s="224">
        <f t="shared" si="3"/>
        <v>104</v>
      </c>
      <c r="D74" s="453"/>
      <c r="E74" s="480"/>
    </row>
    <row r="75" spans="1:5" x14ac:dyDescent="0.3">
      <c r="A75" s="79" t="str">
        <f t="shared" si="1"/>
        <v>01/01/2022-31/01/2022</v>
      </c>
      <c r="B75" s="224">
        <f t="shared" si="2"/>
        <v>240</v>
      </c>
      <c r="C75" s="224">
        <f t="shared" si="3"/>
        <v>107</v>
      </c>
      <c r="D75" s="453"/>
      <c r="E75" s="480"/>
    </row>
    <row r="76" spans="1:5" x14ac:dyDescent="0.3">
      <c r="A76" s="79" t="str">
        <f t="shared" si="1"/>
        <v>01/02/2022-28/02/2022</v>
      </c>
      <c r="B76" s="224">
        <f t="shared" si="2"/>
        <v>221</v>
      </c>
      <c r="C76" s="224">
        <f t="shared" si="3"/>
        <v>95</v>
      </c>
      <c r="D76" s="453"/>
      <c r="E76" s="480"/>
    </row>
    <row r="77" spans="1:5" x14ac:dyDescent="0.3">
      <c r="A77" s="79" t="str">
        <f t="shared" si="1"/>
        <v>01/03/2022-31/03/2022</v>
      </c>
      <c r="B77" s="224">
        <f t="shared" si="2"/>
        <v>246</v>
      </c>
      <c r="C77" s="224">
        <f t="shared" si="3"/>
        <v>104</v>
      </c>
      <c r="D77" s="453"/>
      <c r="E77" s="480"/>
    </row>
    <row r="78" spans="1:5" x14ac:dyDescent="0.3">
      <c r="A78" s="87" t="str">
        <f>'Project emission'!A33</f>
        <v>01/01/2021-31/12/2021</v>
      </c>
      <c r="B78" s="565">
        <f>SUM(B63:C74)</f>
        <v>3895</v>
      </c>
      <c r="C78" s="566"/>
      <c r="D78" s="453"/>
      <c r="E78" s="480"/>
    </row>
    <row r="79" spans="1:5" x14ac:dyDescent="0.3">
      <c r="A79" s="87" t="str">
        <f>'Project emission'!A34</f>
        <v>01/01/2022-31/03/2022</v>
      </c>
      <c r="B79" s="565">
        <f>SUM(B75:C77)</f>
        <v>1013</v>
      </c>
      <c r="C79" s="566"/>
      <c r="D79" s="453"/>
      <c r="E79" s="480"/>
    </row>
    <row r="80" spans="1:5" x14ac:dyDescent="0.3">
      <c r="A80" s="227"/>
      <c r="B80" s="558">
        <f>B78+B79</f>
        <v>4908</v>
      </c>
      <c r="C80" s="559"/>
      <c r="D80" s="454"/>
      <c r="E80" s="497"/>
    </row>
    <row r="81" spans="1:5" ht="15.5" x14ac:dyDescent="0.3">
      <c r="A81" s="227" t="s">
        <v>255</v>
      </c>
      <c r="B81" s="229"/>
      <c r="C81" s="229"/>
      <c r="D81" s="452" t="s">
        <v>256</v>
      </c>
      <c r="E81" s="479" t="s">
        <v>29</v>
      </c>
    </row>
    <row r="82" spans="1:5" x14ac:dyDescent="0.3">
      <c r="A82" s="79" t="str">
        <f t="shared" ref="A82:A98" si="4">A63</f>
        <v>20/01/2021-31/01/2021</v>
      </c>
      <c r="B82" s="229">
        <f t="shared" ref="B82:B96" si="5">ROUNDDOWN($B$57*$B$59*(1-$B$55)*B24*B40,0)</f>
        <v>21</v>
      </c>
      <c r="C82" s="229">
        <f>ROUNDDOWN($C$57*$C$59*(1-$C$55)*C24*C40,0)</f>
        <v>9</v>
      </c>
      <c r="D82" s="453"/>
      <c r="E82" s="480"/>
    </row>
    <row r="83" spans="1:5" x14ac:dyDescent="0.3">
      <c r="A83" s="79" t="str">
        <f t="shared" si="4"/>
        <v>01/02/1021-28/02/2021</v>
      </c>
      <c r="B83" s="229">
        <f t="shared" si="5"/>
        <v>49</v>
      </c>
      <c r="C83" s="229">
        <f t="shared" ref="C83:C96" si="6">ROUNDDOWN($C$57*$C$59*(1-$C$55)*C25*C41,0)</f>
        <v>20</v>
      </c>
      <c r="D83" s="453"/>
      <c r="E83" s="480"/>
    </row>
    <row r="84" spans="1:5" x14ac:dyDescent="0.3">
      <c r="A84" s="79" t="str">
        <f t="shared" si="4"/>
        <v>01/03/2021-31/03/3021</v>
      </c>
      <c r="B84" s="229">
        <f t="shared" si="5"/>
        <v>55</v>
      </c>
      <c r="C84" s="229">
        <f t="shared" si="6"/>
        <v>23</v>
      </c>
      <c r="D84" s="453"/>
      <c r="E84" s="480"/>
    </row>
    <row r="85" spans="1:5" x14ac:dyDescent="0.3">
      <c r="A85" s="79" t="str">
        <f t="shared" si="4"/>
        <v>01/04/2021-30/04/2021</v>
      </c>
      <c r="B85" s="229">
        <f t="shared" si="5"/>
        <v>53</v>
      </c>
      <c r="C85" s="229">
        <f t="shared" si="6"/>
        <v>22</v>
      </c>
      <c r="D85" s="453"/>
      <c r="E85" s="480"/>
    </row>
    <row r="86" spans="1:5" x14ac:dyDescent="0.3">
      <c r="A86" s="79" t="str">
        <f t="shared" si="4"/>
        <v>01/05/2021-31/05/2021</v>
      </c>
      <c r="B86" s="229">
        <f t="shared" si="5"/>
        <v>54</v>
      </c>
      <c r="C86" s="229">
        <f t="shared" si="6"/>
        <v>23</v>
      </c>
      <c r="D86" s="453"/>
      <c r="E86" s="480"/>
    </row>
    <row r="87" spans="1:5" x14ac:dyDescent="0.3">
      <c r="A87" s="79" t="str">
        <f t="shared" si="4"/>
        <v>01/06/2021-30/06/2021</v>
      </c>
      <c r="B87" s="229">
        <f t="shared" si="5"/>
        <v>53</v>
      </c>
      <c r="C87" s="229">
        <f t="shared" si="6"/>
        <v>22</v>
      </c>
      <c r="D87" s="453"/>
      <c r="E87" s="480"/>
    </row>
    <row r="88" spans="1:5" x14ac:dyDescent="0.3">
      <c r="A88" s="79" t="str">
        <f t="shared" si="4"/>
        <v>01/07/2021-31/07/2021</v>
      </c>
      <c r="B88" s="229">
        <f t="shared" si="5"/>
        <v>54</v>
      </c>
      <c r="C88" s="229">
        <f t="shared" si="6"/>
        <v>23</v>
      </c>
      <c r="D88" s="453"/>
      <c r="E88" s="480"/>
    </row>
    <row r="89" spans="1:5" x14ac:dyDescent="0.3">
      <c r="A89" s="79" t="str">
        <f t="shared" si="4"/>
        <v>01/08/2021-31/08/2021</v>
      </c>
      <c r="B89" s="229">
        <f t="shared" si="5"/>
        <v>55</v>
      </c>
      <c r="C89" s="229">
        <f t="shared" si="6"/>
        <v>23</v>
      </c>
      <c r="D89" s="453"/>
      <c r="E89" s="480"/>
    </row>
    <row r="90" spans="1:5" x14ac:dyDescent="0.3">
      <c r="A90" s="79" t="str">
        <f t="shared" si="4"/>
        <v>01/09/2021-30/09/2021</v>
      </c>
      <c r="B90" s="229">
        <f t="shared" si="5"/>
        <v>53</v>
      </c>
      <c r="C90" s="229">
        <f t="shared" si="6"/>
        <v>22</v>
      </c>
      <c r="D90" s="453"/>
      <c r="E90" s="480"/>
    </row>
    <row r="91" spans="1:5" x14ac:dyDescent="0.3">
      <c r="A91" s="79" t="str">
        <f t="shared" si="4"/>
        <v>01/10/2021-31/10/2021</v>
      </c>
      <c r="B91" s="229">
        <f t="shared" si="5"/>
        <v>54</v>
      </c>
      <c r="C91" s="229">
        <f t="shared" si="6"/>
        <v>23</v>
      </c>
      <c r="D91" s="453"/>
      <c r="E91" s="480"/>
    </row>
    <row r="92" spans="1:5" x14ac:dyDescent="0.3">
      <c r="A92" s="79" t="str">
        <f t="shared" si="4"/>
        <v>01/11/2021-30/11/2021</v>
      </c>
      <c r="B92" s="229">
        <f t="shared" si="5"/>
        <v>52</v>
      </c>
      <c r="C92" s="229">
        <f t="shared" si="6"/>
        <v>22</v>
      </c>
      <c r="D92" s="453"/>
      <c r="E92" s="480"/>
    </row>
    <row r="93" spans="1:5" x14ac:dyDescent="0.3">
      <c r="A93" s="79" t="str">
        <f t="shared" si="4"/>
        <v>01/12/2021-31/12/2021</v>
      </c>
      <c r="B93" s="229">
        <f t="shared" si="5"/>
        <v>55</v>
      </c>
      <c r="C93" s="229">
        <f t="shared" si="6"/>
        <v>23</v>
      </c>
      <c r="D93" s="453"/>
      <c r="E93" s="480"/>
    </row>
    <row r="94" spans="1:5" x14ac:dyDescent="0.3">
      <c r="A94" s="79" t="str">
        <f t="shared" si="4"/>
        <v>01/01/2022-31/01/2022</v>
      </c>
      <c r="B94" s="229">
        <f t="shared" si="5"/>
        <v>54</v>
      </c>
      <c r="C94" s="229">
        <f t="shared" si="6"/>
        <v>23</v>
      </c>
      <c r="D94" s="453"/>
      <c r="E94" s="480"/>
    </row>
    <row r="95" spans="1:5" x14ac:dyDescent="0.3">
      <c r="A95" s="79" t="str">
        <f t="shared" si="4"/>
        <v>01/02/2022-28/02/2022</v>
      </c>
      <c r="B95" s="229">
        <f t="shared" si="5"/>
        <v>49</v>
      </c>
      <c r="C95" s="229">
        <f t="shared" si="6"/>
        <v>21</v>
      </c>
      <c r="D95" s="453"/>
      <c r="E95" s="480"/>
    </row>
    <row r="96" spans="1:5" x14ac:dyDescent="0.3">
      <c r="A96" s="79" t="str">
        <f t="shared" si="4"/>
        <v>01/03/2022-31/03/2022</v>
      </c>
      <c r="B96" s="229">
        <f t="shared" si="5"/>
        <v>55</v>
      </c>
      <c r="C96" s="229">
        <f t="shared" si="6"/>
        <v>23</v>
      </c>
      <c r="D96" s="453"/>
      <c r="E96" s="480"/>
    </row>
    <row r="97" spans="1:5" x14ac:dyDescent="0.3">
      <c r="A97" s="87" t="str">
        <f t="shared" si="4"/>
        <v>01/01/2021-31/12/2021</v>
      </c>
      <c r="B97" s="555">
        <f>SUM(B82:C93)</f>
        <v>863</v>
      </c>
      <c r="C97" s="556"/>
      <c r="D97" s="453"/>
      <c r="E97" s="480"/>
    </row>
    <row r="98" spans="1:5" x14ac:dyDescent="0.3">
      <c r="A98" s="87" t="str">
        <f t="shared" si="4"/>
        <v>01/01/2022-31/03/2022</v>
      </c>
      <c r="B98" s="555">
        <f>SUM(B94:C96)</f>
        <v>225</v>
      </c>
      <c r="C98" s="556"/>
      <c r="D98" s="453"/>
      <c r="E98" s="480"/>
    </row>
    <row r="99" spans="1:5" x14ac:dyDescent="0.3">
      <c r="A99" s="227"/>
      <c r="B99" s="558">
        <f>B97+B98</f>
        <v>1088</v>
      </c>
      <c r="C99" s="559"/>
      <c r="D99" s="454"/>
      <c r="E99" s="497"/>
    </row>
    <row r="100" spans="1:5" ht="15.5" x14ac:dyDescent="0.3">
      <c r="A100" s="227" t="s">
        <v>257</v>
      </c>
      <c r="B100" s="228"/>
      <c r="C100" s="228"/>
      <c r="D100" s="452" t="s">
        <v>256</v>
      </c>
      <c r="E100" s="479" t="s">
        <v>29</v>
      </c>
    </row>
    <row r="101" spans="1:5" x14ac:dyDescent="0.3">
      <c r="A101" s="79" t="str">
        <f t="shared" ref="A101:A117" si="7">A82</f>
        <v>20/01/2021-31/01/2021</v>
      </c>
      <c r="B101" s="228">
        <f t="shared" ref="B101:B115" si="8">ROUNDDOWN($B$58*(1-$B$55)*$B$60*B24*B40,0)</f>
        <v>18</v>
      </c>
      <c r="C101" s="228">
        <f>ROUNDDOWN($C$58*(1-$C$55)*$C$60*C24*C40,0)</f>
        <v>8</v>
      </c>
      <c r="D101" s="453"/>
      <c r="E101" s="480"/>
    </row>
    <row r="102" spans="1:5" x14ac:dyDescent="0.3">
      <c r="A102" s="79" t="str">
        <f t="shared" si="7"/>
        <v>01/02/1021-28/02/2021</v>
      </c>
      <c r="B102" s="228">
        <f t="shared" si="8"/>
        <v>44</v>
      </c>
      <c r="C102" s="228">
        <f t="shared" ref="C102:C115" si="9">ROUNDDOWN($C$58*(1-$C$55)*$C$60*C25*C41,0)</f>
        <v>18</v>
      </c>
      <c r="D102" s="453"/>
      <c r="E102" s="480"/>
    </row>
    <row r="103" spans="1:5" x14ac:dyDescent="0.3">
      <c r="A103" s="79" t="str">
        <f t="shared" si="7"/>
        <v>01/03/2021-31/03/3021</v>
      </c>
      <c r="B103" s="228">
        <f t="shared" si="8"/>
        <v>49</v>
      </c>
      <c r="C103" s="228">
        <f t="shared" si="9"/>
        <v>20</v>
      </c>
      <c r="D103" s="453"/>
      <c r="E103" s="480"/>
    </row>
    <row r="104" spans="1:5" x14ac:dyDescent="0.3">
      <c r="A104" s="79" t="str">
        <f t="shared" si="7"/>
        <v>01/04/2021-30/04/2021</v>
      </c>
      <c r="B104" s="228">
        <f t="shared" si="8"/>
        <v>47</v>
      </c>
      <c r="C104" s="228">
        <f t="shared" si="9"/>
        <v>20</v>
      </c>
      <c r="D104" s="453"/>
      <c r="E104" s="480"/>
    </row>
    <row r="105" spans="1:5" x14ac:dyDescent="0.3">
      <c r="A105" s="79" t="str">
        <f t="shared" si="7"/>
        <v>01/05/2021-31/05/2021</v>
      </c>
      <c r="B105" s="228">
        <f t="shared" si="8"/>
        <v>48</v>
      </c>
      <c r="C105" s="228">
        <f t="shared" si="9"/>
        <v>20</v>
      </c>
      <c r="D105" s="453"/>
      <c r="E105" s="480"/>
    </row>
    <row r="106" spans="1:5" x14ac:dyDescent="0.3">
      <c r="A106" s="79" t="str">
        <f t="shared" si="7"/>
        <v>01/06/2021-30/06/2021</v>
      </c>
      <c r="B106" s="228">
        <f t="shared" si="8"/>
        <v>47</v>
      </c>
      <c r="C106" s="228">
        <f t="shared" si="9"/>
        <v>20</v>
      </c>
      <c r="D106" s="453"/>
      <c r="E106" s="480"/>
    </row>
    <row r="107" spans="1:5" x14ac:dyDescent="0.3">
      <c r="A107" s="79" t="str">
        <f t="shared" si="7"/>
        <v>01/07/2021-31/07/2021</v>
      </c>
      <c r="B107" s="228">
        <f t="shared" si="8"/>
        <v>48</v>
      </c>
      <c r="C107" s="228">
        <f t="shared" si="9"/>
        <v>20</v>
      </c>
      <c r="D107" s="453"/>
      <c r="E107" s="480"/>
    </row>
    <row r="108" spans="1:5" x14ac:dyDescent="0.3">
      <c r="A108" s="79" t="str">
        <f t="shared" si="7"/>
        <v>01/08/2021-31/08/2021</v>
      </c>
      <c r="B108" s="228">
        <f t="shared" si="8"/>
        <v>49</v>
      </c>
      <c r="C108" s="228">
        <f t="shared" si="9"/>
        <v>20</v>
      </c>
      <c r="D108" s="453"/>
      <c r="E108" s="480"/>
    </row>
    <row r="109" spans="1:5" x14ac:dyDescent="0.3">
      <c r="A109" s="79" t="str">
        <f t="shared" si="7"/>
        <v>01/09/2021-30/09/2021</v>
      </c>
      <c r="B109" s="228">
        <f t="shared" si="8"/>
        <v>47</v>
      </c>
      <c r="C109" s="228">
        <f t="shared" si="9"/>
        <v>20</v>
      </c>
      <c r="D109" s="453"/>
      <c r="E109" s="480"/>
    </row>
    <row r="110" spans="1:5" x14ac:dyDescent="0.3">
      <c r="A110" s="79" t="str">
        <f t="shared" si="7"/>
        <v>01/10/2021-31/10/2021</v>
      </c>
      <c r="B110" s="228">
        <f t="shared" si="8"/>
        <v>48</v>
      </c>
      <c r="C110" s="228">
        <f t="shared" si="9"/>
        <v>20</v>
      </c>
      <c r="D110" s="453"/>
      <c r="E110" s="480"/>
    </row>
    <row r="111" spans="1:5" x14ac:dyDescent="0.3">
      <c r="A111" s="79" t="str">
        <f t="shared" si="7"/>
        <v>01/11/2021-30/11/2021</v>
      </c>
      <c r="B111" s="228">
        <f t="shared" si="8"/>
        <v>46</v>
      </c>
      <c r="C111" s="228">
        <f t="shared" si="9"/>
        <v>20</v>
      </c>
      <c r="D111" s="453"/>
      <c r="E111" s="480"/>
    </row>
    <row r="112" spans="1:5" x14ac:dyDescent="0.3">
      <c r="A112" s="79" t="str">
        <f t="shared" si="7"/>
        <v>01/12/2021-31/12/2021</v>
      </c>
      <c r="B112" s="228">
        <f t="shared" si="8"/>
        <v>49</v>
      </c>
      <c r="C112" s="228">
        <f t="shared" si="9"/>
        <v>20</v>
      </c>
      <c r="D112" s="453"/>
      <c r="E112" s="480"/>
    </row>
    <row r="113" spans="1:5" x14ac:dyDescent="0.3">
      <c r="A113" s="79" t="str">
        <f t="shared" si="7"/>
        <v>01/01/2022-31/01/2022</v>
      </c>
      <c r="B113" s="228">
        <f t="shared" si="8"/>
        <v>48</v>
      </c>
      <c r="C113" s="228">
        <f t="shared" si="9"/>
        <v>21</v>
      </c>
      <c r="D113" s="453"/>
      <c r="E113" s="480"/>
    </row>
    <row r="114" spans="1:5" x14ac:dyDescent="0.3">
      <c r="A114" s="79" t="str">
        <f t="shared" si="7"/>
        <v>01/02/2022-28/02/2022</v>
      </c>
      <c r="B114" s="228">
        <f t="shared" si="8"/>
        <v>44</v>
      </c>
      <c r="C114" s="228">
        <f t="shared" si="9"/>
        <v>18</v>
      </c>
      <c r="D114" s="453"/>
      <c r="E114" s="480"/>
    </row>
    <row r="115" spans="1:5" x14ac:dyDescent="0.3">
      <c r="A115" s="79" t="str">
        <f t="shared" si="7"/>
        <v>01/03/2022-31/03/2022</v>
      </c>
      <c r="B115" s="228">
        <f t="shared" si="8"/>
        <v>49</v>
      </c>
      <c r="C115" s="228">
        <f t="shared" si="9"/>
        <v>20</v>
      </c>
      <c r="D115" s="453"/>
      <c r="E115" s="480"/>
    </row>
    <row r="116" spans="1:5" x14ac:dyDescent="0.3">
      <c r="A116" s="87" t="str">
        <f t="shared" si="7"/>
        <v>01/01/2021-31/12/2021</v>
      </c>
      <c r="B116" s="555">
        <f>SUM(B101:C112)</f>
        <v>766</v>
      </c>
      <c r="C116" s="556"/>
      <c r="D116" s="453"/>
      <c r="E116" s="480"/>
    </row>
    <row r="117" spans="1:5" x14ac:dyDescent="0.3">
      <c r="A117" s="87" t="str">
        <f t="shared" si="7"/>
        <v>01/01/2022-31/03/2022</v>
      </c>
      <c r="B117" s="555">
        <f>SUM(B113:C115)</f>
        <v>200</v>
      </c>
      <c r="C117" s="556"/>
      <c r="D117" s="453"/>
      <c r="E117" s="480"/>
    </row>
    <row r="118" spans="1:5" x14ac:dyDescent="0.3">
      <c r="A118" s="79"/>
      <c r="B118" s="558">
        <f>B116+B117</f>
        <v>966</v>
      </c>
      <c r="C118" s="559"/>
      <c r="D118" s="454"/>
      <c r="E118" s="497"/>
    </row>
    <row r="119" spans="1:5" ht="15.5" customHeight="1" x14ac:dyDescent="0.3">
      <c r="A119" s="87" t="str">
        <f>A116</f>
        <v>01/01/2021-31/12/2021</v>
      </c>
      <c r="B119" s="558">
        <f>ROUNDDOWN(B61*44/28*1/1000*(B78+B97+B116),0)</f>
        <v>2300</v>
      </c>
      <c r="C119" s="559"/>
      <c r="D119" s="452" t="s">
        <v>206</v>
      </c>
      <c r="E119" s="479" t="s">
        <v>29</v>
      </c>
    </row>
    <row r="120" spans="1:5" x14ac:dyDescent="0.3">
      <c r="A120" s="87" t="str">
        <f>A117</f>
        <v>01/01/2022-31/03/2022</v>
      </c>
      <c r="B120" s="558">
        <f>ROUNDDOWN(B61*44/28*1/1000*(B79+B98+B117),0)</f>
        <v>598</v>
      </c>
      <c r="C120" s="559"/>
      <c r="D120" s="453"/>
      <c r="E120" s="480"/>
    </row>
    <row r="121" spans="1:5" ht="16" thickBot="1" x14ac:dyDescent="0.35">
      <c r="A121" s="230" t="s">
        <v>258</v>
      </c>
      <c r="B121" s="560">
        <f>B119+B120</f>
        <v>2898</v>
      </c>
      <c r="C121" s="561"/>
      <c r="D121" s="485"/>
      <c r="E121" s="481"/>
    </row>
    <row r="122" spans="1:5" x14ac:dyDescent="0.3">
      <c r="A122" s="231"/>
      <c r="B122" s="232"/>
      <c r="C122" s="232"/>
    </row>
    <row r="123" spans="1:5" x14ac:dyDescent="0.3">
      <c r="A123" s="231"/>
      <c r="B123" s="232"/>
      <c r="C123" s="232"/>
    </row>
    <row r="124" spans="1:5" x14ac:dyDescent="0.3">
      <c r="A124" s="231"/>
      <c r="B124" s="232"/>
      <c r="C124" s="232"/>
      <c r="D124" s="92"/>
    </row>
    <row r="125" spans="1:5" x14ac:dyDescent="0.3">
      <c r="A125" s="231"/>
      <c r="B125" s="232"/>
      <c r="C125" s="232"/>
      <c r="D125" s="92"/>
    </row>
    <row r="126" spans="1:5" x14ac:dyDescent="0.3">
      <c r="A126" s="231"/>
      <c r="B126" s="232"/>
      <c r="C126" s="232"/>
      <c r="D126" s="92"/>
    </row>
    <row r="127" spans="1:5" x14ac:dyDescent="0.3">
      <c r="A127" s="231"/>
      <c r="B127" s="232"/>
      <c r="C127" s="232"/>
      <c r="D127" s="92"/>
    </row>
    <row r="128" spans="1:5" x14ac:dyDescent="0.3">
      <c r="A128" s="231"/>
      <c r="B128" s="232"/>
      <c r="C128" s="232"/>
      <c r="D128" s="92"/>
    </row>
    <row r="129" spans="1:6" x14ac:dyDescent="0.3">
      <c r="A129" s="231"/>
      <c r="B129" s="232"/>
      <c r="C129" s="232"/>
      <c r="D129" s="92"/>
    </row>
    <row r="130" spans="1:6" x14ac:dyDescent="0.3">
      <c r="A130" s="231"/>
      <c r="B130" s="232"/>
      <c r="C130" s="232"/>
      <c r="D130" s="92"/>
    </row>
    <row r="131" spans="1:6" x14ac:dyDescent="0.3">
      <c r="A131" s="231"/>
      <c r="B131" s="232"/>
      <c r="C131" s="232"/>
      <c r="D131" s="92"/>
    </row>
    <row r="132" spans="1:6" x14ac:dyDescent="0.3">
      <c r="A132" s="231"/>
      <c r="B132" s="232"/>
      <c r="C132" s="232"/>
      <c r="D132" s="92"/>
    </row>
    <row r="133" spans="1:6" x14ac:dyDescent="0.3">
      <c r="A133" s="231"/>
      <c r="B133" s="232"/>
      <c r="C133" s="232"/>
      <c r="D133" s="92"/>
    </row>
    <row r="134" spans="1:6" x14ac:dyDescent="0.3">
      <c r="A134" s="231"/>
      <c r="B134" s="232"/>
      <c r="C134" s="232"/>
      <c r="D134" s="92"/>
    </row>
    <row r="135" spans="1:6" x14ac:dyDescent="0.3">
      <c r="A135" s="231"/>
      <c r="B135" s="232"/>
      <c r="C135" s="232"/>
      <c r="D135" s="92"/>
    </row>
    <row r="136" spans="1:6" x14ac:dyDescent="0.3">
      <c r="A136" s="231"/>
      <c r="B136" s="232"/>
      <c r="C136" s="232"/>
      <c r="D136" s="92"/>
    </row>
    <row r="137" spans="1:6" ht="14" thickBot="1" x14ac:dyDescent="0.35">
      <c r="A137" s="231"/>
      <c r="B137" s="232"/>
      <c r="C137" s="232"/>
    </row>
    <row r="138" spans="1:6" x14ac:dyDescent="0.3">
      <c r="A138" s="96" t="s">
        <v>3</v>
      </c>
      <c r="B138" s="97" t="s">
        <v>18</v>
      </c>
      <c r="C138" s="97"/>
      <c r="D138" s="97" t="s">
        <v>2</v>
      </c>
      <c r="E138" s="202" t="s">
        <v>4</v>
      </c>
    </row>
    <row r="139" spans="1:6" x14ac:dyDescent="0.3">
      <c r="A139" s="222" t="s">
        <v>259</v>
      </c>
      <c r="B139" s="225">
        <v>0.25</v>
      </c>
      <c r="C139" s="225">
        <f>B139</f>
        <v>0.25</v>
      </c>
      <c r="D139" s="113" t="s">
        <v>0</v>
      </c>
      <c r="E139" s="206" t="s">
        <v>355</v>
      </c>
      <c r="F139" s="233"/>
    </row>
    <row r="140" spans="1:6" x14ac:dyDescent="0.3">
      <c r="A140" s="222" t="s">
        <v>259</v>
      </c>
      <c r="B140" s="225">
        <v>0.05</v>
      </c>
      <c r="C140" s="225">
        <v>0.05</v>
      </c>
      <c r="D140" s="113"/>
      <c r="E140" s="206" t="s">
        <v>353</v>
      </c>
      <c r="F140" s="233"/>
    </row>
    <row r="141" spans="1:6" ht="15.5" x14ac:dyDescent="0.4">
      <c r="A141" s="222" t="s">
        <v>13</v>
      </c>
      <c r="B141" s="226">
        <v>0.01</v>
      </c>
      <c r="C141" s="226">
        <v>0.01</v>
      </c>
      <c r="D141" s="23" t="s">
        <v>260</v>
      </c>
      <c r="E141" s="206" t="s">
        <v>43</v>
      </c>
      <c r="F141" s="233"/>
    </row>
    <row r="142" spans="1:6" ht="15.5" x14ac:dyDescent="0.4">
      <c r="A142" s="222" t="s">
        <v>14</v>
      </c>
      <c r="B142" s="226">
        <v>7.4999999999999997E-3</v>
      </c>
      <c r="C142" s="226">
        <v>7.4999999999999997E-3</v>
      </c>
      <c r="D142" s="23" t="s">
        <v>260</v>
      </c>
      <c r="E142" s="206" t="s">
        <v>31</v>
      </c>
      <c r="F142" s="233"/>
    </row>
    <row r="143" spans="1:6" ht="15.5" x14ac:dyDescent="0.4">
      <c r="A143" s="222" t="s">
        <v>12</v>
      </c>
      <c r="B143" s="226">
        <v>0.01</v>
      </c>
      <c r="C143" s="226">
        <v>0.01</v>
      </c>
      <c r="D143" s="23" t="s">
        <v>249</v>
      </c>
      <c r="E143" s="206" t="s">
        <v>31</v>
      </c>
      <c r="F143" s="233"/>
    </row>
    <row r="144" spans="1:6" ht="15.5" x14ac:dyDescent="0.3">
      <c r="A144" s="222" t="s">
        <v>250</v>
      </c>
      <c r="B144" s="226">
        <v>0.3</v>
      </c>
      <c r="C144" s="226">
        <v>0.3</v>
      </c>
      <c r="D144" s="23" t="s">
        <v>91</v>
      </c>
      <c r="E144" s="206" t="s">
        <v>31</v>
      </c>
      <c r="F144" s="233"/>
    </row>
    <row r="145" spans="1:6" ht="54" x14ac:dyDescent="0.3">
      <c r="A145" s="222" t="s">
        <v>251</v>
      </c>
      <c r="B145" s="226">
        <v>0.2</v>
      </c>
      <c r="C145" s="226">
        <v>0.2</v>
      </c>
      <c r="D145" s="113" t="s">
        <v>91</v>
      </c>
      <c r="E145" s="206" t="s">
        <v>56</v>
      </c>
      <c r="F145" s="233"/>
    </row>
    <row r="146" spans="1:6" ht="15.5" x14ac:dyDescent="0.3">
      <c r="A146" s="227" t="s">
        <v>261</v>
      </c>
      <c r="B146" s="113"/>
      <c r="C146" s="113"/>
      <c r="D146" s="452" t="s">
        <v>245</v>
      </c>
      <c r="E146" s="480" t="s">
        <v>109</v>
      </c>
      <c r="F146" s="233"/>
    </row>
    <row r="147" spans="1:6" x14ac:dyDescent="0.3">
      <c r="A147" s="79" t="str">
        <f t="shared" ref="A147:A163" si="10">A101</f>
        <v>20/01/2021-31/01/2021</v>
      </c>
      <c r="B147" s="229">
        <f t="shared" ref="B147:B161" si="11">ROUNDUP($B$141*(1-$B$139)*(1-$B$140)*B24*B40,0)</f>
        <v>334</v>
      </c>
      <c r="C147" s="229">
        <f>ROUNDUP($C$141*(1-$C$139)*(1-$C$140)*C40*C24,0)</f>
        <v>147</v>
      </c>
      <c r="D147" s="453"/>
      <c r="E147" s="480"/>
      <c r="F147" s="233"/>
    </row>
    <row r="148" spans="1:6" x14ac:dyDescent="0.3">
      <c r="A148" s="79" t="str">
        <f t="shared" si="10"/>
        <v>01/02/1021-28/02/2021</v>
      </c>
      <c r="B148" s="229">
        <f t="shared" si="11"/>
        <v>789</v>
      </c>
      <c r="C148" s="229">
        <f t="shared" ref="C148:C161" si="12">ROUNDUP($C$141*(1-$C$139)*(1-$C$140)*C41*C25,0)</f>
        <v>332</v>
      </c>
      <c r="D148" s="453"/>
      <c r="E148" s="480"/>
      <c r="F148" s="233"/>
    </row>
    <row r="149" spans="1:6" x14ac:dyDescent="0.3">
      <c r="A149" s="79" t="str">
        <f t="shared" si="10"/>
        <v>01/03/2021-31/03/3021</v>
      </c>
      <c r="B149" s="229">
        <f t="shared" si="11"/>
        <v>882</v>
      </c>
      <c r="C149" s="229">
        <f t="shared" si="12"/>
        <v>370</v>
      </c>
      <c r="D149" s="453"/>
      <c r="E149" s="480"/>
      <c r="F149" s="233"/>
    </row>
    <row r="150" spans="1:6" x14ac:dyDescent="0.3">
      <c r="A150" s="79" t="str">
        <f t="shared" si="10"/>
        <v>01/04/2021-30/04/2021</v>
      </c>
      <c r="B150" s="229">
        <f t="shared" si="11"/>
        <v>854</v>
      </c>
      <c r="C150" s="229">
        <f t="shared" si="12"/>
        <v>360</v>
      </c>
      <c r="D150" s="453"/>
      <c r="E150" s="480"/>
      <c r="F150" s="233"/>
    </row>
    <row r="151" spans="1:6" x14ac:dyDescent="0.3">
      <c r="A151" s="79" t="str">
        <f t="shared" si="10"/>
        <v>01/05/2021-31/05/2021</v>
      </c>
      <c r="B151" s="229">
        <f t="shared" si="11"/>
        <v>870</v>
      </c>
      <c r="C151" s="229">
        <f t="shared" si="12"/>
        <v>374</v>
      </c>
      <c r="D151" s="453"/>
      <c r="E151" s="480"/>
      <c r="F151" s="233"/>
    </row>
    <row r="152" spans="1:6" x14ac:dyDescent="0.3">
      <c r="A152" s="79" t="str">
        <f t="shared" si="10"/>
        <v>01/06/2021-30/06/2021</v>
      </c>
      <c r="B152" s="229">
        <f t="shared" si="11"/>
        <v>842</v>
      </c>
      <c r="C152" s="229">
        <f t="shared" si="12"/>
        <v>359</v>
      </c>
      <c r="D152" s="453"/>
      <c r="E152" s="480"/>
      <c r="F152" s="233"/>
    </row>
    <row r="153" spans="1:6" x14ac:dyDescent="0.3">
      <c r="A153" s="79" t="str">
        <f t="shared" si="10"/>
        <v>01/07/2021-31/07/2021</v>
      </c>
      <c r="B153" s="229">
        <f t="shared" si="11"/>
        <v>870</v>
      </c>
      <c r="C153" s="229">
        <f t="shared" si="12"/>
        <v>372</v>
      </c>
      <c r="D153" s="453"/>
      <c r="E153" s="480"/>
      <c r="F153" s="233"/>
    </row>
    <row r="154" spans="1:6" x14ac:dyDescent="0.3">
      <c r="A154" s="79" t="str">
        <f t="shared" si="10"/>
        <v>01/08/2021-31/08/2021</v>
      </c>
      <c r="B154" s="229">
        <f t="shared" si="11"/>
        <v>881</v>
      </c>
      <c r="C154" s="229">
        <f t="shared" si="12"/>
        <v>372</v>
      </c>
      <c r="D154" s="453"/>
      <c r="E154" s="480"/>
      <c r="F154" s="233"/>
    </row>
    <row r="155" spans="1:6" x14ac:dyDescent="0.3">
      <c r="A155" s="79" t="str">
        <f t="shared" si="10"/>
        <v>01/09/2021-30/09/2021</v>
      </c>
      <c r="B155" s="229">
        <f t="shared" si="11"/>
        <v>846</v>
      </c>
      <c r="C155" s="229">
        <f t="shared" si="12"/>
        <v>358</v>
      </c>
      <c r="D155" s="453"/>
      <c r="E155" s="480"/>
      <c r="F155" s="233"/>
    </row>
    <row r="156" spans="1:6" x14ac:dyDescent="0.3">
      <c r="A156" s="79" t="str">
        <f t="shared" si="10"/>
        <v>01/10/2021-31/10/2021</v>
      </c>
      <c r="B156" s="229">
        <f t="shared" si="11"/>
        <v>871</v>
      </c>
      <c r="C156" s="229">
        <f t="shared" si="12"/>
        <v>369</v>
      </c>
      <c r="D156" s="453"/>
      <c r="E156" s="480"/>
      <c r="F156" s="233"/>
    </row>
    <row r="157" spans="1:6" x14ac:dyDescent="0.3">
      <c r="A157" s="79" t="str">
        <f t="shared" si="10"/>
        <v>01/11/2021-30/11/2021</v>
      </c>
      <c r="B157" s="229">
        <f t="shared" si="11"/>
        <v>832</v>
      </c>
      <c r="C157" s="229">
        <f t="shared" si="12"/>
        <v>358</v>
      </c>
      <c r="D157" s="453"/>
      <c r="E157" s="480"/>
      <c r="F157" s="233"/>
    </row>
    <row r="158" spans="1:6" x14ac:dyDescent="0.3">
      <c r="A158" s="79" t="str">
        <f t="shared" si="10"/>
        <v>01/12/2021-31/12/2021</v>
      </c>
      <c r="B158" s="229">
        <f t="shared" si="11"/>
        <v>875</v>
      </c>
      <c r="C158" s="229">
        <f t="shared" si="12"/>
        <v>369</v>
      </c>
      <c r="D158" s="453"/>
      <c r="E158" s="480"/>
      <c r="F158" s="233"/>
    </row>
    <row r="159" spans="1:6" x14ac:dyDescent="0.3">
      <c r="A159" s="79" t="str">
        <f t="shared" si="10"/>
        <v>01/01/2022-31/01/2022</v>
      </c>
      <c r="B159" s="229">
        <f t="shared" si="11"/>
        <v>857</v>
      </c>
      <c r="C159" s="229">
        <f t="shared" si="12"/>
        <v>379</v>
      </c>
      <c r="D159" s="453"/>
      <c r="E159" s="480"/>
      <c r="F159" s="233"/>
    </row>
    <row r="160" spans="1:6" x14ac:dyDescent="0.3">
      <c r="A160" s="79" t="str">
        <f t="shared" si="10"/>
        <v>01/02/2022-28/02/2022</v>
      </c>
      <c r="B160" s="229">
        <f t="shared" si="11"/>
        <v>789</v>
      </c>
      <c r="C160" s="229">
        <f t="shared" si="12"/>
        <v>336</v>
      </c>
      <c r="D160" s="453"/>
      <c r="E160" s="480"/>
      <c r="F160" s="233"/>
    </row>
    <row r="161" spans="1:6" x14ac:dyDescent="0.3">
      <c r="A161" s="79" t="str">
        <f t="shared" si="10"/>
        <v>01/03/2022-31/03/2022</v>
      </c>
      <c r="B161" s="229">
        <f t="shared" si="11"/>
        <v>879</v>
      </c>
      <c r="C161" s="229">
        <f t="shared" si="12"/>
        <v>371</v>
      </c>
      <c r="D161" s="453"/>
      <c r="E161" s="480"/>
      <c r="F161" s="233"/>
    </row>
    <row r="162" spans="1:6" x14ac:dyDescent="0.3">
      <c r="A162" s="87" t="str">
        <f t="shared" si="10"/>
        <v>01/01/2021-31/12/2021</v>
      </c>
      <c r="B162" s="554">
        <f>SUM(B147:C158)</f>
        <v>13886</v>
      </c>
      <c r="C162" s="554"/>
      <c r="D162" s="453"/>
      <c r="E162" s="480"/>
      <c r="F162" s="233"/>
    </row>
    <row r="163" spans="1:6" x14ac:dyDescent="0.3">
      <c r="A163" s="87" t="str">
        <f t="shared" si="10"/>
        <v>01/01/2022-31/03/2022</v>
      </c>
      <c r="B163" s="554">
        <f>SUM(B159:C161)</f>
        <v>3611</v>
      </c>
      <c r="C163" s="554"/>
      <c r="D163" s="453"/>
      <c r="E163" s="480"/>
      <c r="F163" s="233"/>
    </row>
    <row r="164" spans="1:6" x14ac:dyDescent="0.3">
      <c r="B164" s="557">
        <f>B162+B163</f>
        <v>17497</v>
      </c>
      <c r="C164" s="557"/>
      <c r="D164" s="453"/>
      <c r="E164" s="480"/>
      <c r="F164" s="233"/>
    </row>
    <row r="165" spans="1:6" ht="15.5" x14ac:dyDescent="0.4">
      <c r="A165" s="234" t="s">
        <v>262</v>
      </c>
      <c r="B165" s="228"/>
      <c r="C165" s="228"/>
      <c r="D165" s="453"/>
      <c r="E165" s="480"/>
      <c r="F165" s="233"/>
    </row>
    <row r="166" spans="1:6" x14ac:dyDescent="0.3">
      <c r="A166" s="79" t="str">
        <f t="shared" ref="A166:A182" si="13">A147</f>
        <v>20/01/2021-31/01/2021</v>
      </c>
      <c r="B166" s="228">
        <f t="shared" ref="B166:B180" si="14">ROUNDUP($B$142*$B$144*(1-$B$139)*(1-$B$140)*B40*B24,0)</f>
        <v>76</v>
      </c>
      <c r="C166" s="228">
        <f t="shared" ref="C166:C180" si="15">ROUNDUP($C$142*$C$144*(1-$C$139)*(1-$C$140)*C40*C24,0)</f>
        <v>34</v>
      </c>
      <c r="D166" s="453"/>
      <c r="E166" s="480"/>
      <c r="F166" s="233"/>
    </row>
    <row r="167" spans="1:6" x14ac:dyDescent="0.3">
      <c r="A167" s="79" t="str">
        <f t="shared" si="13"/>
        <v>01/02/1021-28/02/2021</v>
      </c>
      <c r="B167" s="228">
        <f t="shared" si="14"/>
        <v>178</v>
      </c>
      <c r="C167" s="228">
        <f>ROUNDUP($C$142*$C$144*(1-$C$139)*(1-$C$140)*C41*C25,0)</f>
        <v>75</v>
      </c>
      <c r="D167" s="453"/>
      <c r="E167" s="480"/>
      <c r="F167" s="233"/>
    </row>
    <row r="168" spans="1:6" x14ac:dyDescent="0.3">
      <c r="A168" s="79" t="str">
        <f t="shared" si="13"/>
        <v>01/03/2021-31/03/3021</v>
      </c>
      <c r="B168" s="228">
        <f t="shared" si="14"/>
        <v>199</v>
      </c>
      <c r="C168" s="228">
        <f t="shared" si="15"/>
        <v>84</v>
      </c>
      <c r="D168" s="453"/>
      <c r="E168" s="480"/>
      <c r="F168" s="233"/>
    </row>
    <row r="169" spans="1:6" x14ac:dyDescent="0.3">
      <c r="A169" s="79" t="str">
        <f t="shared" si="13"/>
        <v>01/04/2021-30/04/2021</v>
      </c>
      <c r="B169" s="228">
        <f t="shared" si="14"/>
        <v>193</v>
      </c>
      <c r="C169" s="228">
        <f t="shared" si="15"/>
        <v>81</v>
      </c>
      <c r="D169" s="453"/>
      <c r="E169" s="480"/>
      <c r="F169" s="233"/>
    </row>
    <row r="170" spans="1:6" x14ac:dyDescent="0.3">
      <c r="A170" s="79" t="str">
        <f t="shared" si="13"/>
        <v>01/05/2021-31/05/2021</v>
      </c>
      <c r="B170" s="228">
        <f t="shared" si="14"/>
        <v>196</v>
      </c>
      <c r="C170" s="228">
        <f t="shared" si="15"/>
        <v>85</v>
      </c>
      <c r="D170" s="453"/>
      <c r="E170" s="480"/>
      <c r="F170" s="233"/>
    </row>
    <row r="171" spans="1:6" x14ac:dyDescent="0.3">
      <c r="A171" s="79" t="str">
        <f t="shared" si="13"/>
        <v>01/06/2021-30/06/2021</v>
      </c>
      <c r="B171" s="228">
        <f t="shared" si="14"/>
        <v>190</v>
      </c>
      <c r="C171" s="228">
        <f t="shared" si="15"/>
        <v>81</v>
      </c>
      <c r="D171" s="453"/>
      <c r="E171" s="480"/>
      <c r="F171" s="233"/>
    </row>
    <row r="172" spans="1:6" x14ac:dyDescent="0.3">
      <c r="A172" s="79" t="str">
        <f t="shared" si="13"/>
        <v>01/07/2021-31/07/2021</v>
      </c>
      <c r="B172" s="228">
        <f t="shared" si="14"/>
        <v>196</v>
      </c>
      <c r="C172" s="228">
        <f t="shared" si="15"/>
        <v>84</v>
      </c>
      <c r="D172" s="453"/>
      <c r="E172" s="480"/>
      <c r="F172" s="233"/>
    </row>
    <row r="173" spans="1:6" x14ac:dyDescent="0.3">
      <c r="A173" s="79" t="str">
        <f t="shared" si="13"/>
        <v>01/08/2021-31/08/2021</v>
      </c>
      <c r="B173" s="228">
        <f t="shared" si="14"/>
        <v>199</v>
      </c>
      <c r="C173" s="228">
        <f t="shared" si="15"/>
        <v>84</v>
      </c>
      <c r="D173" s="453"/>
      <c r="E173" s="480"/>
      <c r="F173" s="233"/>
    </row>
    <row r="174" spans="1:6" x14ac:dyDescent="0.3">
      <c r="A174" s="79" t="str">
        <f t="shared" si="13"/>
        <v>01/09/2021-30/09/2021</v>
      </c>
      <c r="B174" s="228">
        <f t="shared" si="14"/>
        <v>191</v>
      </c>
      <c r="C174" s="228">
        <f t="shared" si="15"/>
        <v>81</v>
      </c>
      <c r="D174" s="453"/>
      <c r="E174" s="480"/>
      <c r="F174" s="233"/>
    </row>
    <row r="175" spans="1:6" x14ac:dyDescent="0.3">
      <c r="A175" s="79" t="str">
        <f t="shared" si="13"/>
        <v>01/10/2021-31/10/2021</v>
      </c>
      <c r="B175" s="228">
        <f t="shared" si="14"/>
        <v>196</v>
      </c>
      <c r="C175" s="228">
        <f t="shared" si="15"/>
        <v>83</v>
      </c>
      <c r="D175" s="453"/>
      <c r="E175" s="480"/>
      <c r="F175" s="233"/>
    </row>
    <row r="176" spans="1:6" x14ac:dyDescent="0.3">
      <c r="A176" s="79" t="str">
        <f t="shared" si="13"/>
        <v>01/11/2021-30/11/2021</v>
      </c>
      <c r="B176" s="228">
        <f t="shared" si="14"/>
        <v>188</v>
      </c>
      <c r="C176" s="228">
        <f t="shared" si="15"/>
        <v>81</v>
      </c>
      <c r="D176" s="453"/>
      <c r="E176" s="480"/>
      <c r="F176" s="233"/>
    </row>
    <row r="177" spans="1:6" x14ac:dyDescent="0.3">
      <c r="A177" s="79" t="str">
        <f t="shared" si="13"/>
        <v>01/12/2021-31/12/2021</v>
      </c>
      <c r="B177" s="228">
        <f t="shared" si="14"/>
        <v>197</v>
      </c>
      <c r="C177" s="228">
        <f t="shared" si="15"/>
        <v>83</v>
      </c>
      <c r="D177" s="453"/>
      <c r="E177" s="480"/>
      <c r="F177" s="233"/>
    </row>
    <row r="178" spans="1:6" x14ac:dyDescent="0.3">
      <c r="A178" s="79" t="str">
        <f t="shared" si="13"/>
        <v>01/01/2022-31/01/2022</v>
      </c>
      <c r="B178" s="228">
        <f t="shared" si="14"/>
        <v>193</v>
      </c>
      <c r="C178" s="228">
        <f t="shared" si="15"/>
        <v>86</v>
      </c>
      <c r="D178" s="453"/>
      <c r="E178" s="480"/>
      <c r="F178" s="233"/>
    </row>
    <row r="179" spans="1:6" x14ac:dyDescent="0.3">
      <c r="A179" s="79" t="str">
        <f t="shared" si="13"/>
        <v>01/02/2022-28/02/2022</v>
      </c>
      <c r="B179" s="228">
        <f t="shared" si="14"/>
        <v>178</v>
      </c>
      <c r="C179" s="228">
        <f t="shared" si="15"/>
        <v>76</v>
      </c>
      <c r="D179" s="453"/>
      <c r="E179" s="480"/>
      <c r="F179" s="233"/>
    </row>
    <row r="180" spans="1:6" x14ac:dyDescent="0.3">
      <c r="A180" s="79" t="str">
        <f t="shared" si="13"/>
        <v>01/03/2022-31/03/2022</v>
      </c>
      <c r="B180" s="228">
        <f t="shared" si="14"/>
        <v>198</v>
      </c>
      <c r="C180" s="228">
        <f t="shared" si="15"/>
        <v>84</v>
      </c>
      <c r="D180" s="453"/>
      <c r="E180" s="480"/>
      <c r="F180" s="233"/>
    </row>
    <row r="181" spans="1:6" x14ac:dyDescent="0.3">
      <c r="A181" s="87" t="str">
        <f t="shared" si="13"/>
        <v>01/01/2021-31/12/2021</v>
      </c>
      <c r="B181" s="555">
        <f>SUM(B166:C177)</f>
        <v>3135</v>
      </c>
      <c r="C181" s="556"/>
      <c r="D181" s="453"/>
      <c r="E181" s="480"/>
      <c r="F181" s="233"/>
    </row>
    <row r="182" spans="1:6" x14ac:dyDescent="0.3">
      <c r="A182" s="87" t="str">
        <f t="shared" si="13"/>
        <v>01/01/2022-31/03/2022</v>
      </c>
      <c r="B182" s="555">
        <f>SUM(B178:C180)</f>
        <v>815</v>
      </c>
      <c r="C182" s="556"/>
      <c r="D182" s="453"/>
      <c r="E182" s="480"/>
      <c r="F182" s="233"/>
    </row>
    <row r="183" spans="1:6" x14ac:dyDescent="0.3">
      <c r="A183" s="87"/>
      <c r="B183" s="555">
        <f>B181+B182</f>
        <v>3950</v>
      </c>
      <c r="C183" s="556"/>
      <c r="D183" s="453"/>
      <c r="E183" s="480"/>
      <c r="F183" s="233"/>
    </row>
    <row r="184" spans="1:6" ht="15.5" x14ac:dyDescent="0.3">
      <c r="A184" s="227" t="s">
        <v>263</v>
      </c>
      <c r="B184" s="235"/>
      <c r="C184" s="236"/>
      <c r="D184" s="453"/>
      <c r="E184" s="480"/>
      <c r="F184" s="233"/>
    </row>
    <row r="185" spans="1:6" x14ac:dyDescent="0.3">
      <c r="A185" s="79" t="str">
        <f t="shared" ref="A185:A201" si="16">A166</f>
        <v>20/01/2021-31/01/2021</v>
      </c>
      <c r="B185" s="237">
        <f t="shared" ref="B185:B199" si="17">ROUNDUP($B$143*(1-$B$139)*(1-$B$140)*$B$145*B40*B24,0)</f>
        <v>67</v>
      </c>
      <c r="C185" s="238">
        <f t="shared" ref="C185:C199" si="18">ROUNDUP($C$143*$C$145*(1-$C$139)*(1-$C$140)*C40*C24,0)</f>
        <v>30</v>
      </c>
      <c r="D185" s="453"/>
      <c r="E185" s="480"/>
      <c r="F185" s="233"/>
    </row>
    <row r="186" spans="1:6" x14ac:dyDescent="0.3">
      <c r="A186" s="79" t="str">
        <f t="shared" si="16"/>
        <v>01/02/1021-28/02/2021</v>
      </c>
      <c r="B186" s="237">
        <f t="shared" si="17"/>
        <v>158</v>
      </c>
      <c r="C186" s="238">
        <f t="shared" si="18"/>
        <v>67</v>
      </c>
      <c r="D186" s="453"/>
      <c r="E186" s="480"/>
      <c r="F186" s="233"/>
    </row>
    <row r="187" spans="1:6" x14ac:dyDescent="0.3">
      <c r="A187" s="79" t="str">
        <f t="shared" si="16"/>
        <v>01/03/2021-31/03/3021</v>
      </c>
      <c r="B187" s="237">
        <f t="shared" si="17"/>
        <v>177</v>
      </c>
      <c r="C187" s="238">
        <f t="shared" si="18"/>
        <v>74</v>
      </c>
      <c r="D187" s="453"/>
      <c r="E187" s="480"/>
      <c r="F187" s="233"/>
    </row>
    <row r="188" spans="1:6" x14ac:dyDescent="0.3">
      <c r="A188" s="79" t="str">
        <f t="shared" si="16"/>
        <v>01/04/2021-30/04/2021</v>
      </c>
      <c r="B188" s="237">
        <f t="shared" si="17"/>
        <v>171</v>
      </c>
      <c r="C188" s="238">
        <f>ROUNDUP($C$143*$C$145*(1-$C$139)*(1-$C$140)*C43*C27,0)</f>
        <v>72</v>
      </c>
      <c r="D188" s="453"/>
      <c r="E188" s="480"/>
      <c r="F188" s="233"/>
    </row>
    <row r="189" spans="1:6" x14ac:dyDescent="0.3">
      <c r="A189" s="79" t="str">
        <f t="shared" si="16"/>
        <v>01/05/2021-31/05/2021</v>
      </c>
      <c r="B189" s="237">
        <f t="shared" si="17"/>
        <v>174</v>
      </c>
      <c r="C189" s="238">
        <f t="shared" si="18"/>
        <v>75</v>
      </c>
      <c r="D189" s="453"/>
      <c r="E189" s="480"/>
      <c r="F189" s="233"/>
    </row>
    <row r="190" spans="1:6" x14ac:dyDescent="0.3">
      <c r="A190" s="79" t="str">
        <f t="shared" si="16"/>
        <v>01/06/2021-30/06/2021</v>
      </c>
      <c r="B190" s="237">
        <f t="shared" si="17"/>
        <v>169</v>
      </c>
      <c r="C190" s="238">
        <f t="shared" si="18"/>
        <v>72</v>
      </c>
      <c r="D190" s="453"/>
      <c r="E190" s="480"/>
      <c r="F190" s="233"/>
    </row>
    <row r="191" spans="1:6" x14ac:dyDescent="0.3">
      <c r="A191" s="79" t="str">
        <f t="shared" si="16"/>
        <v>01/07/2021-31/07/2021</v>
      </c>
      <c r="B191" s="237">
        <f t="shared" si="17"/>
        <v>174</v>
      </c>
      <c r="C191" s="238">
        <f t="shared" si="18"/>
        <v>75</v>
      </c>
      <c r="D191" s="453"/>
      <c r="E191" s="480"/>
      <c r="F191" s="233"/>
    </row>
    <row r="192" spans="1:6" x14ac:dyDescent="0.3">
      <c r="A192" s="79" t="str">
        <f t="shared" si="16"/>
        <v>01/08/2021-31/08/2021</v>
      </c>
      <c r="B192" s="237">
        <f t="shared" si="17"/>
        <v>177</v>
      </c>
      <c r="C192" s="238">
        <f t="shared" si="18"/>
        <v>75</v>
      </c>
      <c r="D192" s="453"/>
      <c r="E192" s="480"/>
      <c r="F192" s="233"/>
    </row>
    <row r="193" spans="1:6" x14ac:dyDescent="0.3">
      <c r="A193" s="79" t="str">
        <f t="shared" si="16"/>
        <v>01/09/2021-30/09/2021</v>
      </c>
      <c r="B193" s="237">
        <f t="shared" si="17"/>
        <v>170</v>
      </c>
      <c r="C193" s="238">
        <f t="shared" si="18"/>
        <v>72</v>
      </c>
      <c r="D193" s="453"/>
      <c r="E193" s="480"/>
      <c r="F193" s="233"/>
    </row>
    <row r="194" spans="1:6" x14ac:dyDescent="0.3">
      <c r="A194" s="79" t="str">
        <f t="shared" si="16"/>
        <v>01/10/2021-31/10/2021</v>
      </c>
      <c r="B194" s="237">
        <f t="shared" si="17"/>
        <v>175</v>
      </c>
      <c r="C194" s="238">
        <f t="shared" si="18"/>
        <v>74</v>
      </c>
      <c r="D194" s="453"/>
      <c r="E194" s="480"/>
      <c r="F194" s="233"/>
    </row>
    <row r="195" spans="1:6" x14ac:dyDescent="0.3">
      <c r="A195" s="79" t="str">
        <f t="shared" si="16"/>
        <v>01/11/2021-30/11/2021</v>
      </c>
      <c r="B195" s="237">
        <f t="shared" si="17"/>
        <v>167</v>
      </c>
      <c r="C195" s="238">
        <f t="shared" si="18"/>
        <v>72</v>
      </c>
      <c r="D195" s="453"/>
      <c r="E195" s="480"/>
      <c r="F195" s="233"/>
    </row>
    <row r="196" spans="1:6" x14ac:dyDescent="0.3">
      <c r="A196" s="79" t="str">
        <f t="shared" si="16"/>
        <v>01/12/2021-31/12/2021</v>
      </c>
      <c r="B196" s="237">
        <f t="shared" si="17"/>
        <v>175</v>
      </c>
      <c r="C196" s="238">
        <f t="shared" si="18"/>
        <v>74</v>
      </c>
      <c r="D196" s="453"/>
      <c r="E196" s="480"/>
      <c r="F196" s="233"/>
    </row>
    <row r="197" spans="1:6" x14ac:dyDescent="0.3">
      <c r="A197" s="79" t="str">
        <f t="shared" si="16"/>
        <v>01/01/2022-31/01/2022</v>
      </c>
      <c r="B197" s="237">
        <f t="shared" si="17"/>
        <v>172</v>
      </c>
      <c r="C197" s="238">
        <f t="shared" si="18"/>
        <v>76</v>
      </c>
      <c r="D197" s="453"/>
      <c r="E197" s="480"/>
      <c r="F197" s="233"/>
    </row>
    <row r="198" spans="1:6" x14ac:dyDescent="0.3">
      <c r="A198" s="79" t="str">
        <f t="shared" si="16"/>
        <v>01/02/2022-28/02/2022</v>
      </c>
      <c r="B198" s="237">
        <f t="shared" si="17"/>
        <v>158</v>
      </c>
      <c r="C198" s="238">
        <f t="shared" si="18"/>
        <v>68</v>
      </c>
      <c r="D198" s="453"/>
      <c r="E198" s="480"/>
      <c r="F198" s="233"/>
    </row>
    <row r="199" spans="1:6" x14ac:dyDescent="0.3">
      <c r="A199" s="79" t="str">
        <f t="shared" si="16"/>
        <v>01/03/2022-31/03/2022</v>
      </c>
      <c r="B199" s="237">
        <f t="shared" si="17"/>
        <v>176</v>
      </c>
      <c r="C199" s="238">
        <f t="shared" si="18"/>
        <v>75</v>
      </c>
      <c r="D199" s="453"/>
      <c r="E199" s="480"/>
      <c r="F199" s="233"/>
    </row>
    <row r="200" spans="1:6" x14ac:dyDescent="0.3">
      <c r="A200" s="87" t="str">
        <f t="shared" si="16"/>
        <v>01/01/2021-31/12/2021</v>
      </c>
      <c r="B200" s="555">
        <f>SUM(B185:C196)</f>
        <v>2786</v>
      </c>
      <c r="C200" s="556"/>
      <c r="D200" s="453"/>
      <c r="E200" s="480"/>
      <c r="F200" s="233"/>
    </row>
    <row r="201" spans="1:6" x14ac:dyDescent="0.3">
      <c r="A201" s="87" t="str">
        <f t="shared" si="16"/>
        <v>01/01/2022-31/03/2022</v>
      </c>
      <c r="B201" s="555">
        <f>SUM(B197:C199)</f>
        <v>725</v>
      </c>
      <c r="C201" s="556"/>
      <c r="D201" s="453"/>
      <c r="E201" s="480"/>
      <c r="F201" s="233"/>
    </row>
    <row r="202" spans="1:6" x14ac:dyDescent="0.3">
      <c r="A202" s="87"/>
      <c r="B202" s="555">
        <f>B200+B201</f>
        <v>3511</v>
      </c>
      <c r="C202" s="556"/>
      <c r="D202" s="454"/>
      <c r="E202" s="480"/>
      <c r="F202" s="233"/>
    </row>
    <row r="203" spans="1:6" x14ac:dyDescent="0.3">
      <c r="A203" s="239" t="str">
        <f>A200</f>
        <v>01/01/2021-31/12/2021</v>
      </c>
      <c r="B203" s="557">
        <f>ROUNDUP(B61*44/28*1/1000*(B162+B181+B200),0)</f>
        <v>8249</v>
      </c>
      <c r="C203" s="557"/>
      <c r="D203" s="453"/>
      <c r="E203" s="480"/>
      <c r="F203" s="233"/>
    </row>
    <row r="204" spans="1:6" ht="13" customHeight="1" x14ac:dyDescent="0.3">
      <c r="A204" s="239" t="str">
        <f>A201</f>
        <v>01/01/2022-31/03/2022</v>
      </c>
      <c r="B204" s="557">
        <f>ROUNDUP(B61*44/28*1/1000*(B163+B182+B201),0)</f>
        <v>2146</v>
      </c>
      <c r="C204" s="557"/>
      <c r="D204" s="453"/>
      <c r="E204" s="480"/>
      <c r="F204" s="233"/>
    </row>
    <row r="205" spans="1:6" ht="16" thickBot="1" x14ac:dyDescent="0.35">
      <c r="A205" s="230" t="s">
        <v>264</v>
      </c>
      <c r="B205" s="547">
        <f>B203+B204</f>
        <v>10395</v>
      </c>
      <c r="C205" s="547"/>
      <c r="D205" s="485"/>
      <c r="E205" s="481"/>
      <c r="F205" s="233"/>
    </row>
    <row r="206" spans="1:6" x14ac:dyDescent="0.3">
      <c r="A206" s="231"/>
      <c r="B206" s="232"/>
      <c r="C206" s="232"/>
    </row>
    <row r="207" spans="1:6" x14ac:dyDescent="0.3">
      <c r="A207" s="231"/>
      <c r="B207" s="232"/>
      <c r="C207" s="232"/>
    </row>
    <row r="209" spans="1:5" x14ac:dyDescent="0.3">
      <c r="A209" s="22" t="s">
        <v>42</v>
      </c>
    </row>
    <row r="211" spans="1:5" x14ac:dyDescent="0.3">
      <c r="E211" s="92"/>
    </row>
    <row r="212" spans="1:5" x14ac:dyDescent="0.3">
      <c r="E212" s="92"/>
    </row>
    <row r="213" spans="1:5" x14ac:dyDescent="0.3">
      <c r="E213" s="92"/>
    </row>
    <row r="214" spans="1:5" x14ac:dyDescent="0.3">
      <c r="E214" s="92"/>
    </row>
    <row r="215" spans="1:5" x14ac:dyDescent="0.3">
      <c r="E215" s="92"/>
    </row>
    <row r="216" spans="1:5" x14ac:dyDescent="0.3">
      <c r="E216" s="92"/>
    </row>
    <row r="217" spans="1:5" x14ac:dyDescent="0.3">
      <c r="A217" s="61"/>
    </row>
    <row r="218" spans="1:5" ht="14" thickBot="1" x14ac:dyDescent="0.35">
      <c r="A218" s="61"/>
    </row>
    <row r="219" spans="1:5" x14ac:dyDescent="0.3">
      <c r="A219" s="96" t="s">
        <v>3</v>
      </c>
      <c r="B219" s="97" t="s">
        <v>18</v>
      </c>
      <c r="C219" s="97"/>
      <c r="D219" s="97" t="s">
        <v>2</v>
      </c>
      <c r="E219" s="202" t="s">
        <v>4</v>
      </c>
    </row>
    <row r="220" spans="1:5" ht="15.5" x14ac:dyDescent="0.4">
      <c r="A220" s="240" t="s">
        <v>265</v>
      </c>
      <c r="B220" s="23">
        <f>'Baseline emission'!B12</f>
        <v>28</v>
      </c>
      <c r="C220" s="23">
        <f>B220</f>
        <v>28</v>
      </c>
      <c r="D220" s="23" t="s">
        <v>266</v>
      </c>
      <c r="E220" s="206" t="s">
        <v>124</v>
      </c>
    </row>
    <row r="221" spans="1:5" ht="14.5" x14ac:dyDescent="0.3">
      <c r="A221" s="240" t="s">
        <v>267</v>
      </c>
      <c r="B221" s="23">
        <f>'[3]Baseline Emission'!B13</f>
        <v>6.7000000000000002E-4</v>
      </c>
      <c r="C221" s="23">
        <f>'[3]Baseline Emission'!C13</f>
        <v>6.7000000000000002E-4</v>
      </c>
      <c r="D221" s="23" t="s">
        <v>219</v>
      </c>
      <c r="E221" s="206" t="s">
        <v>50</v>
      </c>
    </row>
    <row r="222" spans="1:5" x14ac:dyDescent="0.3">
      <c r="A222" s="241" t="s">
        <v>23</v>
      </c>
      <c r="B222" s="226">
        <v>1</v>
      </c>
      <c r="C222" s="226">
        <v>1</v>
      </c>
      <c r="D222" s="23" t="s">
        <v>91</v>
      </c>
      <c r="E222" s="206" t="s">
        <v>50</v>
      </c>
    </row>
    <row r="223" spans="1:5" x14ac:dyDescent="0.3">
      <c r="A223" s="222" t="s">
        <v>268</v>
      </c>
      <c r="B223" s="242"/>
      <c r="C223" s="242"/>
      <c r="D223" s="551" t="s">
        <v>126</v>
      </c>
      <c r="E223" s="548" t="s">
        <v>109</v>
      </c>
    </row>
    <row r="224" spans="1:5" x14ac:dyDescent="0.3">
      <c r="A224" s="79" t="str">
        <f t="shared" ref="A224:A238" si="19">A185</f>
        <v>20/01/2021-31/01/2021</v>
      </c>
      <c r="B224" s="242">
        <f>'Baseline emission'!B53</f>
        <v>7.8171428571428567</v>
      </c>
      <c r="C224" s="242">
        <f>'Baseline emission'!C53</f>
        <v>10.234285714285713</v>
      </c>
      <c r="D224" s="551"/>
      <c r="E224" s="548"/>
    </row>
    <row r="225" spans="1:5" x14ac:dyDescent="0.3">
      <c r="A225" s="79" t="str">
        <f t="shared" si="19"/>
        <v>01/02/1021-28/02/2021</v>
      </c>
      <c r="B225" s="242">
        <f>'Baseline emission'!B54</f>
        <v>18.48</v>
      </c>
      <c r="C225" s="242">
        <f>'Baseline emission'!C54</f>
        <v>23.13</v>
      </c>
      <c r="D225" s="551"/>
      <c r="E225" s="548"/>
    </row>
    <row r="226" spans="1:5" x14ac:dyDescent="0.3">
      <c r="A226" s="79" t="str">
        <f t="shared" si="19"/>
        <v>01/03/2021-31/03/3021</v>
      </c>
      <c r="B226" s="242">
        <f>'Baseline emission'!B55</f>
        <v>20.659285714285716</v>
      </c>
      <c r="C226" s="242">
        <f>'Baseline emission'!C55</f>
        <v>25.741071428571427</v>
      </c>
      <c r="D226" s="551"/>
      <c r="E226" s="548"/>
    </row>
    <row r="227" spans="1:5" x14ac:dyDescent="0.3">
      <c r="A227" s="79" t="str">
        <f t="shared" si="19"/>
        <v>01/04/2021-30/04/2021</v>
      </c>
      <c r="B227" s="242">
        <f>'Baseline emission'!B56</f>
        <v>19.992857142857144</v>
      </c>
      <c r="C227" s="242">
        <f>'Baseline emission'!C56</f>
        <v>25.071428571428569</v>
      </c>
      <c r="D227" s="551"/>
      <c r="E227" s="548"/>
    </row>
    <row r="228" spans="1:5" x14ac:dyDescent="0.3">
      <c r="A228" s="79" t="str">
        <f t="shared" si="19"/>
        <v>01/05/2021-31/05/2021</v>
      </c>
      <c r="B228" s="242">
        <f>'Baseline emission'!B57</f>
        <v>20.36035714285714</v>
      </c>
      <c r="C228" s="242">
        <f>'Baseline emission'!C57</f>
        <v>26.073214285714283</v>
      </c>
      <c r="D228" s="551"/>
      <c r="E228" s="548"/>
    </row>
    <row r="229" spans="1:5" x14ac:dyDescent="0.3">
      <c r="A229" s="79" t="str">
        <f t="shared" si="19"/>
        <v>01/06/2021-30/06/2021</v>
      </c>
      <c r="B229" s="242">
        <f>'Baseline emission'!B58</f>
        <v>19.703571428571426</v>
      </c>
      <c r="C229" s="242">
        <f>'Baseline emission'!C58</f>
        <v>25.007142857142856</v>
      </c>
      <c r="D229" s="551"/>
      <c r="E229" s="548"/>
    </row>
    <row r="230" spans="1:5" x14ac:dyDescent="0.3">
      <c r="A230" s="79" t="str">
        <f t="shared" si="19"/>
        <v>01/07/2021-31/07/2021</v>
      </c>
      <c r="B230" s="242">
        <f>'Baseline emission'!B59</f>
        <v>20.36035714285714</v>
      </c>
      <c r="C230" s="242">
        <f>'Baseline emission'!C59</f>
        <v>25.873928571428575</v>
      </c>
      <c r="D230" s="551"/>
      <c r="E230" s="548"/>
    </row>
    <row r="231" spans="1:5" x14ac:dyDescent="0.3">
      <c r="A231" s="79" t="str">
        <f t="shared" si="19"/>
        <v>01/08/2021-31/08/2021</v>
      </c>
      <c r="B231" s="242">
        <f>'Baseline emission'!B60</f>
        <v>20.626071428571429</v>
      </c>
      <c r="C231" s="242">
        <f>'Baseline emission'!C60</f>
        <v>25.940357142857142</v>
      </c>
      <c r="D231" s="551"/>
      <c r="E231" s="548"/>
    </row>
    <row r="232" spans="1:5" x14ac:dyDescent="0.3">
      <c r="A232" s="79" t="str">
        <f t="shared" si="19"/>
        <v>01/09/2021-30/09/2021</v>
      </c>
      <c r="B232" s="242">
        <f>'Baseline emission'!B61</f>
        <v>19.8</v>
      </c>
      <c r="C232" s="242">
        <f>'Baseline emission'!C61</f>
        <v>24.910714285714285</v>
      </c>
      <c r="D232" s="551"/>
      <c r="E232" s="548"/>
    </row>
    <row r="233" spans="1:5" x14ac:dyDescent="0.3">
      <c r="A233" s="79" t="str">
        <f t="shared" si="19"/>
        <v>01/10/2021-31/10/2021</v>
      </c>
      <c r="B233" s="242">
        <f>'Baseline emission'!B62</f>
        <v>20.393571428571427</v>
      </c>
      <c r="C233" s="242">
        <f>'Baseline emission'!C62</f>
        <v>25.707857142857147</v>
      </c>
      <c r="D233" s="551"/>
      <c r="E233" s="548"/>
    </row>
    <row r="234" spans="1:5" x14ac:dyDescent="0.3">
      <c r="A234" s="79" t="str">
        <f t="shared" si="19"/>
        <v>01/11/2021-30/11/2021</v>
      </c>
      <c r="B234" s="242">
        <f>'Baseline emission'!B63</f>
        <v>19.478571428571428</v>
      </c>
      <c r="C234" s="242">
        <f>'Baseline emission'!C63</f>
        <v>24.910714285714285</v>
      </c>
      <c r="D234" s="551"/>
      <c r="E234" s="548"/>
    </row>
    <row r="235" spans="1:5" x14ac:dyDescent="0.3">
      <c r="A235" s="79" t="str">
        <f t="shared" si="19"/>
        <v>01/12/2021-31/12/2021</v>
      </c>
      <c r="B235" s="242">
        <f>'Baseline emission'!B64</f>
        <v>20.493214285714288</v>
      </c>
      <c r="C235" s="242">
        <f>'Baseline emission'!C64</f>
        <v>25.741071428571427</v>
      </c>
      <c r="D235" s="551"/>
      <c r="E235" s="548"/>
    </row>
    <row r="236" spans="1:5" x14ac:dyDescent="0.3">
      <c r="A236" s="79" t="str">
        <f t="shared" si="19"/>
        <v>01/01/2022-31/01/2022</v>
      </c>
      <c r="B236" s="242">
        <f>'Baseline emission'!B65</f>
        <v>20.061428571428571</v>
      </c>
      <c r="C236" s="242">
        <f>'Baseline emission'!C65</f>
        <v>26.372142857142858</v>
      </c>
      <c r="D236" s="551"/>
      <c r="E236" s="548"/>
    </row>
    <row r="237" spans="1:5" x14ac:dyDescent="0.3">
      <c r="A237" s="79" t="str">
        <f t="shared" si="19"/>
        <v>01/02/2022-28/02/2022</v>
      </c>
      <c r="B237" s="242">
        <f>'Baseline emission'!B66</f>
        <v>18.48</v>
      </c>
      <c r="C237" s="242">
        <f>'Baseline emission'!C66</f>
        <v>23.370000000000005</v>
      </c>
      <c r="D237" s="551"/>
      <c r="E237" s="548"/>
    </row>
    <row r="238" spans="1:5" x14ac:dyDescent="0.3">
      <c r="A238" s="79" t="str">
        <f t="shared" si="19"/>
        <v>01/03/2022-31/03/2022</v>
      </c>
      <c r="B238" s="242">
        <f>'Baseline emission'!B67</f>
        <v>20.592857142857142</v>
      </c>
      <c r="C238" s="242">
        <f>'Baseline emission'!C67</f>
        <v>25.873928571428575</v>
      </c>
      <c r="D238" s="551"/>
      <c r="E238" s="548"/>
    </row>
    <row r="239" spans="1:5" ht="15.5" x14ac:dyDescent="0.3">
      <c r="A239" s="222" t="s">
        <v>269</v>
      </c>
      <c r="B239" s="143">
        <v>0.28999999999999998</v>
      </c>
      <c r="C239" s="226">
        <v>0.28999999999999998</v>
      </c>
      <c r="D239" s="23" t="s">
        <v>270</v>
      </c>
      <c r="E239" s="206" t="s">
        <v>7</v>
      </c>
    </row>
    <row r="240" spans="1:5" s="67" customFormat="1" ht="15.5" x14ac:dyDescent="0.3">
      <c r="A240" s="241" t="s">
        <v>271</v>
      </c>
      <c r="B240" s="225">
        <v>0.85</v>
      </c>
      <c r="C240" s="225">
        <v>0.85</v>
      </c>
      <c r="D240" s="243" t="s">
        <v>91</v>
      </c>
      <c r="E240" s="206" t="s">
        <v>356</v>
      </c>
    </row>
    <row r="241" spans="1:5" ht="15.5" customHeight="1" x14ac:dyDescent="0.3">
      <c r="A241" s="241" t="s">
        <v>40</v>
      </c>
      <c r="B241" s="244">
        <v>1</v>
      </c>
      <c r="C241" s="244">
        <f>B241</f>
        <v>1</v>
      </c>
      <c r="D241" s="226" t="s">
        <v>91</v>
      </c>
      <c r="E241" s="208"/>
    </row>
    <row r="242" spans="1:5" ht="15.5" customHeight="1" x14ac:dyDescent="0.3">
      <c r="A242" s="241" t="s">
        <v>272</v>
      </c>
      <c r="B242" s="244"/>
      <c r="C242" s="244"/>
      <c r="D242" s="226"/>
      <c r="E242" s="208"/>
    </row>
    <row r="243" spans="1:5" x14ac:dyDescent="0.3">
      <c r="A243" s="79" t="str">
        <f t="shared" ref="A243:A257" si="20">A224</f>
        <v>20/01/2021-31/01/2021</v>
      </c>
      <c r="B243" s="223">
        <f t="shared" ref="B243:B257" si="21">ROUNDDOWN($B$220*$B$221*$B$222*(1-$B$240)*$B$239*$B$241*B224*B24,0)</f>
        <v>974</v>
      </c>
      <c r="C243" s="223">
        <f t="shared" ref="C243:C257" si="22">ROUNDDOWN($C$220*$C$221*$C$222*(1-$C$240)*$C$239*$C$241*C224*C24,0)</f>
        <v>750</v>
      </c>
      <c r="D243" s="494" t="s">
        <v>357</v>
      </c>
      <c r="E243" s="549" t="s">
        <v>109</v>
      </c>
    </row>
    <row r="244" spans="1:5" x14ac:dyDescent="0.3">
      <c r="A244" s="79" t="str">
        <f t="shared" si="20"/>
        <v>01/02/1021-28/02/2021</v>
      </c>
      <c r="B244" s="223">
        <f t="shared" si="21"/>
        <v>2304</v>
      </c>
      <c r="C244" s="223">
        <f t="shared" si="22"/>
        <v>1695</v>
      </c>
      <c r="D244" s="494"/>
      <c r="E244" s="549"/>
    </row>
    <row r="245" spans="1:5" x14ac:dyDescent="0.3">
      <c r="A245" s="79" t="str">
        <f t="shared" si="20"/>
        <v>01/03/2021-31/03/3021</v>
      </c>
      <c r="B245" s="223">
        <f t="shared" si="21"/>
        <v>2576</v>
      </c>
      <c r="C245" s="223">
        <f t="shared" si="22"/>
        <v>1887</v>
      </c>
      <c r="D245" s="494"/>
      <c r="E245" s="549"/>
    </row>
    <row r="246" spans="1:5" x14ac:dyDescent="0.3">
      <c r="A246" s="79" t="str">
        <f t="shared" si="20"/>
        <v>01/04/2021-30/04/2021</v>
      </c>
      <c r="B246" s="223">
        <f t="shared" si="21"/>
        <v>2493</v>
      </c>
      <c r="C246" s="223">
        <f t="shared" si="22"/>
        <v>1839</v>
      </c>
      <c r="D246" s="494"/>
      <c r="E246" s="549"/>
    </row>
    <row r="247" spans="1:5" x14ac:dyDescent="0.3">
      <c r="A247" s="79" t="str">
        <f t="shared" si="20"/>
        <v>01/05/2021-31/05/2021</v>
      </c>
      <c r="B247" s="223">
        <f t="shared" si="21"/>
        <v>2539</v>
      </c>
      <c r="C247" s="223">
        <f t="shared" si="22"/>
        <v>1910</v>
      </c>
      <c r="D247" s="494"/>
      <c r="E247" s="549"/>
    </row>
    <row r="248" spans="1:5" x14ac:dyDescent="0.3">
      <c r="A248" s="79" t="str">
        <f t="shared" si="20"/>
        <v>01/06/2021-30/06/2021</v>
      </c>
      <c r="B248" s="223">
        <f t="shared" si="21"/>
        <v>2457</v>
      </c>
      <c r="C248" s="223">
        <f t="shared" si="22"/>
        <v>1831</v>
      </c>
      <c r="D248" s="494"/>
      <c r="E248" s="549"/>
    </row>
    <row r="249" spans="1:5" x14ac:dyDescent="0.3">
      <c r="A249" s="79" t="str">
        <f t="shared" si="20"/>
        <v>01/07/2021-31/07/2021</v>
      </c>
      <c r="B249" s="223">
        <f t="shared" si="21"/>
        <v>2539</v>
      </c>
      <c r="C249" s="223">
        <f t="shared" si="22"/>
        <v>1898</v>
      </c>
      <c r="D249" s="494"/>
      <c r="E249" s="549"/>
    </row>
    <row r="250" spans="1:5" x14ac:dyDescent="0.3">
      <c r="A250" s="79" t="str">
        <f t="shared" si="20"/>
        <v>01/08/2021-31/08/2021</v>
      </c>
      <c r="B250" s="223">
        <f t="shared" si="21"/>
        <v>2572</v>
      </c>
      <c r="C250" s="223">
        <f>ROUNDDOWN($C$220*$C$221*$C$222*(1-$C$240)*$C$239*$C$241*C231*C31,0)</f>
        <v>1898</v>
      </c>
      <c r="D250" s="494"/>
      <c r="E250" s="549"/>
    </row>
    <row r="251" spans="1:5" x14ac:dyDescent="0.3">
      <c r="A251" s="79" t="str">
        <f t="shared" si="20"/>
        <v>01/09/2021-30/09/2021</v>
      </c>
      <c r="B251" s="223">
        <f t="shared" si="21"/>
        <v>2469</v>
      </c>
      <c r="C251" s="223">
        <f t="shared" si="22"/>
        <v>1826</v>
      </c>
      <c r="D251" s="494"/>
      <c r="E251" s="549"/>
    </row>
    <row r="252" spans="1:5" x14ac:dyDescent="0.3">
      <c r="A252" s="79" t="str">
        <f t="shared" si="20"/>
        <v>01/10/2021-31/10/2021</v>
      </c>
      <c r="B252" s="223">
        <f t="shared" si="21"/>
        <v>2543</v>
      </c>
      <c r="C252" s="223">
        <f t="shared" si="22"/>
        <v>1883</v>
      </c>
      <c r="D252" s="494"/>
      <c r="E252" s="549"/>
    </row>
    <row r="253" spans="1:5" x14ac:dyDescent="0.3">
      <c r="A253" s="79" t="str">
        <f t="shared" si="20"/>
        <v>01/11/2021-30/11/2021</v>
      </c>
      <c r="B253" s="223">
        <f t="shared" si="21"/>
        <v>2429</v>
      </c>
      <c r="C253" s="223">
        <f t="shared" si="22"/>
        <v>1827</v>
      </c>
      <c r="D253" s="494"/>
      <c r="E253" s="549"/>
    </row>
    <row r="254" spans="1:5" x14ac:dyDescent="0.3">
      <c r="A254" s="79" t="str">
        <f t="shared" si="20"/>
        <v>01/12/2021-31/12/2021</v>
      </c>
      <c r="B254" s="223">
        <f t="shared" si="21"/>
        <v>2555</v>
      </c>
      <c r="C254" s="223">
        <f t="shared" si="22"/>
        <v>1885</v>
      </c>
      <c r="D254" s="494"/>
      <c r="E254" s="549"/>
    </row>
    <row r="255" spans="1:5" x14ac:dyDescent="0.3">
      <c r="A255" s="79" t="str">
        <f t="shared" si="20"/>
        <v>01/01/2022-31/01/2022</v>
      </c>
      <c r="B255" s="223">
        <f t="shared" si="21"/>
        <v>2501</v>
      </c>
      <c r="C255" s="223">
        <f t="shared" si="22"/>
        <v>1934</v>
      </c>
      <c r="D255" s="494"/>
      <c r="E255" s="549"/>
    </row>
    <row r="256" spans="1:5" x14ac:dyDescent="0.3">
      <c r="A256" s="79" t="str">
        <f t="shared" si="20"/>
        <v>01/02/2022-28/02/2022</v>
      </c>
      <c r="B256" s="223">
        <f t="shared" si="21"/>
        <v>2304</v>
      </c>
      <c r="C256" s="223">
        <f t="shared" si="22"/>
        <v>1712</v>
      </c>
      <c r="D256" s="494"/>
      <c r="E256" s="549"/>
    </row>
    <row r="257" spans="1:5" x14ac:dyDescent="0.3">
      <c r="A257" s="79" t="str">
        <f t="shared" si="20"/>
        <v>01/03/2022-31/03/2022</v>
      </c>
      <c r="B257" s="223">
        <f t="shared" si="21"/>
        <v>2568</v>
      </c>
      <c r="C257" s="223">
        <f t="shared" si="22"/>
        <v>1894</v>
      </c>
      <c r="D257" s="494"/>
      <c r="E257" s="549"/>
    </row>
    <row r="258" spans="1:5" x14ac:dyDescent="0.3">
      <c r="A258" s="87" t="str">
        <f>A203</f>
        <v>01/01/2021-31/12/2021</v>
      </c>
      <c r="B258" s="546">
        <f>SUM(B243:C254)</f>
        <v>49579</v>
      </c>
      <c r="C258" s="546"/>
      <c r="D258" s="494"/>
      <c r="E258" s="549"/>
    </row>
    <row r="259" spans="1:5" x14ac:dyDescent="0.3">
      <c r="A259" s="87" t="str">
        <f>A204</f>
        <v>01/01/2022-31/03/2022</v>
      </c>
      <c r="B259" s="546">
        <f>SUM(B255:C257)</f>
        <v>12913</v>
      </c>
      <c r="C259" s="546"/>
      <c r="D259" s="494"/>
      <c r="E259" s="549"/>
    </row>
    <row r="260" spans="1:5" ht="16" thickBot="1" x14ac:dyDescent="0.45">
      <c r="A260" s="108" t="s">
        <v>273</v>
      </c>
      <c r="B260" s="547">
        <f>B258+B259</f>
        <v>62492</v>
      </c>
      <c r="C260" s="547"/>
      <c r="D260" s="496"/>
      <c r="E260" s="550"/>
    </row>
    <row r="261" spans="1:5" x14ac:dyDescent="0.3">
      <c r="A261" s="61"/>
    </row>
    <row r="262" spans="1:5" ht="14" thickBot="1" x14ac:dyDescent="0.35">
      <c r="A262" s="61"/>
    </row>
    <row r="263" spans="1:5" x14ac:dyDescent="0.3">
      <c r="A263" s="96" t="s">
        <v>3</v>
      </c>
      <c r="B263" s="97" t="s">
        <v>18</v>
      </c>
      <c r="C263" s="97"/>
      <c r="D263" s="97" t="s">
        <v>2</v>
      </c>
      <c r="E263" s="202" t="s">
        <v>4</v>
      </c>
    </row>
    <row r="264" spans="1:5" ht="15.5" x14ac:dyDescent="0.4">
      <c r="A264" s="240" t="s">
        <v>265</v>
      </c>
      <c r="B264" s="23">
        <f>B220</f>
        <v>28</v>
      </c>
      <c r="C264" s="23">
        <f>C220</f>
        <v>28</v>
      </c>
      <c r="D264" s="23" t="s">
        <v>209</v>
      </c>
      <c r="E264" s="24" t="s">
        <v>124</v>
      </c>
    </row>
    <row r="265" spans="1:5" ht="14.5" x14ac:dyDescent="0.3">
      <c r="A265" s="240" t="s">
        <v>267</v>
      </c>
      <c r="B265" s="23">
        <f>'[3]Baseline Emission'!B13</f>
        <v>6.7000000000000002E-4</v>
      </c>
      <c r="C265" s="23">
        <f>'[3]Baseline Emission'!C13</f>
        <v>6.7000000000000002E-4</v>
      </c>
      <c r="D265" s="23" t="s">
        <v>219</v>
      </c>
      <c r="E265" s="24" t="s">
        <v>50</v>
      </c>
    </row>
    <row r="266" spans="1:5" x14ac:dyDescent="0.3">
      <c r="A266" s="241" t="s">
        <v>23</v>
      </c>
      <c r="B266" s="226">
        <v>1</v>
      </c>
      <c r="C266" s="226">
        <v>1</v>
      </c>
      <c r="D266" s="23" t="s">
        <v>91</v>
      </c>
      <c r="E266" s="24" t="s">
        <v>50</v>
      </c>
    </row>
    <row r="267" spans="1:5" ht="15.5" x14ac:dyDescent="0.3">
      <c r="A267" s="222" t="s">
        <v>274</v>
      </c>
      <c r="B267" s="143">
        <v>0.28999999999999998</v>
      </c>
      <c r="C267" s="226">
        <v>0.28999999999999998</v>
      </c>
      <c r="D267" s="23" t="s">
        <v>270</v>
      </c>
      <c r="E267" s="24" t="s">
        <v>7</v>
      </c>
    </row>
    <row r="268" spans="1:5" x14ac:dyDescent="0.3">
      <c r="A268" s="241" t="s">
        <v>275</v>
      </c>
      <c r="B268" s="225">
        <v>0.8</v>
      </c>
      <c r="C268" s="244">
        <v>0.8</v>
      </c>
      <c r="D268" s="23" t="s">
        <v>91</v>
      </c>
      <c r="E268" s="24" t="s">
        <v>355</v>
      </c>
    </row>
    <row r="269" spans="1:5" x14ac:dyDescent="0.3">
      <c r="A269" s="241" t="s">
        <v>275</v>
      </c>
      <c r="B269" s="225">
        <v>0.2</v>
      </c>
      <c r="C269" s="225">
        <v>0.2</v>
      </c>
      <c r="D269" s="226" t="s">
        <v>91</v>
      </c>
      <c r="E269" s="24" t="s">
        <v>358</v>
      </c>
    </row>
    <row r="270" spans="1:5" x14ac:dyDescent="0.3">
      <c r="A270" s="241" t="s">
        <v>40</v>
      </c>
      <c r="B270" s="225">
        <v>1</v>
      </c>
      <c r="C270" s="225">
        <v>1</v>
      </c>
      <c r="D270" s="226" t="s">
        <v>91</v>
      </c>
      <c r="E270" s="24"/>
    </row>
    <row r="271" spans="1:5" ht="15.5" x14ac:dyDescent="0.3">
      <c r="A271" s="241" t="s">
        <v>276</v>
      </c>
      <c r="B271" s="225"/>
      <c r="C271" s="225"/>
      <c r="D271" s="226"/>
      <c r="E271" s="24"/>
    </row>
    <row r="272" spans="1:5" ht="12.5" customHeight="1" x14ac:dyDescent="0.3">
      <c r="A272" s="79" t="str">
        <f t="shared" ref="A272:A288" si="23">A243</f>
        <v>20/01/2021-31/01/2021</v>
      </c>
      <c r="B272" s="223">
        <f t="shared" ref="B272:B286" si="24">ROUNDUP($B$264*$B$265*$B$266*(1-$B$268)*(1-$B$269)*$B$267*$B$270*B224*B24,0)</f>
        <v>1040</v>
      </c>
      <c r="C272" s="223">
        <f t="shared" ref="C272:C286" si="25">ROUNDUP($C$264*$C$265*$C$266*(1-$C$268)*(1-$C$269)*$C$267*$C$270*C224*C24,0)</f>
        <v>801</v>
      </c>
      <c r="D272" s="552" t="s">
        <v>357</v>
      </c>
      <c r="E272" s="544" t="s">
        <v>109</v>
      </c>
    </row>
    <row r="273" spans="1:5" ht="12.5" customHeight="1" x14ac:dyDescent="0.3">
      <c r="A273" s="79" t="str">
        <f t="shared" si="23"/>
        <v>01/02/1021-28/02/2021</v>
      </c>
      <c r="B273" s="223">
        <f t="shared" si="24"/>
        <v>2459</v>
      </c>
      <c r="C273" s="223">
        <f t="shared" si="25"/>
        <v>1809</v>
      </c>
      <c r="D273" s="552"/>
      <c r="E273" s="544"/>
    </row>
    <row r="274" spans="1:5" ht="12.5" customHeight="1" x14ac:dyDescent="0.3">
      <c r="A274" s="79" t="str">
        <f t="shared" si="23"/>
        <v>01/03/2021-31/03/3021</v>
      </c>
      <c r="B274" s="223">
        <f t="shared" si="24"/>
        <v>2749</v>
      </c>
      <c r="C274" s="223">
        <f t="shared" si="25"/>
        <v>2014</v>
      </c>
      <c r="D274" s="552"/>
      <c r="E274" s="544"/>
    </row>
    <row r="275" spans="1:5" ht="12.5" customHeight="1" x14ac:dyDescent="0.3">
      <c r="A275" s="79" t="str">
        <f t="shared" si="23"/>
        <v>01/04/2021-30/04/2021</v>
      </c>
      <c r="B275" s="223">
        <f t="shared" si="24"/>
        <v>2660</v>
      </c>
      <c r="C275" s="223">
        <f t="shared" si="25"/>
        <v>1963</v>
      </c>
      <c r="D275" s="552"/>
      <c r="E275" s="544"/>
    </row>
    <row r="276" spans="1:5" ht="12.5" customHeight="1" x14ac:dyDescent="0.3">
      <c r="A276" s="79" t="str">
        <f t="shared" si="23"/>
        <v>01/05/2021-31/05/2021</v>
      </c>
      <c r="B276" s="223">
        <f t="shared" si="24"/>
        <v>2709</v>
      </c>
      <c r="C276" s="223">
        <f t="shared" si="25"/>
        <v>2039</v>
      </c>
      <c r="D276" s="552"/>
      <c r="E276" s="544"/>
    </row>
    <row r="277" spans="1:5" ht="12.5" customHeight="1" x14ac:dyDescent="0.3">
      <c r="A277" s="79" t="str">
        <f t="shared" si="23"/>
        <v>01/06/2021-30/06/2021</v>
      </c>
      <c r="B277" s="223">
        <f t="shared" si="24"/>
        <v>2622</v>
      </c>
      <c r="C277" s="223">
        <f>ROUNDUP($C$264*$C$265*$C$266*(1-$C$268)*(1-$C$269)*$C$267*$C$270*C229*C29,0)</f>
        <v>1954</v>
      </c>
      <c r="D277" s="552"/>
      <c r="E277" s="544"/>
    </row>
    <row r="278" spans="1:5" ht="12.5" customHeight="1" x14ac:dyDescent="0.3">
      <c r="A278" s="79" t="str">
        <f t="shared" si="23"/>
        <v>01/07/2021-31/07/2021</v>
      </c>
      <c r="B278" s="223">
        <f t="shared" si="24"/>
        <v>2709</v>
      </c>
      <c r="C278" s="223">
        <f t="shared" si="25"/>
        <v>2025</v>
      </c>
      <c r="D278" s="552"/>
      <c r="E278" s="544"/>
    </row>
    <row r="279" spans="1:5" ht="12.5" customHeight="1" x14ac:dyDescent="0.3">
      <c r="A279" s="79" t="str">
        <f t="shared" si="23"/>
        <v>01/08/2021-31/08/2021</v>
      </c>
      <c r="B279" s="223">
        <f t="shared" si="24"/>
        <v>2744</v>
      </c>
      <c r="C279" s="223">
        <f t="shared" si="25"/>
        <v>2025</v>
      </c>
      <c r="D279" s="552"/>
      <c r="E279" s="544"/>
    </row>
    <row r="280" spans="1:5" ht="12.5" customHeight="1" x14ac:dyDescent="0.3">
      <c r="A280" s="79" t="str">
        <f t="shared" si="23"/>
        <v>01/09/2021-30/09/2021</v>
      </c>
      <c r="B280" s="223">
        <f t="shared" si="24"/>
        <v>2634</v>
      </c>
      <c r="C280" s="223">
        <f t="shared" si="25"/>
        <v>1949</v>
      </c>
      <c r="D280" s="552"/>
      <c r="E280" s="544"/>
    </row>
    <row r="281" spans="1:5" ht="12.5" customHeight="1" x14ac:dyDescent="0.3">
      <c r="A281" s="79" t="str">
        <f t="shared" si="23"/>
        <v>01/10/2021-31/10/2021</v>
      </c>
      <c r="B281" s="223">
        <f t="shared" si="24"/>
        <v>2713</v>
      </c>
      <c r="C281" s="223">
        <f t="shared" si="25"/>
        <v>2010</v>
      </c>
      <c r="D281" s="552"/>
      <c r="E281" s="544"/>
    </row>
    <row r="282" spans="1:5" ht="12.5" customHeight="1" x14ac:dyDescent="0.3">
      <c r="A282" s="79" t="str">
        <f t="shared" si="23"/>
        <v>01/11/2021-30/11/2021</v>
      </c>
      <c r="B282" s="223">
        <f t="shared" si="24"/>
        <v>2592</v>
      </c>
      <c r="C282" s="223">
        <f t="shared" si="25"/>
        <v>1950</v>
      </c>
      <c r="D282" s="552"/>
      <c r="E282" s="544"/>
    </row>
    <row r="283" spans="1:5" ht="12.5" customHeight="1" x14ac:dyDescent="0.3">
      <c r="A283" s="79" t="str">
        <f t="shared" si="23"/>
        <v>01/12/2021-31/12/2021</v>
      </c>
      <c r="B283" s="223">
        <f t="shared" si="24"/>
        <v>2727</v>
      </c>
      <c r="C283" s="223">
        <f t="shared" si="25"/>
        <v>2012</v>
      </c>
      <c r="D283" s="552"/>
      <c r="E283" s="544"/>
    </row>
    <row r="284" spans="1:5" ht="12.5" customHeight="1" x14ac:dyDescent="0.3">
      <c r="A284" s="79" t="str">
        <f t="shared" si="23"/>
        <v>01/01/2022-31/01/2022</v>
      </c>
      <c r="B284" s="223">
        <f t="shared" si="24"/>
        <v>2669</v>
      </c>
      <c r="C284" s="223">
        <f t="shared" si="25"/>
        <v>2064</v>
      </c>
      <c r="D284" s="552"/>
      <c r="E284" s="544"/>
    </row>
    <row r="285" spans="1:5" ht="12.5" customHeight="1" x14ac:dyDescent="0.3">
      <c r="A285" s="79" t="str">
        <f t="shared" si="23"/>
        <v>01/02/2022-28/02/2022</v>
      </c>
      <c r="B285" s="223">
        <f t="shared" si="24"/>
        <v>2459</v>
      </c>
      <c r="C285" s="223">
        <f t="shared" si="25"/>
        <v>1828</v>
      </c>
      <c r="D285" s="552"/>
      <c r="E285" s="544"/>
    </row>
    <row r="286" spans="1:5" ht="12.5" customHeight="1" x14ac:dyDescent="0.3">
      <c r="A286" s="79" t="str">
        <f t="shared" si="23"/>
        <v>01/03/2022-31/03/2022</v>
      </c>
      <c r="B286" s="223">
        <f t="shared" si="24"/>
        <v>2740</v>
      </c>
      <c r="C286" s="223">
        <f t="shared" si="25"/>
        <v>2021</v>
      </c>
      <c r="D286" s="552"/>
      <c r="E286" s="544"/>
    </row>
    <row r="287" spans="1:5" ht="12.5" customHeight="1" x14ac:dyDescent="0.3">
      <c r="A287" s="87" t="str">
        <f t="shared" si="23"/>
        <v>01/01/2021-31/12/2021</v>
      </c>
      <c r="B287" s="546">
        <f>SUM(B272:C283)</f>
        <v>52909</v>
      </c>
      <c r="C287" s="546"/>
      <c r="D287" s="552"/>
      <c r="E287" s="544"/>
    </row>
    <row r="288" spans="1:5" ht="12.5" customHeight="1" x14ac:dyDescent="0.3">
      <c r="A288" s="87" t="str">
        <f t="shared" si="23"/>
        <v>01/01/2022-31/03/2022</v>
      </c>
      <c r="B288" s="546">
        <f>SUM(B284:C286)</f>
        <v>13781</v>
      </c>
      <c r="C288" s="546"/>
      <c r="D288" s="552"/>
      <c r="E288" s="544"/>
    </row>
    <row r="289" spans="1:6" ht="16" thickBot="1" x14ac:dyDescent="0.45">
      <c r="A289" s="108" t="s">
        <v>277</v>
      </c>
      <c r="B289" s="547">
        <f>B287+B288</f>
        <v>66690</v>
      </c>
      <c r="C289" s="547"/>
      <c r="D289" s="553"/>
      <c r="E289" s="545"/>
    </row>
    <row r="290" spans="1:6" x14ac:dyDescent="0.3">
      <c r="A290" s="61"/>
    </row>
    <row r="291" spans="1:6" ht="14" thickBot="1" x14ac:dyDescent="0.35"/>
    <row r="292" spans="1:6" ht="15.5" x14ac:dyDescent="0.4">
      <c r="A292" s="245" t="s">
        <v>273</v>
      </c>
      <c r="B292" s="435">
        <f>B293+B294</f>
        <v>62492</v>
      </c>
      <c r="C292" s="420" t="s">
        <v>370</v>
      </c>
      <c r="D292" s="56"/>
    </row>
    <row r="293" spans="1:6" ht="15.5" x14ac:dyDescent="0.4">
      <c r="A293" s="132" t="str">
        <f>A287</f>
        <v>01/01/2021-31/12/2021</v>
      </c>
      <c r="B293" s="413">
        <f>B258</f>
        <v>49579</v>
      </c>
      <c r="C293" s="422" t="s">
        <v>370</v>
      </c>
      <c r="D293" s="56"/>
    </row>
    <row r="294" spans="1:6" ht="15.5" x14ac:dyDescent="0.4">
      <c r="A294" s="132" t="str">
        <f>A288</f>
        <v>01/01/2022-31/03/2022</v>
      </c>
      <c r="B294" s="413">
        <f>B259</f>
        <v>12913</v>
      </c>
      <c r="C294" s="422" t="s">
        <v>370</v>
      </c>
      <c r="D294" s="56"/>
    </row>
    <row r="295" spans="1:6" ht="15.5" x14ac:dyDescent="0.4">
      <c r="A295" s="106" t="s">
        <v>278</v>
      </c>
      <c r="B295" s="413">
        <f>B296+B297</f>
        <v>66690</v>
      </c>
      <c r="C295" s="422" t="s">
        <v>370</v>
      </c>
      <c r="D295" s="56"/>
      <c r="F295" s="49"/>
    </row>
    <row r="296" spans="1:6" ht="15.5" x14ac:dyDescent="0.4">
      <c r="A296" s="132" t="str">
        <f>A293</f>
        <v>01/01/2021-31/12/2021</v>
      </c>
      <c r="B296" s="413">
        <f>B287</f>
        <v>52909</v>
      </c>
      <c r="C296" s="422" t="s">
        <v>370</v>
      </c>
      <c r="D296" s="56"/>
      <c r="F296" s="49"/>
    </row>
    <row r="297" spans="1:6" ht="15.5" x14ac:dyDescent="0.4">
      <c r="A297" s="132" t="str">
        <f>A294</f>
        <v>01/01/2022-31/03/2022</v>
      </c>
      <c r="B297" s="413">
        <f>B288</f>
        <v>13781</v>
      </c>
      <c r="C297" s="422" t="s">
        <v>370</v>
      </c>
      <c r="D297" s="56"/>
      <c r="F297" s="49"/>
    </row>
    <row r="298" spans="1:6" ht="15.5" x14ac:dyDescent="0.4">
      <c r="A298" s="106" t="s">
        <v>258</v>
      </c>
      <c r="B298" s="413">
        <f>B299+B300</f>
        <v>2898</v>
      </c>
      <c r="C298" s="422" t="s">
        <v>370</v>
      </c>
      <c r="D298" s="56"/>
      <c r="E298" s="246"/>
    </row>
    <row r="299" spans="1:6" ht="15.5" x14ac:dyDescent="0.4">
      <c r="A299" s="132" t="str">
        <f>A293</f>
        <v>01/01/2021-31/12/2021</v>
      </c>
      <c r="B299" s="413">
        <f>B119</f>
        <v>2300</v>
      </c>
      <c r="C299" s="422" t="s">
        <v>370</v>
      </c>
      <c r="D299" s="56"/>
      <c r="E299" s="246"/>
    </row>
    <row r="300" spans="1:6" ht="15.5" x14ac:dyDescent="0.4">
      <c r="A300" s="132" t="str">
        <f>A294</f>
        <v>01/01/2022-31/03/2022</v>
      </c>
      <c r="B300" s="413">
        <f>B120</f>
        <v>598</v>
      </c>
      <c r="C300" s="422" t="s">
        <v>370</v>
      </c>
      <c r="D300" s="56"/>
      <c r="E300" s="246"/>
    </row>
    <row r="301" spans="1:6" ht="15.5" x14ac:dyDescent="0.4">
      <c r="A301" s="106" t="s">
        <v>264</v>
      </c>
      <c r="B301" s="413">
        <f>B302+B303</f>
        <v>10395</v>
      </c>
      <c r="C301" s="422" t="s">
        <v>370</v>
      </c>
    </row>
    <row r="302" spans="1:6" ht="15.5" x14ac:dyDescent="0.4">
      <c r="A302" s="132" t="str">
        <f>A299</f>
        <v>01/01/2021-31/12/2021</v>
      </c>
      <c r="B302" s="413">
        <f>B203</f>
        <v>8249</v>
      </c>
      <c r="C302" s="422" t="s">
        <v>370</v>
      </c>
    </row>
    <row r="303" spans="1:6" ht="16" thickBot="1" x14ac:dyDescent="0.45">
      <c r="A303" s="434" t="str">
        <f>A300</f>
        <v>01/01/2022-31/03/2022</v>
      </c>
      <c r="B303" s="436">
        <f>B204</f>
        <v>2146</v>
      </c>
      <c r="C303" s="424" t="s">
        <v>370</v>
      </c>
    </row>
    <row r="304" spans="1:6" x14ac:dyDescent="0.3">
      <c r="A304" s="247"/>
      <c r="B304" s="248"/>
      <c r="C304" s="249"/>
    </row>
    <row r="305" spans="1:5" x14ac:dyDescent="0.3">
      <c r="A305" s="247"/>
      <c r="B305" s="248"/>
      <c r="C305" s="249"/>
    </row>
    <row r="306" spans="1:5" s="2" customFormat="1" x14ac:dyDescent="0.3">
      <c r="A306" s="247"/>
      <c r="B306" s="248"/>
      <c r="C306" s="249"/>
    </row>
    <row r="307" spans="1:5" s="2" customFormat="1" x14ac:dyDescent="0.3">
      <c r="A307" s="247"/>
      <c r="B307" s="248"/>
      <c r="C307" s="249"/>
    </row>
    <row r="308" spans="1:5" s="2" customFormat="1" ht="14" thickBot="1" x14ac:dyDescent="0.35">
      <c r="B308" s="249"/>
      <c r="C308" s="249"/>
    </row>
    <row r="309" spans="1:5" ht="15.5" x14ac:dyDescent="0.4">
      <c r="A309" s="245" t="s">
        <v>111</v>
      </c>
      <c r="B309" s="437">
        <f>B310+B311</f>
        <v>11695</v>
      </c>
      <c r="C309" s="420" t="s">
        <v>370</v>
      </c>
    </row>
    <row r="310" spans="1:5" ht="15.5" x14ac:dyDescent="0.4">
      <c r="A310" s="132" t="str">
        <f t="shared" ref="A310:A311" si="26">A302</f>
        <v>01/01/2021-31/12/2021</v>
      </c>
      <c r="B310" s="438">
        <f>B302-B299+B296-B293</f>
        <v>9279</v>
      </c>
      <c r="C310" s="422" t="s">
        <v>370</v>
      </c>
    </row>
    <row r="311" spans="1:5" ht="16" thickBot="1" x14ac:dyDescent="0.45">
      <c r="A311" s="434" t="str">
        <f t="shared" si="26"/>
        <v>01/01/2022-31/03/2022</v>
      </c>
      <c r="B311" s="439">
        <f>B303-B300+B297-B294</f>
        <v>2416</v>
      </c>
      <c r="C311" s="424" t="s">
        <v>370</v>
      </c>
    </row>
    <row r="312" spans="1:5" x14ac:dyDescent="0.3">
      <c r="A312" s="61"/>
      <c r="B312" s="250"/>
    </row>
    <row r="313" spans="1:5" x14ac:dyDescent="0.3">
      <c r="A313" s="61"/>
      <c r="B313" s="250"/>
    </row>
    <row r="314" spans="1:5" x14ac:dyDescent="0.3">
      <c r="A314" s="61"/>
      <c r="B314" s="250"/>
    </row>
    <row r="315" spans="1:5" x14ac:dyDescent="0.3">
      <c r="C315" s="128"/>
    </row>
    <row r="320" spans="1:5" x14ac:dyDescent="0.3">
      <c r="A320" s="134" t="s">
        <v>279</v>
      </c>
      <c r="B320" s="251"/>
      <c r="C320" s="251"/>
      <c r="D320" s="193"/>
      <c r="E320" s="193"/>
    </row>
    <row r="321" spans="1:5" x14ac:dyDescent="0.3">
      <c r="A321" s="212" t="s">
        <v>3</v>
      </c>
      <c r="B321" s="212" t="s">
        <v>18</v>
      </c>
      <c r="C321" s="212"/>
      <c r="D321" s="212" t="s">
        <v>2</v>
      </c>
      <c r="E321" s="212" t="s">
        <v>4</v>
      </c>
    </row>
    <row r="322" spans="1:5" x14ac:dyDescent="0.3">
      <c r="A322" s="212"/>
      <c r="B322" s="212" t="str">
        <f>'[3]Baseline Emission'!B10</f>
        <v>Market Swine</v>
      </c>
      <c r="C322" s="212" t="str">
        <f>'[3]Baseline Emission'!C10</f>
        <v>Breeding Swine</v>
      </c>
      <c r="D322" s="212"/>
      <c r="E322" s="212"/>
    </row>
    <row r="323" spans="1:5" x14ac:dyDescent="0.3">
      <c r="A323" s="252" t="s">
        <v>280</v>
      </c>
      <c r="B323" s="253">
        <v>0.01</v>
      </c>
      <c r="C323" s="254">
        <v>0.02</v>
      </c>
      <c r="D323" s="251" t="s">
        <v>15</v>
      </c>
      <c r="E323" s="255" t="s">
        <v>7</v>
      </c>
    </row>
    <row r="324" spans="1:5" ht="15.5" x14ac:dyDescent="0.3">
      <c r="A324" s="252" t="s">
        <v>281</v>
      </c>
      <c r="B324" s="256"/>
      <c r="C324" s="256"/>
      <c r="D324" s="251" t="s">
        <v>16</v>
      </c>
      <c r="E324" s="193" t="s">
        <v>26</v>
      </c>
    </row>
    <row r="325" spans="1:5" x14ac:dyDescent="0.3">
      <c r="A325" s="257" t="s">
        <v>23</v>
      </c>
      <c r="B325" s="256"/>
      <c r="C325" s="256"/>
      <c r="D325" s="251"/>
      <c r="E325" s="193" t="s">
        <v>7</v>
      </c>
    </row>
    <row r="326" spans="1:5" x14ac:dyDescent="0.3">
      <c r="A326" s="257" t="s">
        <v>282</v>
      </c>
      <c r="B326" s="258"/>
      <c r="C326" s="254"/>
      <c r="D326" s="251" t="s">
        <v>17</v>
      </c>
      <c r="E326" s="193" t="s">
        <v>7</v>
      </c>
    </row>
    <row r="327" spans="1:5" x14ac:dyDescent="0.3">
      <c r="A327" s="257" t="s">
        <v>24</v>
      </c>
      <c r="B327" s="259"/>
      <c r="C327" s="259"/>
      <c r="D327" s="251"/>
      <c r="E327" s="193" t="s">
        <v>30</v>
      </c>
    </row>
    <row r="328" spans="1:5" x14ac:dyDescent="0.3">
      <c r="A328" s="260" t="s">
        <v>20</v>
      </c>
      <c r="B328" s="261"/>
      <c r="C328" s="261"/>
      <c r="D328" s="134"/>
      <c r="E328" s="134" t="s">
        <v>28</v>
      </c>
    </row>
    <row r="329" spans="1:5" x14ac:dyDescent="0.3">
      <c r="A329" s="134" t="s">
        <v>25</v>
      </c>
      <c r="B329" s="262"/>
      <c r="C329" s="212"/>
      <c r="D329" s="134"/>
      <c r="E329" s="134"/>
    </row>
  </sheetData>
  <mergeCells count="51">
    <mergeCell ref="B78:C78"/>
    <mergeCell ref="B79:C79"/>
    <mergeCell ref="B80:C80"/>
    <mergeCell ref="B119:C119"/>
    <mergeCell ref="D81:D99"/>
    <mergeCell ref="D23:D38"/>
    <mergeCell ref="E23:E38"/>
    <mergeCell ref="D39:D54"/>
    <mergeCell ref="E39:E54"/>
    <mergeCell ref="D62:D80"/>
    <mergeCell ref="E62:E80"/>
    <mergeCell ref="E81:E99"/>
    <mergeCell ref="B97:C97"/>
    <mergeCell ref="B98:C98"/>
    <mergeCell ref="B99:C99"/>
    <mergeCell ref="D119:D121"/>
    <mergeCell ref="E119:E121"/>
    <mergeCell ref="B120:C120"/>
    <mergeCell ref="B121:C121"/>
    <mergeCell ref="D100:D118"/>
    <mergeCell ref="E100:E118"/>
    <mergeCell ref="B116:C116"/>
    <mergeCell ref="B117:C117"/>
    <mergeCell ref="B118:C118"/>
    <mergeCell ref="E146:E205"/>
    <mergeCell ref="B162:C162"/>
    <mergeCell ref="B163:C163"/>
    <mergeCell ref="B181:C181"/>
    <mergeCell ref="B182:C182"/>
    <mergeCell ref="B204:C204"/>
    <mergeCell ref="B205:C205"/>
    <mergeCell ref="B203:C203"/>
    <mergeCell ref="D146:D202"/>
    <mergeCell ref="D203:D205"/>
    <mergeCell ref="B202:C202"/>
    <mergeCell ref="B200:C200"/>
    <mergeCell ref="B201:C201"/>
    <mergeCell ref="B183:C183"/>
    <mergeCell ref="B164:C164"/>
    <mergeCell ref="E272:E289"/>
    <mergeCell ref="B287:C287"/>
    <mergeCell ref="B288:C288"/>
    <mergeCell ref="B289:C289"/>
    <mergeCell ref="E223:E238"/>
    <mergeCell ref="D243:D260"/>
    <mergeCell ref="E243:E260"/>
    <mergeCell ref="B258:C258"/>
    <mergeCell ref="B259:C259"/>
    <mergeCell ref="B260:C260"/>
    <mergeCell ref="D223:D238"/>
    <mergeCell ref="D272:D289"/>
  </mergeCells>
  <phoneticPr fontId="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73A2-5D64-4EB5-9408-BDABC9AF8E7C}">
  <dimension ref="A1:CG59"/>
  <sheetViews>
    <sheetView zoomScale="70" zoomScaleNormal="70" workbookViewId="0">
      <pane xSplit="1" ySplit="3" topLeftCell="B38" activePane="bottomRight" state="frozenSplit"/>
      <selection pane="topRight" activeCell="G1" sqref="G1"/>
      <selection pane="bottomLeft" activeCell="A7" sqref="A7"/>
      <selection pane="bottomRight" activeCell="H37" sqref="H37"/>
    </sheetView>
  </sheetViews>
  <sheetFormatPr defaultColWidth="8.54296875" defaultRowHeight="13.5" x14ac:dyDescent="0.25"/>
  <cols>
    <col min="1" max="1" width="29.1796875" style="270" bestFit="1" customWidth="1"/>
    <col min="2" max="2" width="23.08984375" style="270" customWidth="1"/>
    <col min="3" max="3" width="24.7265625" style="270" bestFit="1" customWidth="1"/>
    <col min="4" max="5" width="21.54296875" style="270" bestFit="1" customWidth="1"/>
    <col min="6" max="6" width="10.36328125" style="270" bestFit="1" customWidth="1"/>
    <col min="7" max="7" width="17.08984375" style="270" customWidth="1"/>
    <col min="8" max="8" width="9.81640625" style="270" customWidth="1"/>
    <col min="9" max="9" width="11" style="270" bestFit="1" customWidth="1"/>
    <col min="10" max="10" width="9.81640625" style="270" customWidth="1"/>
    <col min="11" max="11" width="18.453125" style="270" customWidth="1"/>
    <col min="12" max="12" width="9" style="270" customWidth="1"/>
    <col min="13" max="13" width="12.1796875" style="270" bestFit="1" customWidth="1"/>
    <col min="14" max="14" width="6.1796875" style="270" bestFit="1" customWidth="1"/>
    <col min="15" max="15" width="10" style="270" bestFit="1" customWidth="1"/>
    <col min="16" max="16" width="12.453125" style="270" customWidth="1"/>
    <col min="17" max="17" width="12.1796875" style="270" customWidth="1"/>
    <col min="18" max="18" width="11.453125" style="270" customWidth="1"/>
    <col min="19" max="19" width="10.453125" style="270" customWidth="1"/>
    <col min="20" max="20" width="14.6328125" style="270" customWidth="1"/>
    <col min="21" max="21" width="11.453125" style="270" customWidth="1"/>
    <col min="22" max="22" width="9.453125" style="270" customWidth="1"/>
    <col min="23" max="23" width="5.453125" style="270" customWidth="1"/>
    <col min="24" max="24" width="10.36328125" style="270" bestFit="1" customWidth="1"/>
    <col min="25" max="25" width="10" style="270" bestFit="1" customWidth="1"/>
    <col min="26" max="26" width="12.1796875" style="270" bestFit="1" customWidth="1"/>
    <col min="27" max="27" width="8.1796875" style="270" customWidth="1"/>
    <col min="28" max="28" width="11.1796875" style="270" customWidth="1"/>
    <col min="29" max="29" width="15" style="270" customWidth="1"/>
    <col min="30" max="30" width="11.453125" style="270" customWidth="1"/>
    <col min="31" max="31" width="14.453125" style="270" customWidth="1"/>
    <col min="32" max="32" width="4.54296875" style="270" customWidth="1"/>
    <col min="33" max="33" width="10.1796875" style="270" bestFit="1" customWidth="1"/>
    <col min="34" max="34" width="15.90625" style="270" bestFit="1" customWidth="1"/>
    <col min="35" max="35" width="9.54296875" style="270" customWidth="1"/>
    <col min="36" max="36" width="10.54296875" style="270" customWidth="1"/>
    <col min="37" max="37" width="10.1796875" style="270" bestFit="1" customWidth="1"/>
    <col min="38" max="38" width="15" style="270" customWidth="1"/>
    <col min="39" max="39" width="12.08984375" style="270" customWidth="1"/>
    <col min="40" max="40" width="12" style="270" customWidth="1"/>
    <col min="41" max="41" width="4.54296875" style="270" customWidth="1"/>
    <col min="42" max="42" width="8.7265625" style="270" customWidth="1"/>
    <col min="43" max="43" width="9.81640625" style="270" customWidth="1"/>
    <col min="44" max="44" width="11.453125" style="270" customWidth="1"/>
    <col min="45" max="45" width="9.453125" style="270" customWidth="1"/>
    <col min="46" max="46" width="10.1796875" style="270" customWidth="1"/>
    <col min="47" max="47" width="13.453125" style="270" customWidth="1"/>
    <col min="48" max="48" width="9.453125" style="270" customWidth="1"/>
    <col min="49" max="49" width="10.1796875" style="270" customWidth="1"/>
    <col min="50" max="50" width="4.54296875" style="270" customWidth="1"/>
    <col min="51" max="51" width="7.81640625" style="270" customWidth="1"/>
    <col min="52" max="52" width="9.1796875" style="270" customWidth="1"/>
    <col min="53" max="53" width="10.54296875" style="270" customWidth="1"/>
    <col min="54" max="54" width="9.81640625" style="270" customWidth="1"/>
    <col min="55" max="55" width="10.1796875" style="270" customWidth="1"/>
    <col min="56" max="56" width="19.26953125" style="270" customWidth="1"/>
    <col min="57" max="57" width="11.453125" style="270" customWidth="1"/>
    <col min="58" max="58" width="14.453125" style="270" customWidth="1"/>
    <col min="59" max="59" width="4.81640625" style="270" customWidth="1"/>
    <col min="60" max="61" width="9.453125" style="270" customWidth="1"/>
    <col min="62" max="62" width="10.453125" style="270" customWidth="1"/>
    <col min="63" max="63" width="9.1796875" style="270" customWidth="1"/>
    <col min="64" max="64" width="11.453125" style="270" customWidth="1"/>
    <col min="65" max="65" width="19" style="270" customWidth="1"/>
    <col min="66" max="66" width="8.26953125" style="270" bestFit="1" customWidth="1"/>
    <col min="67" max="67" width="15.90625" style="270" bestFit="1" customWidth="1"/>
    <col min="68" max="68" width="4.36328125" style="270" bestFit="1" customWidth="1"/>
    <col min="69" max="69" width="8.90625" style="270" bestFit="1" customWidth="1"/>
    <col min="70" max="70" width="15.90625" style="270" bestFit="1" customWidth="1"/>
    <col min="71" max="71" width="19" style="270" customWidth="1"/>
    <col min="72" max="72" width="9.81640625" style="270" bestFit="1" customWidth="1"/>
    <col min="73" max="73" width="10.1796875" style="270" bestFit="1" customWidth="1"/>
    <col min="74" max="74" width="22.26953125" style="270" bestFit="1" customWidth="1"/>
    <col min="75" max="75" width="8.26953125" style="270" bestFit="1" customWidth="1"/>
    <col min="76" max="76" width="15.90625" style="270" customWidth="1"/>
    <col min="77" max="77" width="4.36328125" style="270" bestFit="1" customWidth="1"/>
    <col min="78" max="78" width="7.7265625" style="270" bestFit="1" customWidth="1"/>
    <col min="79" max="79" width="15.90625" style="270" bestFit="1" customWidth="1"/>
    <col min="80" max="80" width="17.36328125" style="270" bestFit="1" customWidth="1"/>
    <col min="81" max="81" width="9.81640625" style="270" bestFit="1" customWidth="1"/>
    <col min="82" max="82" width="10.1796875" style="270" bestFit="1" customWidth="1"/>
    <col min="83" max="83" width="22.26953125" style="270" bestFit="1" customWidth="1"/>
    <col min="84" max="85" width="16.7265625" style="270" bestFit="1" customWidth="1"/>
    <col min="86" max="16384" width="8.54296875" style="270"/>
  </cols>
  <sheetData>
    <row r="1" spans="1:85" ht="17.5" x14ac:dyDescent="0.25">
      <c r="A1" s="568" t="s">
        <v>77</v>
      </c>
      <c r="B1" s="568"/>
      <c r="C1" s="568"/>
      <c r="D1" s="568"/>
      <c r="E1" s="568"/>
      <c r="F1" s="568"/>
      <c r="G1" s="268"/>
      <c r="H1" s="268"/>
      <c r="I1" s="268"/>
      <c r="J1" s="268"/>
      <c r="K1" s="268"/>
      <c r="L1" s="268"/>
      <c r="M1" s="268"/>
      <c r="N1" s="269"/>
      <c r="O1" s="269"/>
      <c r="P1" s="269"/>
      <c r="Q1" s="269"/>
      <c r="R1" s="269"/>
      <c r="S1" s="269"/>
      <c r="T1" s="269"/>
    </row>
    <row r="2" spans="1:85" ht="31.5" customHeight="1" x14ac:dyDescent="0.25">
      <c r="A2" s="583" t="s">
        <v>133</v>
      </c>
      <c r="B2" s="271" t="s">
        <v>78</v>
      </c>
      <c r="C2" s="578" t="s">
        <v>316</v>
      </c>
      <c r="D2" s="579"/>
      <c r="E2" s="579"/>
      <c r="F2" s="579"/>
      <c r="G2" s="579"/>
      <c r="H2" s="579"/>
      <c r="I2" s="579"/>
      <c r="J2" s="579"/>
      <c r="K2" s="580"/>
      <c r="L2" s="575" t="s">
        <v>326</v>
      </c>
      <c r="M2" s="576"/>
      <c r="N2" s="576"/>
      <c r="O2" s="576"/>
      <c r="P2" s="576"/>
      <c r="Q2" s="576"/>
      <c r="R2" s="576"/>
      <c r="S2" s="576"/>
      <c r="T2" s="577"/>
      <c r="U2" s="578" t="s">
        <v>327</v>
      </c>
      <c r="V2" s="579"/>
      <c r="W2" s="579"/>
      <c r="X2" s="579"/>
      <c r="Y2" s="579"/>
      <c r="Z2" s="579"/>
      <c r="AA2" s="579"/>
      <c r="AB2" s="579"/>
      <c r="AC2" s="580"/>
      <c r="AD2" s="575" t="s">
        <v>328</v>
      </c>
      <c r="AE2" s="576"/>
      <c r="AF2" s="576"/>
      <c r="AG2" s="576"/>
      <c r="AH2" s="576"/>
      <c r="AI2" s="576"/>
      <c r="AJ2" s="576"/>
      <c r="AK2" s="576"/>
      <c r="AL2" s="577"/>
      <c r="AM2" s="578" t="s">
        <v>329</v>
      </c>
      <c r="AN2" s="579"/>
      <c r="AO2" s="579"/>
      <c r="AP2" s="579"/>
      <c r="AQ2" s="579"/>
      <c r="AR2" s="579"/>
      <c r="AS2" s="579"/>
      <c r="AT2" s="579"/>
      <c r="AU2" s="580"/>
      <c r="AV2" s="575" t="s">
        <v>330</v>
      </c>
      <c r="AW2" s="576"/>
      <c r="AX2" s="576"/>
      <c r="AY2" s="576"/>
      <c r="AZ2" s="576"/>
      <c r="BA2" s="576"/>
      <c r="BB2" s="576"/>
      <c r="BC2" s="576"/>
      <c r="BD2" s="577"/>
      <c r="BE2" s="578" t="s">
        <v>331</v>
      </c>
      <c r="BF2" s="579"/>
      <c r="BG2" s="579"/>
      <c r="BH2" s="579"/>
      <c r="BI2" s="579"/>
      <c r="BJ2" s="579"/>
      <c r="BK2" s="579"/>
      <c r="BL2" s="579"/>
      <c r="BM2" s="580"/>
      <c r="BN2" s="575" t="s">
        <v>332</v>
      </c>
      <c r="BO2" s="576"/>
      <c r="BP2" s="576"/>
      <c r="BQ2" s="576"/>
      <c r="BR2" s="576"/>
      <c r="BS2" s="576"/>
      <c r="BT2" s="576"/>
      <c r="BU2" s="576"/>
      <c r="BV2" s="577"/>
      <c r="BW2" s="578" t="s">
        <v>333</v>
      </c>
      <c r="BX2" s="579"/>
      <c r="BY2" s="579"/>
      <c r="BZ2" s="579"/>
      <c r="CA2" s="579"/>
      <c r="CB2" s="579"/>
      <c r="CC2" s="579"/>
      <c r="CD2" s="579"/>
      <c r="CE2" s="580"/>
      <c r="CF2" s="581" t="s">
        <v>292</v>
      </c>
      <c r="CG2" s="573" t="s">
        <v>293</v>
      </c>
    </row>
    <row r="3" spans="1:85" ht="30.75" customHeight="1" x14ac:dyDescent="0.25">
      <c r="A3" s="584"/>
      <c r="B3" s="272" t="s">
        <v>79</v>
      </c>
      <c r="C3" s="273" t="s">
        <v>294</v>
      </c>
      <c r="D3" s="274" t="s">
        <v>295</v>
      </c>
      <c r="E3" s="274" t="s">
        <v>296</v>
      </c>
      <c r="F3" s="274" t="s">
        <v>297</v>
      </c>
      <c r="G3" s="274" t="s">
        <v>298</v>
      </c>
      <c r="H3" s="274" t="s">
        <v>299</v>
      </c>
      <c r="I3" s="274" t="s">
        <v>300</v>
      </c>
      <c r="J3" s="274" t="s">
        <v>301</v>
      </c>
      <c r="K3" s="274"/>
      <c r="L3" s="275" t="s">
        <v>294</v>
      </c>
      <c r="M3" s="276" t="s">
        <v>295</v>
      </c>
      <c r="N3" s="276" t="s">
        <v>296</v>
      </c>
      <c r="O3" s="276" t="s">
        <v>297</v>
      </c>
      <c r="P3" s="276" t="s">
        <v>298</v>
      </c>
      <c r="Q3" s="276" t="s">
        <v>299</v>
      </c>
      <c r="R3" s="276" t="s">
        <v>300</v>
      </c>
      <c r="S3" s="276" t="s">
        <v>301</v>
      </c>
      <c r="T3" s="276"/>
      <c r="U3" s="273" t="s">
        <v>294</v>
      </c>
      <c r="V3" s="274" t="s">
        <v>295</v>
      </c>
      <c r="W3" s="274" t="s">
        <v>296</v>
      </c>
      <c r="X3" s="274" t="s">
        <v>297</v>
      </c>
      <c r="Y3" s="274" t="s">
        <v>298</v>
      </c>
      <c r="Z3" s="274" t="s">
        <v>299</v>
      </c>
      <c r="AA3" s="274" t="s">
        <v>300</v>
      </c>
      <c r="AB3" s="274" t="s">
        <v>301</v>
      </c>
      <c r="AC3" s="274"/>
      <c r="AD3" s="275" t="s">
        <v>294</v>
      </c>
      <c r="AE3" s="276" t="s">
        <v>295</v>
      </c>
      <c r="AF3" s="276" t="s">
        <v>296</v>
      </c>
      <c r="AG3" s="276" t="s">
        <v>297</v>
      </c>
      <c r="AH3" s="276" t="s">
        <v>298</v>
      </c>
      <c r="AI3" s="276" t="s">
        <v>299</v>
      </c>
      <c r="AJ3" s="276" t="s">
        <v>300</v>
      </c>
      <c r="AK3" s="276" t="s">
        <v>301</v>
      </c>
      <c r="AL3" s="276"/>
      <c r="AM3" s="273" t="s">
        <v>294</v>
      </c>
      <c r="AN3" s="274" t="s">
        <v>295</v>
      </c>
      <c r="AO3" s="274" t="s">
        <v>296</v>
      </c>
      <c r="AP3" s="274" t="s">
        <v>297</v>
      </c>
      <c r="AQ3" s="274" t="s">
        <v>298</v>
      </c>
      <c r="AR3" s="274" t="s">
        <v>299</v>
      </c>
      <c r="AS3" s="274" t="s">
        <v>300</v>
      </c>
      <c r="AT3" s="274" t="s">
        <v>301</v>
      </c>
      <c r="AU3" s="274"/>
      <c r="AV3" s="275" t="s">
        <v>294</v>
      </c>
      <c r="AW3" s="276" t="s">
        <v>295</v>
      </c>
      <c r="AX3" s="276" t="s">
        <v>296</v>
      </c>
      <c r="AY3" s="276" t="s">
        <v>297</v>
      </c>
      <c r="AZ3" s="276" t="s">
        <v>298</v>
      </c>
      <c r="BA3" s="276" t="s">
        <v>299</v>
      </c>
      <c r="BB3" s="276" t="s">
        <v>300</v>
      </c>
      <c r="BC3" s="276" t="s">
        <v>301</v>
      </c>
      <c r="BD3" s="276"/>
      <c r="BE3" s="273" t="s">
        <v>294</v>
      </c>
      <c r="BF3" s="274" t="s">
        <v>295</v>
      </c>
      <c r="BG3" s="274" t="s">
        <v>296</v>
      </c>
      <c r="BH3" s="274" t="s">
        <v>297</v>
      </c>
      <c r="BI3" s="274" t="s">
        <v>298</v>
      </c>
      <c r="BJ3" s="274" t="s">
        <v>299</v>
      </c>
      <c r="BK3" s="274" t="s">
        <v>300</v>
      </c>
      <c r="BL3" s="274" t="s">
        <v>301</v>
      </c>
      <c r="BM3" s="274"/>
      <c r="BN3" s="275" t="s">
        <v>294</v>
      </c>
      <c r="BO3" s="276" t="s">
        <v>295</v>
      </c>
      <c r="BP3" s="276" t="s">
        <v>296</v>
      </c>
      <c r="BQ3" s="276" t="s">
        <v>297</v>
      </c>
      <c r="BR3" s="276" t="s">
        <v>298</v>
      </c>
      <c r="BS3" s="276" t="s">
        <v>299</v>
      </c>
      <c r="BT3" s="276" t="s">
        <v>300</v>
      </c>
      <c r="BU3" s="276" t="s">
        <v>301</v>
      </c>
      <c r="BV3" s="276"/>
      <c r="BW3" s="273" t="s">
        <v>294</v>
      </c>
      <c r="BX3" s="274" t="s">
        <v>295</v>
      </c>
      <c r="BY3" s="274" t="s">
        <v>296</v>
      </c>
      <c r="BZ3" s="274" t="s">
        <v>297</v>
      </c>
      <c r="CA3" s="274" t="s">
        <v>298</v>
      </c>
      <c r="CB3" s="274" t="s">
        <v>299</v>
      </c>
      <c r="CC3" s="274" t="s">
        <v>300</v>
      </c>
      <c r="CD3" s="274" t="s">
        <v>301</v>
      </c>
      <c r="CE3" s="274"/>
      <c r="CF3" s="582"/>
      <c r="CG3" s="574"/>
    </row>
    <row r="4" spans="1:85" ht="15" x14ac:dyDescent="0.25">
      <c r="A4" s="277" t="str">
        <f>'monitoring results'!A4</f>
        <v>20/01/2021-31/01/2021</v>
      </c>
      <c r="B4" s="278">
        <f>F4+O4+X4+AG4+AP4+AY4+BH4+BQ4+BZ4</f>
        <v>242710</v>
      </c>
      <c r="C4" s="279">
        <f>AVERAGE('2021.1'!B5:G16)</f>
        <v>65.97166666666665</v>
      </c>
      <c r="D4" s="279">
        <f>_xlfn.STDEV.S('2021.1'!B5:G16)</f>
        <v>25.455538451447246</v>
      </c>
      <c r="E4" s="274">
        <f>COUNT('2021.1'!B5:G16)</f>
        <v>60</v>
      </c>
      <c r="F4" s="274">
        <f>'2021.1'!D127+'2021.1'!E127</f>
        <v>32480</v>
      </c>
      <c r="G4" s="280">
        <f>F4/B4</f>
        <v>0.13382225701454412</v>
      </c>
      <c r="H4" s="280">
        <f>F4*C4/B4</f>
        <v>8.8284773323444981</v>
      </c>
      <c r="I4" s="280">
        <f>1-(E4/F4)</f>
        <v>0.99815270935960587</v>
      </c>
      <c r="J4" s="280">
        <f>D4*D4/E4</f>
        <v>10.799740630885156</v>
      </c>
      <c r="K4" s="281">
        <f>G4*G4*I4*J4</f>
        <v>0.19304875985572051</v>
      </c>
      <c r="L4" s="282">
        <f>AVERAGE('2021.1'!B20:G26)</f>
        <v>67.806060606060612</v>
      </c>
      <c r="M4" s="282">
        <f>_xlfn.STDEV.S('2021.1'!B20:G26)</f>
        <v>25.838862922373529</v>
      </c>
      <c r="N4" s="283">
        <f>COUNT('2021.1'!B20:G26)</f>
        <v>33</v>
      </c>
      <c r="O4" s="283">
        <f>'2021.1'!D128+'2021.1'!E128</f>
        <v>17980</v>
      </c>
      <c r="P4" s="284">
        <f>O4/B4</f>
        <v>7.4080177990194063E-2</v>
      </c>
      <c r="Q4" s="285">
        <f>O4*L4/B4</f>
        <v>5.0230850385108559</v>
      </c>
      <c r="R4" s="285">
        <f t="shared" ref="R4:R18" si="0">1-N4/O4</f>
        <v>0.99816462736373746</v>
      </c>
      <c r="S4" s="285">
        <f t="shared" ref="S4:S18" si="1">M4*M4/N4</f>
        <v>20.231722337006349</v>
      </c>
      <c r="T4" s="285">
        <f t="shared" ref="T4:T18" si="2">P4*P4*R4*S4</f>
        <v>0.11082533831964515</v>
      </c>
      <c r="U4" s="286">
        <f>AVEDEV('2021.1'!B30:G35)</f>
        <v>22.564</v>
      </c>
      <c r="V4" s="286">
        <f>_xlfn.STDEV.S('2021.1'!B30:G35)</f>
        <v>26.071405924816347</v>
      </c>
      <c r="W4" s="274">
        <f>COUNT('2021.1'!B30:G35)</f>
        <v>30</v>
      </c>
      <c r="X4" s="274">
        <f>'2021.1'!D129+'2021.1'!E129</f>
        <v>15511</v>
      </c>
      <c r="Y4" s="280">
        <f>X4/B4</f>
        <v>6.3907543982530596E-2</v>
      </c>
      <c r="Z4" s="280">
        <f t="shared" ref="Z4:Z18" si="3">X4*U4/B4</f>
        <v>1.4420098224218203</v>
      </c>
      <c r="AA4" s="280">
        <f t="shared" ref="AA4:AA18" si="4">1-W4/X4</f>
        <v>0.99806588872413127</v>
      </c>
      <c r="AB4" s="280">
        <f t="shared" ref="AB4:AB18" si="5">V4*V4/W4</f>
        <v>22.657273563218293</v>
      </c>
      <c r="AC4" s="281">
        <f t="shared" ref="AC4:AC18" si="6">Y4*Y4*AA4*AB4</f>
        <v>9.2357276220338139E-2</v>
      </c>
      <c r="AD4" s="287">
        <f>AVERAGE('2021.1'!B39:G42)</f>
        <v>68.679999999999978</v>
      </c>
      <c r="AE4" s="287">
        <f>_xlfn.STDEV.S('2021.1'!B39:G42)</f>
        <v>27.00786630049226</v>
      </c>
      <c r="AF4" s="276">
        <f>COUNT('2021.1'!B39:G42)</f>
        <v>20</v>
      </c>
      <c r="AG4" s="276">
        <f>'2021.1'!D130+'2021.1'!E130</f>
        <v>8799</v>
      </c>
      <c r="AH4" s="276">
        <f t="shared" ref="AH4:AH18" si="7">AG4/B4</f>
        <v>3.6253141609328007E-2</v>
      </c>
      <c r="AI4" s="285">
        <f t="shared" ref="AI4:AI18" si="8">AG4*AD4/B4</f>
        <v>2.4898657657286467</v>
      </c>
      <c r="AJ4" s="285">
        <f t="shared" ref="AJ4:AJ18" si="9">1-AF4/AG4</f>
        <v>0.99772701443345835</v>
      </c>
      <c r="AK4" s="285">
        <f t="shared" ref="AK4:AK18" si="10">AE4*AE4/AF4</f>
        <v>36.471242105263272</v>
      </c>
      <c r="AL4" s="288">
        <f t="shared" ref="AL4:AL18" si="11">AH4*AH4*AJ4*AK4</f>
        <v>4.7824846039515506E-2</v>
      </c>
      <c r="AM4" s="289">
        <f>AVERAGE('2021.1'!B46:G58)</f>
        <v>68.080952380952382</v>
      </c>
      <c r="AN4" s="290">
        <f>_xlfn.STDEV.S('2021.1'!B46:G58)</f>
        <v>25.882070373528418</v>
      </c>
      <c r="AO4" s="274">
        <f>COUNT('2021.1'!B46:G58)</f>
        <v>63</v>
      </c>
      <c r="AP4" s="274">
        <f>'2021.1'!D131+'2021.1'!E131</f>
        <v>36331</v>
      </c>
      <c r="AQ4" s="274">
        <f>AP4/B4</f>
        <v>0.14968892917473528</v>
      </c>
      <c r="AR4" s="280">
        <f>AP4*AM4/B4</f>
        <v>10.190964859100905</v>
      </c>
      <c r="AS4" s="280">
        <f t="shared" ref="AS4:AS18" si="12">1-AO4/AP4</f>
        <v>0.99826594368445676</v>
      </c>
      <c r="AT4" s="280">
        <f t="shared" ref="AT4:AT18" si="13">AN4*AN4/AO4</f>
        <v>10.633040743179007</v>
      </c>
      <c r="AU4" s="281">
        <f t="shared" ref="AU4:AU18" si="14">AQ4*AQ4*AS4*AT4</f>
        <v>0.23783901434308047</v>
      </c>
      <c r="AV4" s="287">
        <f>AVERAGE('2021.1'!B62:G76)</f>
        <v>68.600000000000009</v>
      </c>
      <c r="AW4" s="285">
        <f>_xlfn.STDEV.S('2021.1'!B62:G76)</f>
        <v>26.031508973923483</v>
      </c>
      <c r="AX4" s="276">
        <f>COUNT('2021.1'!B62:G76)</f>
        <v>75</v>
      </c>
      <c r="AY4" s="276">
        <f>'2021.1'!D132+'2021.1'!E132</f>
        <v>42040</v>
      </c>
      <c r="AZ4" s="276">
        <f t="shared" ref="AZ4:AZ18" si="15">AY4/B4</f>
        <v>0.17321082773680524</v>
      </c>
      <c r="BA4" s="285">
        <f t="shared" ref="BA4:BA18" si="16">AY4*AV4/B4</f>
        <v>11.882262782744842</v>
      </c>
      <c r="BB4" s="285">
        <f t="shared" ref="BB4:BB18" si="17">1-AX4/AY4</f>
        <v>0.99821598477640339</v>
      </c>
      <c r="BC4" s="285">
        <f t="shared" ref="BC4:BC18" si="18">AW4*AW4/AX4</f>
        <v>9.0351927927927846</v>
      </c>
      <c r="BD4" s="288">
        <f t="shared" ref="BD4:BD18" si="19">AZ4*AZ4*BB4*BC4</f>
        <v>0.27059017171961874</v>
      </c>
      <c r="BE4" s="279">
        <f>AVERAGE('2021.1'!B80:G99)</f>
        <v>67.341666666666654</v>
      </c>
      <c r="BF4" s="274">
        <f>_xlfn.STDEV.S('2021.1'!B80:G99)</f>
        <v>27.330232601188925</v>
      </c>
      <c r="BG4" s="274">
        <f>COUNT('2021.1'!B80:G99)</f>
        <v>96</v>
      </c>
      <c r="BH4" s="274">
        <f>'2021.1'!D133+'2021.1'!E133</f>
        <v>54182</v>
      </c>
      <c r="BI4" s="274">
        <f t="shared" ref="BI4:BI18" si="20">BH4/B4</f>
        <v>0.22323760866878167</v>
      </c>
      <c r="BJ4" s="280">
        <f t="shared" ref="BJ4:BJ18" si="21">BH4*BE4/B4</f>
        <v>15.03319263043687</v>
      </c>
      <c r="BK4" s="280">
        <f t="shared" ref="BK4:BK18" si="22">1-BG4/BH4</f>
        <v>0.99822819386512129</v>
      </c>
      <c r="BL4" s="280">
        <f t="shared" ref="BL4:BL18" si="23">BF4*BF4/BG4</f>
        <v>7.7806418128655208</v>
      </c>
      <c r="BM4" s="281">
        <f t="shared" ref="BM4:BM18" si="24">BI4*BI4*BK4*BL4</f>
        <v>0.38706150237106701</v>
      </c>
      <c r="BN4" s="282">
        <f>AVERAGE('2021.1'!B103:G113)</f>
        <v>69.969387755102034</v>
      </c>
      <c r="BO4" s="276">
        <f>_xlfn.STDEV.S('2021.1'!B103:G113)</f>
        <v>26.043666889169359</v>
      </c>
      <c r="BP4" s="276">
        <f>COUNT('2021.1'!B103:G113)</f>
        <v>49</v>
      </c>
      <c r="BQ4" s="276">
        <f>'2021.1'!D134+'2021.1'!E134</f>
        <v>26629</v>
      </c>
      <c r="BR4" s="276">
        <f>BQ4/B4</f>
        <v>0.10971529809237361</v>
      </c>
      <c r="BS4" s="285">
        <f>BQ4*BN4/B4</f>
        <v>7.6767122348918964</v>
      </c>
      <c r="BT4" s="285">
        <f t="shared" ref="BT4:BT18" si="25">1-BP4/BQ4</f>
        <v>0.99815990085996475</v>
      </c>
      <c r="BU4" s="285">
        <f t="shared" ref="BU4:BU18" si="26">BO4*BO4/BP4</f>
        <v>13.842297653755438</v>
      </c>
      <c r="BV4" s="288">
        <f t="shared" ref="BV4:BV18" si="27">BR4*BR4*BT4*BU4</f>
        <v>0.16631931110891793</v>
      </c>
      <c r="BW4" s="279">
        <f>AVERAGE('2021.1'!B117:D122)</f>
        <v>61.050000000000004</v>
      </c>
      <c r="BX4" s="274">
        <f>_xlfn.STDEV.S('2021.1'!B117:D122)</f>
        <v>25.160268632251459</v>
      </c>
      <c r="BY4" s="274">
        <f>COUNT('2021.1'!B117:D122)</f>
        <v>18</v>
      </c>
      <c r="BZ4" s="274">
        <f>'2021.1'!D135</f>
        <v>8758</v>
      </c>
      <c r="CA4" s="274">
        <f>BZ4/B4</f>
        <v>3.6084215730707428E-2</v>
      </c>
      <c r="CB4" s="280">
        <f>BZ4*BW4/B4</f>
        <v>2.2029413703596887</v>
      </c>
      <c r="CC4" s="280">
        <f t="shared" ref="CC4:CC18" si="28">1-BY4/BZ4</f>
        <v>0.99794473624115099</v>
      </c>
      <c r="CD4" s="280">
        <f t="shared" ref="CD4:CD18" si="29">BX4*BX4/BY4</f>
        <v>35.168839869280923</v>
      </c>
      <c r="CE4" s="281">
        <f t="shared" ref="CE4:CE18" si="30">CA4*CA4*CC4*CD4</f>
        <v>4.5698198023639974E-2</v>
      </c>
      <c r="CF4" s="291">
        <f>CB4+BS4+BJ4+BA4+AR4+AI4+Z4+Q4+H4</f>
        <v>64.769511836540019</v>
      </c>
      <c r="CG4" s="292">
        <f>SQRT(AC4+AL4+AU4+BD4+BM4+BV4+CE4+T4+K4)</f>
        <v>1.2456180867350728</v>
      </c>
    </row>
    <row r="5" spans="1:85" ht="15" x14ac:dyDescent="0.25">
      <c r="A5" s="277" t="str">
        <f>'monitoring results'!A5</f>
        <v>01/02/1021-28/02/2021</v>
      </c>
      <c r="B5" s="278">
        <f t="shared" ref="B5:B18" si="31">F5+O5+X5+AG5+AP5+AY5+BH5+BQ5+BZ5</f>
        <v>242657</v>
      </c>
      <c r="C5" s="279">
        <f>AVERAGE('2021.2'!B5:G16)</f>
        <v>67.79833333333336</v>
      </c>
      <c r="D5" s="279">
        <f>_xlfn.STDEV.S('2021.2'!B5:G16)</f>
        <v>25.602181393201466</v>
      </c>
      <c r="E5" s="274">
        <f t="shared" ref="E5:E18" si="32">E4</f>
        <v>60</v>
      </c>
      <c r="F5" s="274">
        <f>'2021.2'!D127+'2021.2'!E127</f>
        <v>32480</v>
      </c>
      <c r="G5" s="280">
        <f t="shared" ref="G5:G18" si="33">F5/B5</f>
        <v>0.13385148584215581</v>
      </c>
      <c r="H5" s="280">
        <f t="shared" ref="H5:H18" si="34">F5*C5/B5</f>
        <v>9.074907654288431</v>
      </c>
      <c r="I5" s="280">
        <f t="shared" ref="I5:I18" si="35">1-(E5/F5)</f>
        <v>0.99815270935960587</v>
      </c>
      <c r="J5" s="280">
        <f t="shared" ref="J5:J18" si="36">D5*D5/E5</f>
        <v>10.924528201506522</v>
      </c>
      <c r="K5" s="281">
        <f t="shared" ref="K5:K18" si="37">G5*G5*I5*J5</f>
        <v>0.1953646902420875</v>
      </c>
      <c r="L5" s="282">
        <f>AVERAGE('2021.2'!B20:G26)</f>
        <v>67.054545454545448</v>
      </c>
      <c r="M5" s="282">
        <f>_xlfn.STDEV.S('2021.2'!B20:G26)</f>
        <v>28.882045578839854</v>
      </c>
      <c r="N5" s="283">
        <f t="shared" ref="N5:N18" si="38">N4</f>
        <v>33</v>
      </c>
      <c r="O5" s="283">
        <f>'2021.2'!D128+'2021.2'!E128</f>
        <v>17987</v>
      </c>
      <c r="P5" s="284">
        <f t="shared" ref="P5:P18" si="39">O5/B5</f>
        <v>7.412520553703375E-2</v>
      </c>
      <c r="Q5" s="285">
        <f t="shared" ref="Q5:Q18" si="40">O5*L5/B5</f>
        <v>4.9704319640105536</v>
      </c>
      <c r="R5" s="285">
        <f t="shared" si="0"/>
        <v>0.99816534163562576</v>
      </c>
      <c r="S5" s="285">
        <f t="shared" si="1"/>
        <v>25.277956267217661</v>
      </c>
      <c r="T5" s="285">
        <f t="shared" si="2"/>
        <v>0.13863607857662522</v>
      </c>
      <c r="U5" s="286">
        <f>AVEDEV('2021.2'!B30:G35)</f>
        <v>21.231555555555548</v>
      </c>
      <c r="V5" s="286">
        <f>_xlfn.STDEV.S('2021.2'!B30:G35)</f>
        <v>25.622053180715323</v>
      </c>
      <c r="W5" s="274">
        <f t="shared" ref="W5:W18" si="41">W4</f>
        <v>30</v>
      </c>
      <c r="X5" s="274">
        <f>'2021.2'!D129+'2021.2'!E129</f>
        <v>15523</v>
      </c>
      <c r="Y5" s="280">
        <f t="shared" ref="Y5:Y18" si="42">X5/B5</f>
        <v>6.3970954886939171E-2</v>
      </c>
      <c r="Z5" s="280">
        <f t="shared" si="3"/>
        <v>1.3582028826239869</v>
      </c>
      <c r="AA5" s="280">
        <f t="shared" si="4"/>
        <v>0.99806738388198157</v>
      </c>
      <c r="AB5" s="280">
        <f t="shared" si="5"/>
        <v>21.882986973180142</v>
      </c>
      <c r="AC5" s="281">
        <f t="shared" si="6"/>
        <v>8.9378308657945119E-2</v>
      </c>
      <c r="AD5" s="287">
        <f>AVERAGE('2021.2'!B39:G42)</f>
        <v>67.665000000000006</v>
      </c>
      <c r="AE5" s="287">
        <f>_xlfn.STDEV.S('2021.2'!B39:G42)</f>
        <v>26.508713066104331</v>
      </c>
      <c r="AF5" s="276">
        <f t="shared" ref="AF5:AF18" si="43">AF4</f>
        <v>20</v>
      </c>
      <c r="AG5" s="276">
        <f>'2021.2'!D130+'2021.2'!E130</f>
        <v>8806</v>
      </c>
      <c r="AH5" s="276">
        <f t="shared" si="7"/>
        <v>3.6289907152894825E-2</v>
      </c>
      <c r="AI5" s="285">
        <f t="shared" si="8"/>
        <v>2.4555565675006288</v>
      </c>
      <c r="AJ5" s="285">
        <f t="shared" si="9"/>
        <v>0.99772882125823303</v>
      </c>
      <c r="AK5" s="285">
        <f t="shared" si="10"/>
        <v>35.135593421052519</v>
      </c>
      <c r="AL5" s="288">
        <f t="shared" si="11"/>
        <v>4.6166986233993602E-2</v>
      </c>
      <c r="AM5" s="289">
        <f>AVERAGE('2021.2'!B46:G58)</f>
        <v>68.593650793650781</v>
      </c>
      <c r="AN5" s="290">
        <f>_xlfn.STDEV.S('2021.2'!B46:G58)</f>
        <v>27.258090678264235</v>
      </c>
      <c r="AO5" s="274">
        <f t="shared" ref="AO5:AO18" si="44">AO4</f>
        <v>63</v>
      </c>
      <c r="AP5" s="274">
        <f>'2021.2'!D131+'2021.2'!E131</f>
        <v>36346</v>
      </c>
      <c r="AQ5" s="274">
        <f t="shared" ref="AQ5:AQ18" si="45">AP5/B5</f>
        <v>0.14978343917546166</v>
      </c>
      <c r="AR5" s="280">
        <f t="shared" ref="AR5:AR17" si="46">AP5*AM5/B5</f>
        <v>10.274192921473649</v>
      </c>
      <c r="AS5" s="280">
        <f t="shared" si="12"/>
        <v>0.99826665932977499</v>
      </c>
      <c r="AT5" s="280">
        <f t="shared" si="13"/>
        <v>11.793706467055168</v>
      </c>
      <c r="AU5" s="281">
        <f t="shared" si="14"/>
        <v>0.2641341028341635</v>
      </c>
      <c r="AV5" s="287">
        <f>AVERAGE('2021.2'!B62:G76)</f>
        <v>68.047999999999988</v>
      </c>
      <c r="AW5" s="285">
        <f>_xlfn.STDEV.S('2021.2'!B62:G76)</f>
        <v>26.265702433483991</v>
      </c>
      <c r="AX5" s="276">
        <f t="shared" ref="AX5:AX18" si="47">AX4</f>
        <v>75</v>
      </c>
      <c r="AY5" s="276">
        <f>'2021.2'!D132+'2021.2'!E132</f>
        <v>42023</v>
      </c>
      <c r="AZ5" s="276">
        <f t="shared" si="15"/>
        <v>0.1731786018948557</v>
      </c>
      <c r="BA5" s="285">
        <f t="shared" si="16"/>
        <v>11.784457501741137</v>
      </c>
      <c r="BB5" s="285">
        <f t="shared" si="17"/>
        <v>0.99821526307022346</v>
      </c>
      <c r="BC5" s="285">
        <f t="shared" si="18"/>
        <v>9.1984949909910245</v>
      </c>
      <c r="BD5" s="288">
        <f t="shared" si="19"/>
        <v>0.27537812631455794</v>
      </c>
      <c r="BE5" s="279">
        <f>AVERAGE('2021.2'!B80:G99)</f>
        <v>66.74166666666666</v>
      </c>
      <c r="BF5" s="274">
        <f>_xlfn.STDEV.S('2021.2'!B80:G99)</f>
        <v>25.914936423316973</v>
      </c>
      <c r="BG5" s="274">
        <f t="shared" ref="BG5:BG18" si="48">BG4</f>
        <v>96</v>
      </c>
      <c r="BH5" s="274">
        <f>'2021.2'!D133+'2021.2'!E133</f>
        <v>54116</v>
      </c>
      <c r="BI5" s="274">
        <f t="shared" si="20"/>
        <v>0.2230143783200155</v>
      </c>
      <c r="BJ5" s="280">
        <f t="shared" si="21"/>
        <v>14.884351299708365</v>
      </c>
      <c r="BK5" s="280">
        <f t="shared" si="22"/>
        <v>0.9982260329662207</v>
      </c>
      <c r="BL5" s="280">
        <f t="shared" si="23"/>
        <v>6.9956659356725082</v>
      </c>
      <c r="BM5" s="281">
        <f t="shared" si="24"/>
        <v>0.34731511359256617</v>
      </c>
      <c r="BN5" s="282">
        <f>AVERAGE('2021.2'!B103:G113)</f>
        <v>65.236734693877565</v>
      </c>
      <c r="BO5" s="276">
        <f>_xlfn.STDEV.S('2021.2'!B103:G113)</f>
        <v>26.709733664882922</v>
      </c>
      <c r="BP5" s="276">
        <f t="shared" ref="BP5:BP18" si="49">BP4</f>
        <v>49</v>
      </c>
      <c r="BQ5" s="276">
        <f>'2021.2'!D134+'2021.2'!E134</f>
        <v>26618</v>
      </c>
      <c r="BR5" s="276">
        <f t="shared" ref="BR5:BR18" si="50">BQ5/B5</f>
        <v>0.109693930115348</v>
      </c>
      <c r="BS5" s="285">
        <f t="shared" ref="BS5:BS18" si="51">BQ5*BN5/B5</f>
        <v>7.1560738164637039</v>
      </c>
      <c r="BT5" s="285">
        <f t="shared" si="25"/>
        <v>0.99815914043128706</v>
      </c>
      <c r="BU5" s="285">
        <f t="shared" si="26"/>
        <v>14.559385152020001</v>
      </c>
      <c r="BV5" s="288">
        <f t="shared" si="27"/>
        <v>0.17486706320866446</v>
      </c>
      <c r="BW5" s="279">
        <f>AVERAGE('2021.2'!B117:D122)</f>
        <v>63.616666666666674</v>
      </c>
      <c r="BX5" s="274">
        <f>_xlfn.STDEV.S('2021.2'!B117:D122)</f>
        <v>23.891993490313375</v>
      </c>
      <c r="BY5" s="274">
        <f t="shared" ref="BY5:BY18" si="52">BY4</f>
        <v>18</v>
      </c>
      <c r="BZ5" s="274">
        <f>$BZ$4</f>
        <v>8758</v>
      </c>
      <c r="CA5" s="274">
        <f t="shared" ref="CA5:CA18" si="53">BZ5/B5</f>
        <v>3.6092097075295579E-2</v>
      </c>
      <c r="CB5" s="280">
        <f t="shared" ref="CB5:CB18" si="54">BZ5*BW5/B5</f>
        <v>2.2960589089400543</v>
      </c>
      <c r="CC5" s="280">
        <f t="shared" si="28"/>
        <v>0.99794473624115099</v>
      </c>
      <c r="CD5" s="280">
        <f t="shared" si="29"/>
        <v>31.712630718954262</v>
      </c>
      <c r="CE5" s="281">
        <f t="shared" si="30"/>
        <v>4.1225221311249588E-2</v>
      </c>
      <c r="CF5" s="291">
        <f t="shared" ref="CF5:CF18" si="55">Z5+AI5+AR5+BA5+BJ5+BS5+CB5</f>
        <v>50.208893898451521</v>
      </c>
      <c r="CG5" s="292">
        <f t="shared" ref="CG5:CG18" si="56">SQRT(AC5+AL5+AU5+BD5+BM5+BV5+CE5)</f>
        <v>1.1128633888097588</v>
      </c>
    </row>
    <row r="6" spans="1:85" ht="15" x14ac:dyDescent="0.25">
      <c r="A6" s="277" t="str">
        <f>'monitoring results'!A6</f>
        <v>01/03/2021-31/03/3021</v>
      </c>
      <c r="B6" s="278">
        <f t="shared" si="31"/>
        <v>242670</v>
      </c>
      <c r="C6" s="279">
        <f>AVERAGE('2021.3'!B5:G16)</f>
        <v>68.990000000000023</v>
      </c>
      <c r="D6" s="279">
        <f>_xlfn.STDEV.S('2021.3'!B5:G16)</f>
        <v>28.499739517096767</v>
      </c>
      <c r="E6" s="274">
        <f t="shared" si="32"/>
        <v>60</v>
      </c>
      <c r="F6" s="274">
        <f>'2021.3'!D127+'2021.3'!E127</f>
        <v>32507</v>
      </c>
      <c r="G6" s="280">
        <f t="shared" si="33"/>
        <v>0.13395557753327564</v>
      </c>
      <c r="H6" s="280">
        <f t="shared" si="34"/>
        <v>9.2415952940206889</v>
      </c>
      <c r="I6" s="280">
        <f t="shared" si="35"/>
        <v>0.99815424370135664</v>
      </c>
      <c r="J6" s="280">
        <f t="shared" si="36"/>
        <v>13.537252542372784</v>
      </c>
      <c r="K6" s="281">
        <f t="shared" si="37"/>
        <v>0.24246540976043568</v>
      </c>
      <c r="L6" s="282">
        <f>AVERAGE('2021.3'!B20:G26)</f>
        <v>68.433333333333337</v>
      </c>
      <c r="M6" s="282">
        <f>_xlfn.STDEV.S('2021.3'!B20:G26)</f>
        <v>29.260667570420647</v>
      </c>
      <c r="N6" s="283">
        <f t="shared" si="38"/>
        <v>33</v>
      </c>
      <c r="O6" s="283">
        <f>'2021.3'!D128+'2021.3'!E128</f>
        <v>17943</v>
      </c>
      <c r="P6" s="284">
        <f t="shared" si="39"/>
        <v>7.3939918407714175E-2</v>
      </c>
      <c r="Q6" s="285">
        <f t="shared" si="40"/>
        <v>5.0599550830345743</v>
      </c>
      <c r="R6" s="285">
        <f t="shared" si="0"/>
        <v>0.99816084266845007</v>
      </c>
      <c r="S6" s="285">
        <f t="shared" si="1"/>
        <v>25.945050505050499</v>
      </c>
      <c r="T6" s="285">
        <f t="shared" si="2"/>
        <v>0.14158361054570306</v>
      </c>
      <c r="U6" s="286">
        <f>AVEDEV('2021.3'!B30:G35)</f>
        <v>25.560000000000002</v>
      </c>
      <c r="V6" s="286">
        <f>_xlfn.STDEV.S('2021.3'!B30:G35)</f>
        <v>30.076053024245724</v>
      </c>
      <c r="W6" s="274">
        <f t="shared" si="41"/>
        <v>30</v>
      </c>
      <c r="X6" s="274">
        <f>'2021.3'!D129+'2021.3'!E129</f>
        <v>15517</v>
      </c>
      <c r="Y6" s="280">
        <f t="shared" si="42"/>
        <v>6.3942802983475502E-2</v>
      </c>
      <c r="Z6" s="280">
        <f t="shared" si="3"/>
        <v>1.6343780442576339</v>
      </c>
      <c r="AA6" s="280">
        <f t="shared" si="4"/>
        <v>0.9980666365921248</v>
      </c>
      <c r="AB6" s="280">
        <f t="shared" si="5"/>
        <v>30.152298850574677</v>
      </c>
      <c r="AC6" s="281">
        <f t="shared" si="6"/>
        <v>0.12304481202210592</v>
      </c>
      <c r="AD6" s="287">
        <f>AVERAGE('2021.3'!B39:G42)</f>
        <v>67.664999999999992</v>
      </c>
      <c r="AE6" s="287">
        <f>_xlfn.STDEV.S('2021.3'!B39:G42)</f>
        <v>29.406681571585594</v>
      </c>
      <c r="AF6" s="276">
        <f t="shared" si="43"/>
        <v>20</v>
      </c>
      <c r="AG6" s="276">
        <f>'2021.3'!D130+'2021.3'!E130</f>
        <v>8813</v>
      </c>
      <c r="AH6" s="276">
        <f t="shared" si="7"/>
        <v>3.6316808835043478E-2</v>
      </c>
      <c r="AI6" s="285">
        <f t="shared" si="8"/>
        <v>2.4573768698232161</v>
      </c>
      <c r="AJ6" s="285">
        <f t="shared" si="9"/>
        <v>0.99773062521275391</v>
      </c>
      <c r="AK6" s="285">
        <f t="shared" si="10"/>
        <v>43.23764605263159</v>
      </c>
      <c r="AL6" s="288">
        <f t="shared" si="11"/>
        <v>5.6897175163880626E-2</v>
      </c>
      <c r="AM6" s="289">
        <f>AVERAGE('2021.3'!B46:G58)</f>
        <v>69.936507936507937</v>
      </c>
      <c r="AN6" s="290">
        <f>_xlfn.STDEV.S('2021.3'!B46:G58)</f>
        <v>25.884036066515545</v>
      </c>
      <c r="AO6" s="274">
        <f t="shared" si="44"/>
        <v>63</v>
      </c>
      <c r="AP6" s="274">
        <f>'2021.3'!D131+'2021.3'!E131</f>
        <v>36331</v>
      </c>
      <c r="AQ6" s="274">
        <f t="shared" si="45"/>
        <v>0.14971360283512589</v>
      </c>
      <c r="AR6" s="280">
        <f t="shared" si="46"/>
        <v>10.470446572881979</v>
      </c>
      <c r="AS6" s="280">
        <f t="shared" si="12"/>
        <v>0.99826594368445676</v>
      </c>
      <c r="AT6" s="280">
        <f t="shared" si="13"/>
        <v>10.634655922105994</v>
      </c>
      <c r="AU6" s="281">
        <f t="shared" si="14"/>
        <v>0.23795356830008263</v>
      </c>
      <c r="AV6" s="287">
        <f>AVERAGE('2021.3'!B62:G76)</f>
        <v>68.142666666666642</v>
      </c>
      <c r="AW6" s="285">
        <f>_xlfn.STDEV.S('2021.3'!B62:G76)</f>
        <v>27.392897941942195</v>
      </c>
      <c r="AX6" s="276">
        <f t="shared" si="47"/>
        <v>75</v>
      </c>
      <c r="AY6" s="276">
        <f>'2021.3'!D132+'2021.3'!E132</f>
        <v>42023</v>
      </c>
      <c r="AZ6" s="276">
        <f t="shared" si="15"/>
        <v>0.17316932459718959</v>
      </c>
      <c r="BA6" s="285">
        <f t="shared" si="16"/>
        <v>11.800219562918087</v>
      </c>
      <c r="BB6" s="285">
        <f t="shared" si="17"/>
        <v>0.99821526307022346</v>
      </c>
      <c r="BC6" s="285">
        <f t="shared" si="18"/>
        <v>10.004944768768812</v>
      </c>
      <c r="BD6" s="288">
        <f t="shared" si="19"/>
        <v>0.29948896695350269</v>
      </c>
      <c r="BE6" s="279">
        <f>AVERAGE('2021.3'!B80:G99)</f>
        <v>67.623958333333334</v>
      </c>
      <c r="BF6" s="274">
        <f>_xlfn.STDEV.S('2021.3'!B80:G99)</f>
        <v>26.493048720040822</v>
      </c>
      <c r="BG6" s="274">
        <f t="shared" si="48"/>
        <v>96</v>
      </c>
      <c r="BH6" s="274">
        <f>'2021.3'!D133+'2021.3'!E133</f>
        <v>54116</v>
      </c>
      <c r="BI6" s="274">
        <f t="shared" si="20"/>
        <v>0.22300243128528455</v>
      </c>
      <c r="BJ6" s="280">
        <f t="shared" si="21"/>
        <v>15.080307121468113</v>
      </c>
      <c r="BK6" s="280">
        <f t="shared" si="22"/>
        <v>0.9982260329662207</v>
      </c>
      <c r="BL6" s="280">
        <f t="shared" si="23"/>
        <v>7.3112669841922555</v>
      </c>
      <c r="BM6" s="281">
        <f t="shared" si="24"/>
        <v>0.36294492735732881</v>
      </c>
      <c r="BN6" s="282">
        <f>AVERAGE('2021.3'!B103:G113)</f>
        <v>68.10612244897959</v>
      </c>
      <c r="BO6" s="276">
        <f>_xlfn.STDEV.S('2021.3'!B103:G113)</f>
        <v>29.001080498285344</v>
      </c>
      <c r="BP6" s="276">
        <f t="shared" si="49"/>
        <v>49</v>
      </c>
      <c r="BQ6" s="276">
        <f>'2021.3'!D134+'2021.3'!E134</f>
        <v>26662</v>
      </c>
      <c r="BR6" s="276">
        <f t="shared" si="50"/>
        <v>0.10986936992623728</v>
      </c>
      <c r="BS6" s="285">
        <f t="shared" si="51"/>
        <v>7.4827767615885517</v>
      </c>
      <c r="BT6" s="285">
        <f t="shared" si="25"/>
        <v>0.99816217838121668</v>
      </c>
      <c r="BU6" s="285">
        <f t="shared" si="26"/>
        <v>17.164544287102583</v>
      </c>
      <c r="BV6" s="288">
        <f t="shared" si="27"/>
        <v>0.20681720057057926</v>
      </c>
      <c r="BW6" s="279">
        <f>AVERAGE('2021.3'!B117:D122)</f>
        <v>63.061111111111103</v>
      </c>
      <c r="BX6" s="274">
        <f>_xlfn.STDEV.S('2021.3'!B117:D122)</f>
        <v>23.697608191269598</v>
      </c>
      <c r="BY6" s="274">
        <f t="shared" si="52"/>
        <v>18</v>
      </c>
      <c r="BZ6" s="274">
        <f t="shared" ref="BZ6:BZ18" si="57">$BZ$4</f>
        <v>8758</v>
      </c>
      <c r="CA6" s="274">
        <f t="shared" si="53"/>
        <v>3.6090163596653894E-2</v>
      </c>
      <c r="CB6" s="280">
        <f t="shared" si="54"/>
        <v>2.2758858165867681</v>
      </c>
      <c r="CC6" s="280">
        <f t="shared" si="28"/>
        <v>0.99794473624115099</v>
      </c>
      <c r="CD6" s="280">
        <f t="shared" si="29"/>
        <v>31.198701888162663</v>
      </c>
      <c r="CE6" s="281">
        <f t="shared" si="30"/>
        <v>4.0552788024827965E-2</v>
      </c>
      <c r="CF6" s="291">
        <f t="shared" si="55"/>
        <v>51.20139074952435</v>
      </c>
      <c r="CG6" s="292">
        <f t="shared" si="56"/>
        <v>1.1522584078201852</v>
      </c>
    </row>
    <row r="7" spans="1:85" ht="15" x14ac:dyDescent="0.25">
      <c r="A7" s="277" t="str">
        <f>'monitoring results'!A7</f>
        <v>01/04/2021-30/04/2021</v>
      </c>
      <c r="B7" s="278">
        <f t="shared" si="31"/>
        <v>242740</v>
      </c>
      <c r="C7" s="279">
        <f>AVERAGE('2021.4'!B5:G16)</f>
        <v>68.693333333333342</v>
      </c>
      <c r="D7" s="279">
        <f>_xlfn.STDEV.S('2021.4'!B5:G16)</f>
        <v>28.070944424866692</v>
      </c>
      <c r="E7" s="274">
        <f t="shared" si="32"/>
        <v>60</v>
      </c>
      <c r="F7" s="274">
        <f>'2021.4'!D127+'2021.4'!E127</f>
        <v>32533</v>
      </c>
      <c r="G7" s="280">
        <f t="shared" si="33"/>
        <v>0.13402405866359068</v>
      </c>
      <c r="H7" s="280">
        <f t="shared" si="34"/>
        <v>9.2065593364642577</v>
      </c>
      <c r="I7" s="280">
        <f t="shared" si="35"/>
        <v>0.99815571880859433</v>
      </c>
      <c r="J7" s="280">
        <f t="shared" si="36"/>
        <v>13.132965348399241</v>
      </c>
      <c r="K7" s="281">
        <f t="shared" si="37"/>
        <v>0.23546514478261202</v>
      </c>
      <c r="L7" s="282">
        <f>AVERAGE('2021.4'!B20:G26)</f>
        <v>70.781818181818153</v>
      </c>
      <c r="M7" s="282">
        <f>_xlfn.STDEV.S('2021.4'!B20:G26)</f>
        <v>26.141351994319511</v>
      </c>
      <c r="N7" s="283">
        <f t="shared" si="38"/>
        <v>33</v>
      </c>
      <c r="O7" s="283">
        <f>'2021.4'!D128+'2021.4'!E128</f>
        <v>17987</v>
      </c>
      <c r="P7" s="284">
        <f t="shared" si="39"/>
        <v>7.4099859932438006E-2</v>
      </c>
      <c r="Q7" s="285">
        <f t="shared" si="40"/>
        <v>5.2449228130360179</v>
      </c>
      <c r="R7" s="285">
        <f t="shared" si="0"/>
        <v>0.99816534163562576</v>
      </c>
      <c r="S7" s="285">
        <f t="shared" si="1"/>
        <v>20.708190426997351</v>
      </c>
      <c r="T7" s="285">
        <f t="shared" si="2"/>
        <v>0.1134957006560158</v>
      </c>
      <c r="U7" s="286">
        <f>AVEDEV('2021.4'!B30:G35)</f>
        <v>21.482222222222216</v>
      </c>
      <c r="V7" s="286">
        <f>_xlfn.STDEV.S('2021.4'!B30:G35)</f>
        <v>26.079207378125293</v>
      </c>
      <c r="W7" s="274">
        <f t="shared" si="41"/>
        <v>30</v>
      </c>
      <c r="X7" s="274">
        <f>'2021.4'!D129+'2021.4'!E129</f>
        <v>15511</v>
      </c>
      <c r="Y7" s="280">
        <f t="shared" si="42"/>
        <v>6.3899645711460826E-2</v>
      </c>
      <c r="Z7" s="280">
        <f t="shared" si="3"/>
        <v>1.3727063890948703</v>
      </c>
      <c r="AA7" s="280">
        <f t="shared" si="4"/>
        <v>0.99806588872413127</v>
      </c>
      <c r="AB7" s="280">
        <f t="shared" si="5"/>
        <v>22.67083524904216</v>
      </c>
      <c r="AC7" s="281">
        <f t="shared" si="6"/>
        <v>9.2389716436026975E-2</v>
      </c>
      <c r="AD7" s="287">
        <f>AVERAGE('2021.4'!B39:G42)</f>
        <v>70.440000000000012</v>
      </c>
      <c r="AE7" s="287">
        <f>_xlfn.STDEV.S('2021.4'!B39:G42)</f>
        <v>27.167306202783308</v>
      </c>
      <c r="AF7" s="276">
        <f t="shared" si="43"/>
        <v>20</v>
      </c>
      <c r="AG7" s="276">
        <f>'2021.4'!D130+'2021.4'!E130</f>
        <v>8813</v>
      </c>
      <c r="AH7" s="276">
        <f t="shared" si="7"/>
        <v>3.6306335997363437E-2</v>
      </c>
      <c r="AI7" s="285">
        <f t="shared" si="8"/>
        <v>2.5574183076542805</v>
      </c>
      <c r="AJ7" s="285">
        <f t="shared" si="9"/>
        <v>0.99773062521275391</v>
      </c>
      <c r="AK7" s="285">
        <f t="shared" si="10"/>
        <v>36.903126315789422</v>
      </c>
      <c r="AL7" s="288">
        <f t="shared" si="11"/>
        <v>4.8533466048320435E-2</v>
      </c>
      <c r="AM7" s="289">
        <f>AVERAGE('2021.4'!B46:G58)</f>
        <v>69.753968253968253</v>
      </c>
      <c r="AN7" s="290">
        <f>_xlfn.STDEV.S('2021.4'!B46:G58)</f>
        <v>27.723995810063084</v>
      </c>
      <c r="AO7" s="274">
        <f t="shared" si="44"/>
        <v>63</v>
      </c>
      <c r="AP7" s="274">
        <f>'2021.4'!D131+'2021.4'!E131</f>
        <v>36331</v>
      </c>
      <c r="AQ7" s="274">
        <f t="shared" si="45"/>
        <v>0.1496704292658812</v>
      </c>
      <c r="AR7" s="280">
        <f t="shared" si="46"/>
        <v>10.440106371570078</v>
      </c>
      <c r="AS7" s="280">
        <f t="shared" si="12"/>
        <v>0.99826594368445676</v>
      </c>
      <c r="AT7" s="280">
        <f t="shared" si="13"/>
        <v>12.200316566291992</v>
      </c>
      <c r="AU7" s="281">
        <f t="shared" si="14"/>
        <v>0.27282826633092311</v>
      </c>
      <c r="AV7" s="287">
        <f>AVERAGE('2021.4'!B62:G76)</f>
        <v>67.85733333333333</v>
      </c>
      <c r="AW7" s="285">
        <f>_xlfn.STDEV.S('2021.4'!B62:G76)</f>
        <v>27.616755457185434</v>
      </c>
      <c r="AX7" s="276">
        <f t="shared" si="47"/>
        <v>75</v>
      </c>
      <c r="AY7" s="276">
        <f>'2021.4'!D132+'2021.4'!E132</f>
        <v>42040</v>
      </c>
      <c r="AZ7" s="276">
        <f t="shared" si="15"/>
        <v>0.17318942077943478</v>
      </c>
      <c r="BA7" s="285">
        <f t="shared" si="16"/>
        <v>11.752172255637031</v>
      </c>
      <c r="BB7" s="285">
        <f t="shared" si="17"/>
        <v>0.99821598477640339</v>
      </c>
      <c r="BC7" s="285">
        <f t="shared" si="18"/>
        <v>10.169135759759753</v>
      </c>
      <c r="BD7" s="288">
        <f t="shared" si="19"/>
        <v>0.30447475163099408</v>
      </c>
      <c r="BE7" s="279">
        <f>AVERAGE('2021.4'!B80:G99)</f>
        <v>68.066666666666677</v>
      </c>
      <c r="BF7" s="274">
        <f>_xlfn.STDEV.S('2021.4'!B80:G99)</f>
        <v>25.476493465511385</v>
      </c>
      <c r="BG7" s="274">
        <f t="shared" si="48"/>
        <v>96</v>
      </c>
      <c r="BH7" s="274">
        <f>'2021.4'!D133+'2021.4'!E133</f>
        <v>54138</v>
      </c>
      <c r="BI7" s="274">
        <f t="shared" si="20"/>
        <v>0.22302875504655187</v>
      </c>
      <c r="BJ7" s="280">
        <f t="shared" si="21"/>
        <v>15.1808239268353</v>
      </c>
      <c r="BK7" s="280">
        <f t="shared" si="22"/>
        <v>0.99822675385126902</v>
      </c>
      <c r="BL7" s="280">
        <f t="shared" si="23"/>
        <v>6.7609554093567112</v>
      </c>
      <c r="BM7" s="281">
        <f t="shared" si="24"/>
        <v>0.33570591801454608</v>
      </c>
      <c r="BN7" s="282">
        <f>AVERAGE('2021.4'!B103:G113)</f>
        <v>66.995918367346945</v>
      </c>
      <c r="BO7" s="276">
        <f>_xlfn.STDEV.S('2021.4'!B103:G113)</f>
        <v>25.074264355972584</v>
      </c>
      <c r="BP7" s="276">
        <f t="shared" si="49"/>
        <v>49</v>
      </c>
      <c r="BQ7" s="276">
        <f>'2021.4'!D134+'2021.4'!E134</f>
        <v>26629</v>
      </c>
      <c r="BR7" s="276">
        <f t="shared" si="50"/>
        <v>0.10970173848562248</v>
      </c>
      <c r="BS7" s="285">
        <f t="shared" si="51"/>
        <v>7.3495687163388057</v>
      </c>
      <c r="BT7" s="285">
        <f t="shared" si="25"/>
        <v>0.99815990085996475</v>
      </c>
      <c r="BU7" s="285">
        <f t="shared" si="26"/>
        <v>12.830994550881577</v>
      </c>
      <c r="BV7" s="288">
        <f t="shared" si="27"/>
        <v>0.15413009979433481</v>
      </c>
      <c r="BW7" s="279">
        <f>AVERAGE('2021.4'!B117:D122)</f>
        <v>62.600000000000009</v>
      </c>
      <c r="BX7" s="274">
        <f>_xlfn.STDEV.S('2021.4'!B117:D122)</f>
        <v>24.076740056841256</v>
      </c>
      <c r="BY7" s="274">
        <f t="shared" si="52"/>
        <v>18</v>
      </c>
      <c r="BZ7" s="274">
        <f t="shared" si="57"/>
        <v>8758</v>
      </c>
      <c r="CA7" s="274">
        <f t="shared" si="53"/>
        <v>3.607975611765675E-2</v>
      </c>
      <c r="CB7" s="280">
        <f t="shared" si="54"/>
        <v>2.258592732965313</v>
      </c>
      <c r="CC7" s="280">
        <f t="shared" si="28"/>
        <v>0.99794473624115099</v>
      </c>
      <c r="CD7" s="280">
        <f t="shared" si="29"/>
        <v>32.204967320261353</v>
      </c>
      <c r="CE7" s="281">
        <f t="shared" si="30"/>
        <v>4.183661524630989E-2</v>
      </c>
      <c r="CF7" s="291">
        <f t="shared" si="55"/>
        <v>50.911388700095678</v>
      </c>
      <c r="CG7" s="292">
        <f t="shared" si="56"/>
        <v>1.1179887448008836</v>
      </c>
    </row>
    <row r="8" spans="1:85" ht="15" x14ac:dyDescent="0.25">
      <c r="A8" s="277" t="str">
        <f>'monitoring results'!A8</f>
        <v>01/05/2021-31/05/2021</v>
      </c>
      <c r="B8" s="278">
        <f t="shared" si="31"/>
        <v>242634</v>
      </c>
      <c r="C8" s="279">
        <f>AVERAGE('2021.5'!B5:G16)</f>
        <v>67.353333333333339</v>
      </c>
      <c r="D8" s="279">
        <f>_xlfn.STDEV.S('2021.5'!B5:G16)</f>
        <v>27.181302563334768</v>
      </c>
      <c r="E8" s="274">
        <f t="shared" si="32"/>
        <v>60</v>
      </c>
      <c r="F8" s="274">
        <f>'2021.5'!D127+'2021.5'!E127</f>
        <v>32467</v>
      </c>
      <c r="G8" s="280">
        <f t="shared" si="33"/>
        <v>0.13381059538234544</v>
      </c>
      <c r="H8" s="280">
        <f t="shared" si="34"/>
        <v>9.0125896343189051</v>
      </c>
      <c r="I8" s="280">
        <f t="shared" si="35"/>
        <v>0.99815196969230291</v>
      </c>
      <c r="J8" s="280">
        <f t="shared" si="36"/>
        <v>12.313720150659153</v>
      </c>
      <c r="K8" s="281">
        <f t="shared" si="37"/>
        <v>0.22007309620608309</v>
      </c>
      <c r="L8" s="282">
        <f>AVERAGE('2021.5'!B20:G26)</f>
        <v>67.160606060606057</v>
      </c>
      <c r="M8" s="282">
        <f>_xlfn.STDEV.S('2021.5'!B20:G26)</f>
        <v>28.348963157780805</v>
      </c>
      <c r="N8" s="283">
        <f t="shared" si="38"/>
        <v>33</v>
      </c>
      <c r="O8" s="293">
        <f>'2021.5'!D128+'2021.5'!E128</f>
        <v>17987</v>
      </c>
      <c r="P8" s="284">
        <f t="shared" si="39"/>
        <v>7.4132232086187425E-2</v>
      </c>
      <c r="Q8" s="285">
        <f t="shared" si="40"/>
        <v>4.9787656355338541</v>
      </c>
      <c r="R8" s="285">
        <f t="shared" si="0"/>
        <v>0.99816534163562576</v>
      </c>
      <c r="S8" s="285">
        <f t="shared" si="1"/>
        <v>24.353445821854951</v>
      </c>
      <c r="T8" s="285">
        <f t="shared" si="2"/>
        <v>0.13359095632127987</v>
      </c>
      <c r="U8" s="286">
        <f>AVEDEV('2021.5'!B30:G35)</f>
        <v>22.633333333333336</v>
      </c>
      <c r="V8" s="286">
        <f>_xlfn.STDEV.S('2021.5'!B30:G35)</f>
        <v>26.777679845928297</v>
      </c>
      <c r="W8" s="274">
        <f t="shared" si="41"/>
        <v>30</v>
      </c>
      <c r="X8" s="274">
        <f>'2021.5'!D129+'2021.5'!E129</f>
        <v>15517</v>
      </c>
      <c r="Y8" s="280">
        <f t="shared" si="42"/>
        <v>6.3952290280834503E-2</v>
      </c>
      <c r="Z8" s="280">
        <f t="shared" si="3"/>
        <v>1.4474535033562212</v>
      </c>
      <c r="AA8" s="280">
        <f t="shared" si="4"/>
        <v>0.9980666365921248</v>
      </c>
      <c r="AB8" s="280">
        <f t="shared" si="5"/>
        <v>23.901471264367817</v>
      </c>
      <c r="AC8" s="281">
        <f t="shared" si="6"/>
        <v>9.7565523137801674E-2</v>
      </c>
      <c r="AD8" s="287">
        <f>AVERAGE('2021.5'!B39:G42)</f>
        <v>68.965000000000003</v>
      </c>
      <c r="AE8" s="287">
        <f>_xlfn.STDEV.S('2021.5'!B39:G42)</f>
        <v>29.365738629620001</v>
      </c>
      <c r="AF8" s="276">
        <f t="shared" si="43"/>
        <v>20</v>
      </c>
      <c r="AG8" s="294">
        <f>'2021.5'!D130+'2021.5'!E130</f>
        <v>8803</v>
      </c>
      <c r="AH8" s="276">
        <f t="shared" si="7"/>
        <v>3.628098287956346E-2</v>
      </c>
      <c r="AI8" s="285">
        <f t="shared" si="8"/>
        <v>2.5021179842890939</v>
      </c>
      <c r="AJ8" s="285">
        <f t="shared" si="9"/>
        <v>0.99772804725661701</v>
      </c>
      <c r="AK8" s="285">
        <f t="shared" si="10"/>
        <v>43.117330263157818</v>
      </c>
      <c r="AL8" s="288">
        <f t="shared" si="11"/>
        <v>5.6626814463490098E-2</v>
      </c>
      <c r="AM8" s="289">
        <f>AVERAGE('2021.5'!B46:G58)</f>
        <v>66.858730158730168</v>
      </c>
      <c r="AN8" s="289">
        <f>_xlfn.STDEV.S('2021.5'!B46:G58)</f>
        <v>26.372515231805611</v>
      </c>
      <c r="AO8" s="274">
        <f t="shared" si="44"/>
        <v>63</v>
      </c>
      <c r="AP8" s="274">
        <f>'2021.5'!D131+'2021.5'!E131</f>
        <v>36317</v>
      </c>
      <c r="AQ8" s="274">
        <f t="shared" si="45"/>
        <v>0.14967811601012224</v>
      </c>
      <c r="AR8" s="280">
        <f t="shared" si="46"/>
        <v>10.007288768987873</v>
      </c>
      <c r="AS8" s="280">
        <f t="shared" si="12"/>
        <v>0.99826527521546382</v>
      </c>
      <c r="AT8" s="280">
        <f t="shared" si="13"/>
        <v>11.039834280187604</v>
      </c>
      <c r="AU8" s="281">
        <f t="shared" si="14"/>
        <v>0.24690229953684603</v>
      </c>
      <c r="AV8" s="287">
        <f>AVERAGE('2021.5'!B62:G76)</f>
        <v>68.073333333333323</v>
      </c>
      <c r="AW8" s="287">
        <f>_xlfn.STDEV.S('2021.5'!B62:G76)</f>
        <v>25.724372360338268</v>
      </c>
      <c r="AX8" s="276">
        <f t="shared" si="47"/>
        <v>75</v>
      </c>
      <c r="AY8" s="276">
        <f>'2021.5'!D132+'2021.5'!E132</f>
        <v>42040</v>
      </c>
      <c r="AZ8" s="276">
        <f t="shared" si="15"/>
        <v>0.17326508238746424</v>
      </c>
      <c r="BA8" s="285">
        <f t="shared" si="16"/>
        <v>11.794731708389316</v>
      </c>
      <c r="BB8" s="285">
        <f t="shared" si="17"/>
        <v>0.99821598477640339</v>
      </c>
      <c r="BC8" s="285">
        <f t="shared" si="18"/>
        <v>8.8232444444444731</v>
      </c>
      <c r="BD8" s="288">
        <f t="shared" si="19"/>
        <v>0.26440820647021201</v>
      </c>
      <c r="BE8" s="279">
        <f>AVERAGE('2021.5'!B80:G99)</f>
        <v>68.787500000000009</v>
      </c>
      <c r="BF8" s="295">
        <f>_xlfn.STDEV.S('2021.5'!B80:G99)</f>
        <v>26.752948681554589</v>
      </c>
      <c r="BG8" s="274">
        <f t="shared" si="48"/>
        <v>96</v>
      </c>
      <c r="BH8" s="296">
        <f>'2021.5'!D133+'2021.5'!E133</f>
        <v>54094</v>
      </c>
      <c r="BI8" s="274">
        <f t="shared" si="20"/>
        <v>0.22294484697115821</v>
      </c>
      <c r="BJ8" s="280">
        <f t="shared" si="21"/>
        <v>15.335818661028547</v>
      </c>
      <c r="BK8" s="280">
        <f t="shared" si="22"/>
        <v>0.99822531149480531</v>
      </c>
      <c r="BL8" s="280">
        <f t="shared" si="23"/>
        <v>7.4554194078947233</v>
      </c>
      <c r="BM8" s="281">
        <f t="shared" si="24"/>
        <v>0.3699095428145362</v>
      </c>
      <c r="BN8" s="282">
        <f>AVERAGE('2021.5'!B103:G113)</f>
        <v>69.373469387755136</v>
      </c>
      <c r="BO8" s="382">
        <f>_xlfn.STDEV.S('2021.5'!B103:G113)</f>
        <v>27.269081816761773</v>
      </c>
      <c r="BP8" s="276">
        <f t="shared" si="49"/>
        <v>49</v>
      </c>
      <c r="BQ8" s="294">
        <f>'2021.5'!D134+'2021.5'!E134</f>
        <v>26651</v>
      </c>
      <c r="BR8" s="276">
        <f t="shared" si="50"/>
        <v>0.10984033564957921</v>
      </c>
      <c r="BS8" s="285">
        <f t="shared" si="51"/>
        <v>7.6200051627268319</v>
      </c>
      <c r="BT8" s="285">
        <f t="shared" si="25"/>
        <v>0.99816141983415252</v>
      </c>
      <c r="BU8" s="285">
        <f t="shared" si="26"/>
        <v>15.175567818964236</v>
      </c>
      <c r="BV8" s="288">
        <f t="shared" si="27"/>
        <v>0.18275506933190813</v>
      </c>
      <c r="BW8" s="279">
        <f>AVERAGE('2021.5'!B117:D122)</f>
        <v>60.95000000000001</v>
      </c>
      <c r="BX8" s="295">
        <f>_xlfn.STDEV.S('2021.5'!B117:D122)</f>
        <v>25.45564192634615</v>
      </c>
      <c r="BY8" s="274">
        <f t="shared" si="52"/>
        <v>18</v>
      </c>
      <c r="BZ8" s="274">
        <f t="shared" si="57"/>
        <v>8758</v>
      </c>
      <c r="CA8" s="274">
        <f t="shared" si="53"/>
        <v>3.6095518352745284E-2</v>
      </c>
      <c r="CB8" s="280">
        <f t="shared" si="54"/>
        <v>2.2000218435998256</v>
      </c>
      <c r="CC8" s="280">
        <f t="shared" si="28"/>
        <v>0.99794473624115099</v>
      </c>
      <c r="CD8" s="280">
        <f t="shared" si="29"/>
        <v>35.999428104575109</v>
      </c>
      <c r="CE8" s="281">
        <f t="shared" si="30"/>
        <v>4.680676853159739E-2</v>
      </c>
      <c r="CF8" s="291">
        <f t="shared" si="55"/>
        <v>50.907437632377714</v>
      </c>
      <c r="CG8" s="292">
        <f t="shared" si="56"/>
        <v>1.1247107291594545</v>
      </c>
    </row>
    <row r="9" spans="1:85" ht="15" x14ac:dyDescent="0.25">
      <c r="A9" s="277" t="str">
        <f>'monitoring results'!A9</f>
        <v>01/06/2021-30/06/2021</v>
      </c>
      <c r="B9" s="278">
        <f t="shared" si="31"/>
        <v>242579</v>
      </c>
      <c r="C9" s="279">
        <f>AVERAGE('2021.6'!B5:G16)</f>
        <v>68.811666666666696</v>
      </c>
      <c r="D9" s="279">
        <f>_xlfn.STDEV.S('2021.6'!B5:G16)</f>
        <v>27.779269747126389</v>
      </c>
      <c r="E9" s="274">
        <f t="shared" si="32"/>
        <v>60</v>
      </c>
      <c r="F9" s="274">
        <f>'2021.6'!D127+'2021.6'!E127</f>
        <v>32493</v>
      </c>
      <c r="G9" s="280">
        <f t="shared" si="33"/>
        <v>0.13394811587153052</v>
      </c>
      <c r="H9" s="280">
        <f t="shared" si="34"/>
        <v>9.217193099979804</v>
      </c>
      <c r="I9" s="280">
        <f t="shared" si="35"/>
        <v>0.9981534484350475</v>
      </c>
      <c r="J9" s="280">
        <f t="shared" si="36"/>
        <v>12.861463794726857</v>
      </c>
      <c r="K9" s="281">
        <f t="shared" si="37"/>
        <v>0.23033552728712361</v>
      </c>
      <c r="L9" s="282">
        <f>AVERAGE('2021.6'!B20:G26)</f>
        <v>67.087878787878807</v>
      </c>
      <c r="M9" s="282">
        <f>_xlfn.STDEV.S('2021.6'!B20:G26)</f>
        <v>25.43970515719171</v>
      </c>
      <c r="N9" s="283">
        <f t="shared" si="38"/>
        <v>33</v>
      </c>
      <c r="O9" s="293">
        <f>'2021.6'!D128+'2021.6'!E128</f>
        <v>17973</v>
      </c>
      <c r="P9" s="284">
        <f t="shared" si="39"/>
        <v>7.4091326949158834E-2</v>
      </c>
      <c r="Q9" s="285">
        <f t="shared" si="40"/>
        <v>4.9706299615982656</v>
      </c>
      <c r="R9" s="285">
        <f t="shared" si="0"/>
        <v>0.99816391253546988</v>
      </c>
      <c r="S9" s="285">
        <f t="shared" si="1"/>
        <v>19.611472681358983</v>
      </c>
      <c r="T9" s="285">
        <f t="shared" si="2"/>
        <v>0.10745999537033225</v>
      </c>
      <c r="U9" s="286">
        <f>AVEDEV('2021.6'!B30:G35)</f>
        <v>22.668000000000003</v>
      </c>
      <c r="V9" s="286">
        <f>_xlfn.STDEV.S('2021.6'!B30:G35)</f>
        <v>27.936114310308444</v>
      </c>
      <c r="W9" s="274">
        <f t="shared" si="41"/>
        <v>30</v>
      </c>
      <c r="X9" s="274">
        <f>'2021.6'!D129+'2021.6'!E129</f>
        <v>15511</v>
      </c>
      <c r="Y9" s="280">
        <f t="shared" si="42"/>
        <v>6.3942055990007379E-2</v>
      </c>
      <c r="Z9" s="280">
        <f t="shared" si="3"/>
        <v>1.4494385251814874</v>
      </c>
      <c r="AA9" s="280">
        <f t="shared" si="4"/>
        <v>0.99806588872413127</v>
      </c>
      <c r="AB9" s="280">
        <f t="shared" si="5"/>
        <v>26.014216091954005</v>
      </c>
      <c r="AC9" s="281">
        <f t="shared" si="6"/>
        <v>0.10615565862043366</v>
      </c>
      <c r="AD9" s="287">
        <f>AVERAGE('2021.6'!B39:G42)</f>
        <v>68.309999999999988</v>
      </c>
      <c r="AE9" s="287">
        <f>_xlfn.STDEV.S('2021.6'!B39:G42)</f>
        <v>23.518165431494854</v>
      </c>
      <c r="AF9" s="276">
        <f t="shared" si="43"/>
        <v>20</v>
      </c>
      <c r="AG9" s="294">
        <f>'2021.6'!D130+'2021.6'!E130</f>
        <v>8810</v>
      </c>
      <c r="AH9" s="276">
        <f t="shared" si="7"/>
        <v>3.6318065454965187E-2</v>
      </c>
      <c r="AI9" s="285">
        <f t="shared" si="8"/>
        <v>2.4808870512286711</v>
      </c>
      <c r="AJ9" s="285">
        <f t="shared" si="9"/>
        <v>0.99772985244040857</v>
      </c>
      <c r="AK9" s="285">
        <f t="shared" si="10"/>
        <v>27.655205263157978</v>
      </c>
      <c r="AL9" s="288">
        <f t="shared" si="11"/>
        <v>3.6394458909172145E-2</v>
      </c>
      <c r="AM9" s="289">
        <f>AVERAGE('2021.6'!B46:G58)</f>
        <v>68.103174603174622</v>
      </c>
      <c r="AN9" s="289">
        <f>_xlfn.STDEV.S('2021.6'!B46:G58)</f>
        <v>27.516868540505659</v>
      </c>
      <c r="AO9" s="274">
        <f t="shared" si="44"/>
        <v>63</v>
      </c>
      <c r="AP9" s="274">
        <f>'2021.6'!D131+'2021.6'!E131</f>
        <v>36331</v>
      </c>
      <c r="AQ9" s="274">
        <f t="shared" si="45"/>
        <v>0.14976976572580478</v>
      </c>
      <c r="AR9" s="280">
        <f t="shared" si="46"/>
        <v>10.199796505501041</v>
      </c>
      <c r="AS9" s="280">
        <f t="shared" si="12"/>
        <v>0.99826594368445676</v>
      </c>
      <c r="AT9" s="280">
        <f t="shared" si="13"/>
        <v>12.018699274213809</v>
      </c>
      <c r="AU9" s="281">
        <f t="shared" si="14"/>
        <v>0.26912374941855949</v>
      </c>
      <c r="AV9" s="287">
        <f>AVERAGE('2021.6'!B62:G76)</f>
        <v>67.362666666666669</v>
      </c>
      <c r="AW9" s="287">
        <f>_xlfn.STDEV.S('2021.6'!B62:G76)</f>
        <v>26.73409996429465</v>
      </c>
      <c r="AX9" s="276">
        <f t="shared" si="47"/>
        <v>75</v>
      </c>
      <c r="AY9" s="276">
        <f>'2021.6'!D132+'2021.6'!E132</f>
        <v>42057</v>
      </c>
      <c r="AZ9" s="276">
        <f t="shared" si="15"/>
        <v>0.17337444708734062</v>
      </c>
      <c r="BA9" s="285">
        <f t="shared" si="16"/>
        <v>11.678965087662165</v>
      </c>
      <c r="BB9" s="285">
        <f t="shared" si="17"/>
        <v>0.99821670589913691</v>
      </c>
      <c r="BC9" s="285">
        <f t="shared" si="18"/>
        <v>9.5294946786786561</v>
      </c>
      <c r="BD9" s="288">
        <f t="shared" si="19"/>
        <v>0.28593339697049264</v>
      </c>
      <c r="BE9" s="279">
        <f>AVERAGE('2021.6'!B80:G99)</f>
        <v>67.825000000000003</v>
      </c>
      <c r="BF9" s="295">
        <f>_xlfn.STDEV.S('2021.6'!B80:G99)</f>
        <v>26.663229164406996</v>
      </c>
      <c r="BG9" s="274">
        <f t="shared" si="48"/>
        <v>96</v>
      </c>
      <c r="BH9" s="296">
        <f>'2021.6'!D133+'2021.6'!E133</f>
        <v>54006</v>
      </c>
      <c r="BI9" s="274">
        <f t="shared" si="20"/>
        <v>0.22263262689680474</v>
      </c>
      <c r="BJ9" s="280">
        <f t="shared" si="21"/>
        <v>15.100057919275782</v>
      </c>
      <c r="BK9" s="280">
        <f t="shared" si="22"/>
        <v>0.99822241973114101</v>
      </c>
      <c r="BL9" s="280">
        <f t="shared" si="23"/>
        <v>7.4054978070175395</v>
      </c>
      <c r="BM9" s="281">
        <f t="shared" si="24"/>
        <v>0.36640315008734686</v>
      </c>
      <c r="BN9" s="282">
        <f>AVERAGE('2021.6'!B103:G113)</f>
        <v>65.608163265306104</v>
      </c>
      <c r="BO9" s="382">
        <f>_xlfn.STDEV.S('2021.6'!B103:G113)</f>
        <v>27.38039015985937</v>
      </c>
      <c r="BP9" s="276">
        <f t="shared" si="49"/>
        <v>49</v>
      </c>
      <c r="BQ9" s="294">
        <f>'2021.6'!D134+'2021.6'!E134</f>
        <v>26640</v>
      </c>
      <c r="BR9" s="276">
        <f t="shared" si="50"/>
        <v>0.10981989372534308</v>
      </c>
      <c r="BS9" s="285">
        <f t="shared" si="51"/>
        <v>7.205081517310874</v>
      </c>
      <c r="BT9" s="285">
        <f t="shared" si="25"/>
        <v>0.99816066066066067</v>
      </c>
      <c r="BU9" s="285">
        <f t="shared" si="26"/>
        <v>15.299709496043343</v>
      </c>
      <c r="BV9" s="288">
        <f t="shared" si="27"/>
        <v>0.18418135870491328</v>
      </c>
      <c r="BW9" s="279">
        <f>AVERAGE('2021.6'!B117:D122)</f>
        <v>63.533333333333331</v>
      </c>
      <c r="BX9" s="295">
        <f>_xlfn.STDEV.S('2021.6'!B117:D122)</f>
        <v>23.370116665116949</v>
      </c>
      <c r="BY9" s="274">
        <f t="shared" si="52"/>
        <v>18</v>
      </c>
      <c r="BZ9" s="274">
        <f t="shared" si="57"/>
        <v>8758</v>
      </c>
      <c r="CA9" s="274">
        <f t="shared" si="53"/>
        <v>3.6103702299044846E-2</v>
      </c>
      <c r="CB9" s="280">
        <f t="shared" si="54"/>
        <v>2.2937885527326491</v>
      </c>
      <c r="CC9" s="280">
        <f t="shared" si="28"/>
        <v>0.99794473624115099</v>
      </c>
      <c r="CD9" s="280">
        <f t="shared" si="29"/>
        <v>30.3423529411765</v>
      </c>
      <c r="CE9" s="281">
        <f t="shared" si="30"/>
        <v>3.9469282034225769E-2</v>
      </c>
      <c r="CF9" s="291">
        <f t="shared" si="55"/>
        <v>50.408015158892674</v>
      </c>
      <c r="CG9" s="292">
        <f t="shared" si="56"/>
        <v>1.1347515387718774</v>
      </c>
    </row>
    <row r="10" spans="1:85" ht="15" x14ac:dyDescent="0.25">
      <c r="A10" s="277" t="str">
        <f>'monitoring results'!A10</f>
        <v>01/07/2021-31/07/2021</v>
      </c>
      <c r="B10" s="278">
        <f t="shared" si="31"/>
        <v>242730</v>
      </c>
      <c r="C10" s="279">
        <f>AVERAGE('2021.7'!B5:G16)</f>
        <v>69.339999999999975</v>
      </c>
      <c r="D10" s="279">
        <f>_xlfn.STDEV.S('2021.7'!B5:G16)</f>
        <v>27.827685275577867</v>
      </c>
      <c r="E10" s="274">
        <f t="shared" si="32"/>
        <v>60</v>
      </c>
      <c r="F10" s="274">
        <f>'2021.7'!D127+'2021.7'!E127</f>
        <v>32520</v>
      </c>
      <c r="G10" s="280">
        <f t="shared" si="33"/>
        <v>0.13397602274131751</v>
      </c>
      <c r="H10" s="280">
        <f t="shared" si="34"/>
        <v>9.2898974168829529</v>
      </c>
      <c r="I10" s="280">
        <f t="shared" si="35"/>
        <v>0.99815498154981552</v>
      </c>
      <c r="J10" s="280">
        <f t="shared" si="36"/>
        <v>12.906334463276888</v>
      </c>
      <c r="K10" s="281">
        <f t="shared" si="37"/>
        <v>0.23123579125483562</v>
      </c>
      <c r="L10" s="282">
        <f>AVERAGE('2021.7'!B20:G26)</f>
        <v>66.11212121212121</v>
      </c>
      <c r="M10" s="282">
        <f>_xlfn.STDEV.S('2021.7'!B20:G26)</f>
        <v>28.81497828360882</v>
      </c>
      <c r="N10" s="283">
        <f t="shared" si="38"/>
        <v>33</v>
      </c>
      <c r="O10" s="293">
        <f>'2021.7'!D128+'2021.7'!E128</f>
        <v>17943</v>
      </c>
      <c r="P10" s="284">
        <f t="shared" si="39"/>
        <v>7.3921641329872695E-2</v>
      </c>
      <c r="Q10" s="285">
        <f t="shared" si="40"/>
        <v>4.8871165117994924</v>
      </c>
      <c r="R10" s="285">
        <f t="shared" si="0"/>
        <v>0.99816084266845007</v>
      </c>
      <c r="S10" s="285">
        <f t="shared" si="1"/>
        <v>25.160696166207515</v>
      </c>
      <c r="T10" s="285">
        <f t="shared" si="2"/>
        <v>0.13723547332741959</v>
      </c>
      <c r="U10" s="286">
        <f>AVEDEV('2021.7'!B30:G35)</f>
        <v>22.99955555555556</v>
      </c>
      <c r="V10" s="286">
        <f>_xlfn.STDEV.S('2021.7'!B30:G35)</f>
        <v>27.065322428541702</v>
      </c>
      <c r="W10" s="274">
        <f t="shared" si="41"/>
        <v>30</v>
      </c>
      <c r="X10" s="274">
        <f>'2021.7'!D129+'2021.7'!E129</f>
        <v>15523</v>
      </c>
      <c r="Y10" s="280">
        <f t="shared" si="42"/>
        <v>6.3951715898323241E-2</v>
      </c>
      <c r="Z10" s="280">
        <f t="shared" si="3"/>
        <v>1.4708610426765909</v>
      </c>
      <c r="AA10" s="280">
        <f t="shared" si="4"/>
        <v>0.99806738388198157</v>
      </c>
      <c r="AB10" s="280">
        <f t="shared" si="5"/>
        <v>24.417722605364084</v>
      </c>
      <c r="AC10" s="281">
        <f t="shared" si="6"/>
        <v>9.9671139236160319E-2</v>
      </c>
      <c r="AD10" s="287">
        <f>AVERAGE('2021.7'!B39:G42)</f>
        <v>67.33</v>
      </c>
      <c r="AE10" s="287">
        <f>_xlfn.STDEV.S('2021.7'!B39:G42)</f>
        <v>30.413502887611251</v>
      </c>
      <c r="AF10" s="276">
        <f t="shared" si="43"/>
        <v>20</v>
      </c>
      <c r="AG10" s="294">
        <f>'2021.7'!D130+'2021.7'!E130</f>
        <v>8817</v>
      </c>
      <c r="AH10" s="276">
        <f t="shared" si="7"/>
        <v>3.6324310962798173E-2</v>
      </c>
      <c r="AI10" s="285">
        <f t="shared" si="8"/>
        <v>2.4457158571252009</v>
      </c>
      <c r="AJ10" s="285">
        <f t="shared" si="9"/>
        <v>0.99773165475785419</v>
      </c>
      <c r="AK10" s="285">
        <f t="shared" si="10"/>
        <v>46.2490578947369</v>
      </c>
      <c r="AL10" s="288">
        <f t="shared" si="11"/>
        <v>6.0885154363782078E-2</v>
      </c>
      <c r="AM10" s="289">
        <f>AVERAGE('2021.7'!B46:G58)</f>
        <v>69.230158730158749</v>
      </c>
      <c r="AN10" s="289">
        <f>_xlfn.STDEV.S('2021.7'!B46:G58)</f>
        <v>26.664381430499596</v>
      </c>
      <c r="AO10" s="274">
        <f t="shared" si="44"/>
        <v>63</v>
      </c>
      <c r="AP10" s="274">
        <f>'2021.7'!D131+'2021.7'!E131</f>
        <v>36346</v>
      </c>
      <c r="AQ10" s="274">
        <f t="shared" si="45"/>
        <v>0.14973839245251927</v>
      </c>
      <c r="AR10" s="280">
        <f t="shared" si="46"/>
        <v>10.366412677486712</v>
      </c>
      <c r="AS10" s="280">
        <f t="shared" si="12"/>
        <v>0.99826665932977499</v>
      </c>
      <c r="AT10" s="280">
        <f t="shared" si="13"/>
        <v>11.285543445574154</v>
      </c>
      <c r="AU10" s="281">
        <f t="shared" si="14"/>
        <v>0.25260118073801685</v>
      </c>
      <c r="AV10" s="287">
        <f>AVERAGE('2021.7'!B62:G76)</f>
        <v>68.275999999999996</v>
      </c>
      <c r="AW10" s="287">
        <f>_xlfn.STDEV.S('2021.7'!B62:G76)</f>
        <v>26.105233191833403</v>
      </c>
      <c r="AX10" s="276">
        <f t="shared" si="47"/>
        <v>75</v>
      </c>
      <c r="AY10" s="276">
        <f>'2021.7'!D132+'2021.7'!E132</f>
        <v>42023</v>
      </c>
      <c r="AZ10" s="276">
        <f t="shared" si="15"/>
        <v>0.17312651917768715</v>
      </c>
      <c r="BA10" s="285">
        <f t="shared" si="16"/>
        <v>11.820386223375767</v>
      </c>
      <c r="BB10" s="285">
        <f t="shared" si="17"/>
        <v>0.99821526307022346</v>
      </c>
      <c r="BC10" s="285">
        <f t="shared" si="18"/>
        <v>9.086442666666672</v>
      </c>
      <c r="BD10" s="288">
        <f t="shared" si="19"/>
        <v>0.27185998676212081</v>
      </c>
      <c r="BE10" s="279">
        <f>AVERAGE('2021.7'!B80:G99)</f>
        <v>66.581250000000026</v>
      </c>
      <c r="BF10" s="295">
        <f>_xlfn.STDEV.S('2021.7'!B80:G99)</f>
        <v>27.577784012727165</v>
      </c>
      <c r="BG10" s="274">
        <f t="shared" si="48"/>
        <v>96</v>
      </c>
      <c r="BH10" s="296">
        <f>'2021.7'!D133+'2021.7'!E133</f>
        <v>54160</v>
      </c>
      <c r="BI10" s="274">
        <f t="shared" si="20"/>
        <v>0.22312857907963582</v>
      </c>
      <c r="BJ10" s="280">
        <f t="shared" si="21"/>
        <v>14.856179705846008</v>
      </c>
      <c r="BK10" s="280">
        <f t="shared" si="22"/>
        <v>0.99822747415066471</v>
      </c>
      <c r="BL10" s="280">
        <f t="shared" si="23"/>
        <v>7.9222309484648958</v>
      </c>
      <c r="BM10" s="281">
        <f t="shared" si="24"/>
        <v>0.39371994621550743</v>
      </c>
      <c r="BN10" s="282">
        <f>AVERAGE('2021.7'!B103:G113)</f>
        <v>66.677551020408131</v>
      </c>
      <c r="BO10" s="382">
        <f>_xlfn.STDEV.S('2021.7'!B103:G113)</f>
        <v>27.07641397743722</v>
      </c>
      <c r="BP10" s="276">
        <f t="shared" si="49"/>
        <v>49</v>
      </c>
      <c r="BQ10" s="294">
        <f>'2021.7'!D134+'2021.7'!E134</f>
        <v>26640</v>
      </c>
      <c r="BR10" s="276">
        <f t="shared" si="50"/>
        <v>0.10975157582499073</v>
      </c>
      <c r="BS10" s="285">
        <f t="shared" si="51"/>
        <v>7.3179662966410115</v>
      </c>
      <c r="BT10" s="285">
        <f t="shared" si="25"/>
        <v>0.99816066066066067</v>
      </c>
      <c r="BU10" s="285">
        <f t="shared" si="26"/>
        <v>14.961881507705257</v>
      </c>
      <c r="BV10" s="288">
        <f t="shared" si="27"/>
        <v>0.17989048376889924</v>
      </c>
      <c r="BW10" s="279">
        <f>AVERAGE('2021.7'!B117:D122)</f>
        <v>60.416666666666664</v>
      </c>
      <c r="BX10" s="295">
        <f>_xlfn.STDEV.S('2021.7'!B117:D122)</f>
        <v>20.456704639454589</v>
      </c>
      <c r="BY10" s="274">
        <f t="shared" si="52"/>
        <v>18</v>
      </c>
      <c r="BZ10" s="274">
        <f t="shared" si="57"/>
        <v>8758</v>
      </c>
      <c r="CA10" s="274">
        <f t="shared" si="53"/>
        <v>3.6081242532855433E-2</v>
      </c>
      <c r="CB10" s="280">
        <f t="shared" si="54"/>
        <v>2.1799084030266824</v>
      </c>
      <c r="CC10" s="280">
        <f t="shared" si="28"/>
        <v>0.99794473624115099</v>
      </c>
      <c r="CD10" s="280">
        <f t="shared" si="29"/>
        <v>23.248709150326828</v>
      </c>
      <c r="CE10" s="281">
        <f t="shared" si="30"/>
        <v>3.0204267372666505E-2</v>
      </c>
      <c r="CF10" s="291">
        <f t="shared" si="55"/>
        <v>50.457430206177968</v>
      </c>
      <c r="CG10" s="292">
        <f t="shared" si="56"/>
        <v>1.1352674391777267</v>
      </c>
    </row>
    <row r="11" spans="1:85" ht="15" x14ac:dyDescent="0.25">
      <c r="A11" s="277" t="str">
        <f>'monitoring results'!A11</f>
        <v>01/08/2021-31/08/2021</v>
      </c>
      <c r="B11" s="278">
        <f t="shared" si="31"/>
        <v>242495</v>
      </c>
      <c r="C11" s="279">
        <f>AVERAGE('2021.8'!B5:G16)</f>
        <v>69.92</v>
      </c>
      <c r="D11" s="279">
        <f>_xlfn.STDEV.S('2021.8'!B5:G16)</f>
        <v>24.291777223537316</v>
      </c>
      <c r="E11" s="274">
        <f t="shared" si="32"/>
        <v>60</v>
      </c>
      <c r="F11" s="274">
        <f>'2021.8'!D127+'2021.8'!E127</f>
        <v>32467</v>
      </c>
      <c r="G11" s="280">
        <f t="shared" si="33"/>
        <v>0.13388729664529164</v>
      </c>
      <c r="H11" s="280">
        <f t="shared" si="34"/>
        <v>9.3613997814387933</v>
      </c>
      <c r="I11" s="280">
        <f t="shared" si="35"/>
        <v>0.99815196969230291</v>
      </c>
      <c r="J11" s="280">
        <f t="shared" si="36"/>
        <v>9.8348406779661044</v>
      </c>
      <c r="K11" s="281">
        <f t="shared" si="37"/>
        <v>0.17597166463664862</v>
      </c>
      <c r="L11" s="282">
        <f>AVERAGE('2021.8'!B20:G26)</f>
        <v>69.24848484848485</v>
      </c>
      <c r="M11" s="282">
        <f>_xlfn.STDEV.S('2021.8'!B20:G26)</f>
        <v>28.829586812120215</v>
      </c>
      <c r="N11" s="283">
        <f t="shared" si="38"/>
        <v>33</v>
      </c>
      <c r="O11" s="293">
        <f>'2021.8'!D128+'2021.8'!E128</f>
        <v>17980</v>
      </c>
      <c r="P11" s="284">
        <f t="shared" si="39"/>
        <v>7.4145858677498511E-2</v>
      </c>
      <c r="Q11" s="285">
        <f t="shared" si="40"/>
        <v>5.134488371206654</v>
      </c>
      <c r="R11" s="285">
        <f t="shared" si="0"/>
        <v>0.99816462736373746</v>
      </c>
      <c r="S11" s="285">
        <f t="shared" si="1"/>
        <v>25.186214416896235</v>
      </c>
      <c r="T11" s="285">
        <f t="shared" si="2"/>
        <v>0.13820980997856205</v>
      </c>
      <c r="U11" s="286">
        <f>AVEDEV('2021.8'!B30:G35)</f>
        <v>22.888444444444449</v>
      </c>
      <c r="V11" s="286">
        <f>_xlfn.STDEV.S('2021.8'!B30:G35)</f>
        <v>26.462672908670172</v>
      </c>
      <c r="W11" s="274">
        <f t="shared" si="41"/>
        <v>30</v>
      </c>
      <c r="X11" s="274">
        <f>'2021.8'!D129+'2021.8'!E129</f>
        <v>15523</v>
      </c>
      <c r="Y11" s="280">
        <f t="shared" si="42"/>
        <v>6.4013691003938222E-2</v>
      </c>
      <c r="Z11" s="280">
        <f t="shared" si="3"/>
        <v>1.4651738102274734</v>
      </c>
      <c r="AA11" s="280">
        <f t="shared" si="4"/>
        <v>0.99806738388198157</v>
      </c>
      <c r="AB11" s="280">
        <f t="shared" si="5"/>
        <v>23.342435249042207</v>
      </c>
      <c r="AC11" s="281">
        <f t="shared" si="6"/>
        <v>9.546666789116881E-2</v>
      </c>
      <c r="AD11" s="287">
        <f>AVERAGE('2021.8'!B39:G42)</f>
        <v>71.945000000000007</v>
      </c>
      <c r="AE11" s="287">
        <f>_xlfn.STDEV.S('2021.8'!B39:G42)</f>
        <v>28.734253811527129</v>
      </c>
      <c r="AF11" s="276">
        <f t="shared" si="43"/>
        <v>20</v>
      </c>
      <c r="AG11" s="294">
        <f>'2021.8'!D130+'2021.8'!E130</f>
        <v>8806</v>
      </c>
      <c r="AH11" s="276">
        <f t="shared" si="7"/>
        <v>3.6314150807233138E-2</v>
      </c>
      <c r="AI11" s="285">
        <f t="shared" si="8"/>
        <v>2.6126215798263885</v>
      </c>
      <c r="AJ11" s="285">
        <f t="shared" si="9"/>
        <v>0.99772882125823303</v>
      </c>
      <c r="AK11" s="285">
        <f t="shared" si="10"/>
        <v>41.282867105263065</v>
      </c>
      <c r="AL11" s="288">
        <f t="shared" si="11"/>
        <v>5.4316797345557104E-2</v>
      </c>
      <c r="AM11" s="289">
        <f>AVERAGE('2021.8'!B46:G58)</f>
        <v>67.034920634920653</v>
      </c>
      <c r="AN11" s="289">
        <f>_xlfn.STDEV.S('2021.8'!B46:G58)</f>
        <v>27.378936798852052</v>
      </c>
      <c r="AO11" s="274">
        <f t="shared" si="44"/>
        <v>63</v>
      </c>
      <c r="AP11" s="274">
        <f>'2021.8'!D131+'2021.8'!E131</f>
        <v>36331</v>
      </c>
      <c r="AQ11" s="274">
        <f t="shared" si="45"/>
        <v>0.14982164580713003</v>
      </c>
      <c r="AR11" s="280">
        <f t="shared" si="46"/>
        <v>10.043282136074154</v>
      </c>
      <c r="AS11" s="280">
        <f t="shared" si="12"/>
        <v>0.99826594368445676</v>
      </c>
      <c r="AT11" s="280">
        <f t="shared" si="13"/>
        <v>11.898510797389445</v>
      </c>
      <c r="AU11" s="281">
        <f t="shared" si="14"/>
        <v>0.26661709449482257</v>
      </c>
      <c r="AV11" s="287">
        <f>AVERAGE('2021.8'!B62:G76)</f>
        <v>68.321333333333342</v>
      </c>
      <c r="AW11" s="287">
        <f>_xlfn.STDEV.S('2021.8'!B62:G76)</f>
        <v>28.036165318491097</v>
      </c>
      <c r="AX11" s="276">
        <f t="shared" si="47"/>
        <v>75</v>
      </c>
      <c r="AY11" s="276">
        <f>'2021.8'!D132+'2021.8'!E132</f>
        <v>42006</v>
      </c>
      <c r="AZ11" s="276">
        <f t="shared" si="15"/>
        <v>0.17322419018948845</v>
      </c>
      <c r="BA11" s="285">
        <f t="shared" si="16"/>
        <v>11.834907639332771</v>
      </c>
      <c r="BB11" s="285">
        <f t="shared" si="17"/>
        <v>0.99821454077988858</v>
      </c>
      <c r="BC11" s="285">
        <f t="shared" si="18"/>
        <v>10.480354210210175</v>
      </c>
      <c r="BD11" s="288">
        <f t="shared" si="19"/>
        <v>0.31391851572335516</v>
      </c>
      <c r="BE11" s="279">
        <f>AVERAGE('2021.8'!B80:G99)</f>
        <v>68.796875000000028</v>
      </c>
      <c r="BF11" s="295">
        <f>_xlfn.STDEV.S('2021.8'!B80:G99)</f>
        <v>26.809446305065798</v>
      </c>
      <c r="BG11" s="274">
        <f t="shared" si="48"/>
        <v>96</v>
      </c>
      <c r="BH11" s="296">
        <f>'2021.8'!D133+'2021.8'!E133</f>
        <v>54006</v>
      </c>
      <c r="BI11" s="274">
        <f t="shared" si="20"/>
        <v>0.22270974659271325</v>
      </c>
      <c r="BJ11" s="280">
        <f t="shared" si="21"/>
        <v>15.321734597620575</v>
      </c>
      <c r="BK11" s="280">
        <f t="shared" si="22"/>
        <v>0.99822241973114101</v>
      </c>
      <c r="BL11" s="280">
        <f t="shared" si="23"/>
        <v>7.4869417831688141</v>
      </c>
      <c r="BM11" s="281">
        <f t="shared" si="24"/>
        <v>0.37068944783057922</v>
      </c>
      <c r="BN11" s="282">
        <f>AVERAGE('2021.8'!B103:G113)</f>
        <v>66.17755102040816</v>
      </c>
      <c r="BO11" s="382">
        <f>_xlfn.STDEV.S('2021.8'!B103:G113)</f>
        <v>26.211203594599606</v>
      </c>
      <c r="BP11" s="276">
        <f t="shared" si="49"/>
        <v>49</v>
      </c>
      <c r="BQ11" s="294">
        <f>'2021.8'!D134+'2021.8'!E134</f>
        <v>26618</v>
      </c>
      <c r="BR11" s="276">
        <f t="shared" si="50"/>
        <v>0.10976721169508649</v>
      </c>
      <c r="BS11" s="285">
        <f t="shared" si="51"/>
        <v>7.2641252523195297</v>
      </c>
      <c r="BT11" s="285">
        <f t="shared" si="25"/>
        <v>0.99815914043128706</v>
      </c>
      <c r="BU11" s="285">
        <f t="shared" si="26"/>
        <v>14.020963140358191</v>
      </c>
      <c r="BV11" s="288">
        <f t="shared" si="27"/>
        <v>0.16862536412597035</v>
      </c>
      <c r="BW11" s="279">
        <f>AVERAGE('2021.8'!B117:D122)</f>
        <v>57.788888888888891</v>
      </c>
      <c r="BX11" s="295">
        <f>_xlfn.STDEV.S('2021.8'!B117:D122)</f>
        <v>25.742706308866879</v>
      </c>
      <c r="BY11" s="274">
        <f t="shared" si="52"/>
        <v>18</v>
      </c>
      <c r="BZ11" s="274">
        <f t="shared" si="57"/>
        <v>8758</v>
      </c>
      <c r="CA11" s="274">
        <f t="shared" si="53"/>
        <v>3.6116208581620242E-2</v>
      </c>
      <c r="CB11" s="280">
        <f t="shared" si="54"/>
        <v>2.0871155648111874</v>
      </c>
      <c r="CC11" s="280">
        <f t="shared" si="28"/>
        <v>0.99794473624115099</v>
      </c>
      <c r="CD11" s="280">
        <f t="shared" si="29"/>
        <v>36.815940450254146</v>
      </c>
      <c r="CE11" s="281">
        <f t="shared" si="30"/>
        <v>4.7923297766622935E-2</v>
      </c>
      <c r="CF11" s="291">
        <f t="shared" si="55"/>
        <v>50.62896058021208</v>
      </c>
      <c r="CG11" s="292">
        <f t="shared" si="56"/>
        <v>1.1478489383094257</v>
      </c>
    </row>
    <row r="12" spans="1:85" ht="15" x14ac:dyDescent="0.25">
      <c r="A12" s="277" t="str">
        <f>'monitoring results'!A12</f>
        <v>01/09/2021-30/09/2021</v>
      </c>
      <c r="B12" s="278">
        <f t="shared" si="31"/>
        <v>242679</v>
      </c>
      <c r="C12" s="279">
        <f>AVERAGE('2021.9'!B5:G16)</f>
        <v>67.608333333333348</v>
      </c>
      <c r="D12" s="279">
        <f>_xlfn.STDEV.S('2021.9'!B5:G16)</f>
        <v>26.952848292405871</v>
      </c>
      <c r="E12" s="274">
        <f t="shared" si="32"/>
        <v>60</v>
      </c>
      <c r="F12" s="274">
        <f>'2021.9'!D127+'2021.9'!E127</f>
        <v>32520</v>
      </c>
      <c r="G12" s="280">
        <f t="shared" si="33"/>
        <v>0.13400417835906692</v>
      </c>
      <c r="H12" s="280">
        <f t="shared" si="34"/>
        <v>9.059799158559251</v>
      </c>
      <c r="I12" s="280">
        <f t="shared" si="35"/>
        <v>0.99815498154981552</v>
      </c>
      <c r="J12" s="280">
        <f t="shared" si="36"/>
        <v>12.107600517890768</v>
      </c>
      <c r="K12" s="281">
        <f t="shared" si="37"/>
        <v>0.2170164936598156</v>
      </c>
      <c r="L12" s="282">
        <f>AVERAGE('2021.9'!B20:G26)</f>
        <v>68.803030303030297</v>
      </c>
      <c r="M12" s="282">
        <f>_xlfn.STDEV.S('2021.9'!B20:G26)</f>
        <v>25.998371161099769</v>
      </c>
      <c r="N12" s="283">
        <f t="shared" si="38"/>
        <v>33</v>
      </c>
      <c r="O12" s="293">
        <f>'2021.9'!D128+'2021.9'!E128</f>
        <v>17951</v>
      </c>
      <c r="P12" s="284">
        <f t="shared" si="39"/>
        <v>7.3970141627417288E-2</v>
      </c>
      <c r="Q12" s="285">
        <f t="shared" si="40"/>
        <v>5.0893698959106342</v>
      </c>
      <c r="R12" s="285">
        <f t="shared" si="0"/>
        <v>0.99816166230293579</v>
      </c>
      <c r="S12" s="285">
        <f t="shared" si="1"/>
        <v>20.482281910009217</v>
      </c>
      <c r="T12" s="285">
        <f t="shared" si="2"/>
        <v>0.11186445860236315</v>
      </c>
      <c r="U12" s="286">
        <f>AVEDEV('2021.9'!B30:G35)</f>
        <v>24.213333333333328</v>
      </c>
      <c r="V12" s="286">
        <f>_xlfn.STDEV.S('2021.9'!B30:G35)</f>
        <v>28.799556190705584</v>
      </c>
      <c r="W12" s="274">
        <f t="shared" si="41"/>
        <v>30</v>
      </c>
      <c r="X12" s="274">
        <f>'2021.9'!D129+'2021.9'!E129</f>
        <v>15517</v>
      </c>
      <c r="Y12" s="280">
        <f t="shared" si="42"/>
        <v>6.3940431598943456E-2</v>
      </c>
      <c r="Z12" s="280">
        <f t="shared" si="3"/>
        <v>1.5482109837824172</v>
      </c>
      <c r="AA12" s="280">
        <f t="shared" si="4"/>
        <v>0.9980666365921248</v>
      </c>
      <c r="AB12" s="280">
        <f t="shared" si="5"/>
        <v>27.647147892720277</v>
      </c>
      <c r="AC12" s="281">
        <f t="shared" si="6"/>
        <v>0.11281348117505789</v>
      </c>
      <c r="AD12" s="287">
        <f>AVERAGE('2021.9'!B39:G42)</f>
        <v>70.475000000000009</v>
      </c>
      <c r="AE12" s="287">
        <f>_xlfn.STDEV.S('2021.9'!B39:G42)</f>
        <v>27.947975635191579</v>
      </c>
      <c r="AF12" s="276">
        <f t="shared" si="43"/>
        <v>20</v>
      </c>
      <c r="AG12" s="294">
        <f>'2021.9'!D130+'2021.9'!E130</f>
        <v>8799</v>
      </c>
      <c r="AH12" s="276">
        <f t="shared" si="7"/>
        <v>3.6257772613205098E-2</v>
      </c>
      <c r="AI12" s="285">
        <f t="shared" si="8"/>
        <v>2.5552665249156292</v>
      </c>
      <c r="AJ12" s="285">
        <f t="shared" si="9"/>
        <v>0.99772701443345835</v>
      </c>
      <c r="AK12" s="285">
        <f t="shared" si="10"/>
        <v>39.054467105263107</v>
      </c>
      <c r="AL12" s="288">
        <f t="shared" si="11"/>
        <v>5.122532112453803E-2</v>
      </c>
      <c r="AM12" s="289">
        <f>AVERAGE('2021.9'!B46:G58)</f>
        <v>67.865079365079339</v>
      </c>
      <c r="AN12" s="289">
        <f>_xlfn.STDEV.S('2021.9'!B46:G58)</f>
        <v>27.677498481095142</v>
      </c>
      <c r="AO12" s="274">
        <f t="shared" si="44"/>
        <v>63</v>
      </c>
      <c r="AP12" s="274">
        <f>'2021.9'!D131+'2021.9'!E131</f>
        <v>36317</v>
      </c>
      <c r="AQ12" s="274">
        <f t="shared" si="45"/>
        <v>0.14965036117669844</v>
      </c>
      <c r="AR12" s="280">
        <f t="shared" si="46"/>
        <v>10.156033638269427</v>
      </c>
      <c r="AS12" s="280">
        <f t="shared" si="12"/>
        <v>0.99826527521546382</v>
      </c>
      <c r="AT12" s="280">
        <f t="shared" si="13"/>
        <v>12.159427336047999</v>
      </c>
      <c r="AU12" s="281">
        <f t="shared" si="14"/>
        <v>0.27184079073754236</v>
      </c>
      <c r="AV12" s="287">
        <f>AVERAGE('2021.9'!B62:G76)</f>
        <v>67.181333333333356</v>
      </c>
      <c r="AW12" s="287">
        <f>_xlfn.STDEV.S('2021.9'!B62:G76)</f>
        <v>26.446195727712265</v>
      </c>
      <c r="AX12" s="276">
        <f t="shared" si="47"/>
        <v>75</v>
      </c>
      <c r="AY12" s="276">
        <f>'2021.9'!D132+'2021.9'!E132</f>
        <v>42006</v>
      </c>
      <c r="AZ12" s="276">
        <f t="shared" si="15"/>
        <v>0.17309285105015268</v>
      </c>
      <c r="BA12" s="285">
        <f t="shared" si="16"/>
        <v>11.628608524017327</v>
      </c>
      <c r="BB12" s="285">
        <f t="shared" si="17"/>
        <v>0.99821454077988858</v>
      </c>
      <c r="BC12" s="285">
        <f t="shared" si="18"/>
        <v>9.3253502462462201</v>
      </c>
      <c r="BD12" s="288">
        <f t="shared" si="19"/>
        <v>0.27889922456441535</v>
      </c>
      <c r="BE12" s="279">
        <f>AVERAGE('2021.9'!B80:G99)</f>
        <v>68.818750000000009</v>
      </c>
      <c r="BF12" s="295">
        <f>_xlfn.STDEV.S('2021.9'!B80:G99)</f>
        <v>28.048027653707809</v>
      </c>
      <c r="BG12" s="274">
        <f t="shared" si="48"/>
        <v>96</v>
      </c>
      <c r="BH12" s="296">
        <f>'2021.9'!D133+'2021.9'!E133</f>
        <v>54182</v>
      </c>
      <c r="BI12" s="274">
        <f t="shared" si="20"/>
        <v>0.22326612521066924</v>
      </c>
      <c r="BJ12" s="280">
        <f t="shared" si="21"/>
        <v>15.364895654341746</v>
      </c>
      <c r="BK12" s="280">
        <f t="shared" si="22"/>
        <v>0.99822819386512129</v>
      </c>
      <c r="BL12" s="280">
        <f t="shared" si="23"/>
        <v>8.1947068256578959</v>
      </c>
      <c r="BM12" s="281">
        <f t="shared" si="24"/>
        <v>0.4077640397758715</v>
      </c>
      <c r="BN12" s="282">
        <f>AVERAGE('2021.9'!B103:G113)</f>
        <v>67.469387755102048</v>
      </c>
      <c r="BO12" s="382">
        <f>_xlfn.STDEV.S('2021.9'!B103:G113)</f>
        <v>27.966514233406812</v>
      </c>
      <c r="BP12" s="276">
        <f t="shared" si="49"/>
        <v>49</v>
      </c>
      <c r="BQ12" s="294">
        <f>'2021.9'!D134+'2021.9'!E134</f>
        <v>26629</v>
      </c>
      <c r="BR12" s="276">
        <f t="shared" si="50"/>
        <v>0.10972931320798256</v>
      </c>
      <c r="BS12" s="285">
        <f t="shared" si="51"/>
        <v>7.4033695809304163</v>
      </c>
      <c r="BT12" s="285">
        <f t="shared" si="25"/>
        <v>0.99815990085996475</v>
      </c>
      <c r="BU12" s="285">
        <f t="shared" si="26"/>
        <v>15.961753436068282</v>
      </c>
      <c r="BV12" s="288">
        <f t="shared" si="27"/>
        <v>0.19183420154173372</v>
      </c>
      <c r="BW12" s="279">
        <f>AVERAGE('2021.9'!B117:D122)</f>
        <v>57.088888888888881</v>
      </c>
      <c r="BX12" s="295">
        <f>_xlfn.STDEV.S('2021.9'!B117:D122)</f>
        <v>21.22223830543826</v>
      </c>
      <c r="BY12" s="274">
        <f t="shared" si="52"/>
        <v>18</v>
      </c>
      <c r="BZ12" s="274">
        <f t="shared" si="57"/>
        <v>8758</v>
      </c>
      <c r="CA12" s="274">
        <f t="shared" si="53"/>
        <v>3.6088825155864333E-2</v>
      </c>
      <c r="CB12" s="280">
        <f t="shared" si="54"/>
        <v>2.0602709294536767</v>
      </c>
      <c r="CC12" s="280">
        <f t="shared" si="28"/>
        <v>0.99794473624115099</v>
      </c>
      <c r="CD12" s="280">
        <f t="shared" si="29"/>
        <v>25.02129992737839</v>
      </c>
      <c r="CE12" s="281">
        <f t="shared" si="30"/>
        <v>3.2520847051120953E-2</v>
      </c>
      <c r="CF12" s="291">
        <f t="shared" si="55"/>
        <v>50.71665583571064</v>
      </c>
      <c r="CG12" s="292">
        <f t="shared" si="56"/>
        <v>1.1605593073903118</v>
      </c>
    </row>
    <row r="13" spans="1:85" ht="15" x14ac:dyDescent="0.25">
      <c r="A13" s="277" t="str">
        <f>'monitoring results'!A13</f>
        <v>01/10/2021-31/10/2021</v>
      </c>
      <c r="B13" s="278">
        <f t="shared" si="31"/>
        <v>242615</v>
      </c>
      <c r="C13" s="279">
        <f>AVERAGE('2021.10'!B5:G16)</f>
        <v>67.086666666666659</v>
      </c>
      <c r="D13" s="279">
        <f>_xlfn.STDEV.S('2021.10'!B5:G16)</f>
        <v>26.872602560257931</v>
      </c>
      <c r="E13" s="274">
        <f t="shared" si="32"/>
        <v>60</v>
      </c>
      <c r="F13" s="274">
        <f>'2021.10'!D127+'2021.10'!E127</f>
        <v>32507</v>
      </c>
      <c r="G13" s="280">
        <f t="shared" si="33"/>
        <v>0.13398594480967788</v>
      </c>
      <c r="H13" s="280">
        <f t="shared" si="34"/>
        <v>8.9886704174652561</v>
      </c>
      <c r="I13" s="280">
        <f t="shared" si="35"/>
        <v>0.99815424370135664</v>
      </c>
      <c r="J13" s="280">
        <f t="shared" si="36"/>
        <v>12.035612806026354</v>
      </c>
      <c r="K13" s="281">
        <f t="shared" si="37"/>
        <v>0.21566732486365534</v>
      </c>
      <c r="L13" s="282">
        <f>AVERAGE('2021.10'!B20:G26)</f>
        <v>66.24545454545455</v>
      </c>
      <c r="M13" s="282">
        <f>_xlfn.STDEV.S('2021.10'!B20:G26)</f>
        <v>27.058098266843906</v>
      </c>
      <c r="N13" s="283">
        <f t="shared" si="38"/>
        <v>33</v>
      </c>
      <c r="O13" s="293">
        <f>'2021.10'!D128+'2021.10'!E128</f>
        <v>17995</v>
      </c>
      <c r="P13" s="284">
        <f t="shared" si="39"/>
        <v>7.4171011685180227E-2</v>
      </c>
      <c r="Q13" s="285">
        <f t="shared" si="40"/>
        <v>4.9134923831809845</v>
      </c>
      <c r="R13" s="285">
        <f t="shared" si="0"/>
        <v>0.99816615726590718</v>
      </c>
      <c r="S13" s="285">
        <f t="shared" si="1"/>
        <v>22.186081267217613</v>
      </c>
      <c r="T13" s="285">
        <f t="shared" si="2"/>
        <v>0.12182932727578212</v>
      </c>
      <c r="U13" s="286">
        <f>AVEDEV('2021.10'!B30:G35)</f>
        <v>22.150444444444439</v>
      </c>
      <c r="V13" s="286">
        <f>_xlfn.STDEV.S('2021.10'!B30:G35)</f>
        <v>26.992316701601244</v>
      </c>
      <c r="W13" s="274">
        <f t="shared" si="41"/>
        <v>30</v>
      </c>
      <c r="X13" s="274">
        <f>'2021.10'!D129+'2021.10'!E129</f>
        <v>15523</v>
      </c>
      <c r="Y13" s="280">
        <f t="shared" si="42"/>
        <v>6.3982029140819824E-2</v>
      </c>
      <c r="Z13" s="280">
        <f t="shared" si="3"/>
        <v>1.4172303819265546</v>
      </c>
      <c r="AA13" s="280">
        <f t="shared" si="4"/>
        <v>0.99806738388198157</v>
      </c>
      <c r="AB13" s="280">
        <f t="shared" si="5"/>
        <v>24.286172030651379</v>
      </c>
      <c r="AC13" s="281">
        <f t="shared" si="6"/>
        <v>9.9228162447035279E-2</v>
      </c>
      <c r="AD13" s="287">
        <f>AVERAGE('2021.10'!B39:G42)</f>
        <v>73.319999999999993</v>
      </c>
      <c r="AE13" s="287">
        <f>_xlfn.STDEV.S('2021.10'!B39:G42)</f>
        <v>28.955330388284953</v>
      </c>
      <c r="AF13" s="276">
        <f t="shared" si="43"/>
        <v>20</v>
      </c>
      <c r="AG13" s="294">
        <f>'2021.10'!D130+'2021.10'!E130</f>
        <v>8810</v>
      </c>
      <c r="AH13" s="276">
        <f t="shared" si="7"/>
        <v>3.6312676462708408E-2</v>
      </c>
      <c r="AI13" s="285">
        <f t="shared" si="8"/>
        <v>2.6624454382457801</v>
      </c>
      <c r="AJ13" s="285">
        <f t="shared" si="9"/>
        <v>0.99772985244040857</v>
      </c>
      <c r="AK13" s="285">
        <f t="shared" si="10"/>
        <v>41.920557894736902</v>
      </c>
      <c r="AL13" s="288">
        <f t="shared" si="11"/>
        <v>5.5151399937996899E-2</v>
      </c>
      <c r="AM13" s="289">
        <f>AVERAGE('2021.10'!B46:G58)</f>
        <v>65.79047619047617</v>
      </c>
      <c r="AN13" s="289">
        <f>_xlfn.STDEV.S('2021.10'!B46:G58)</f>
        <v>26.90245650305231</v>
      </c>
      <c r="AO13" s="274">
        <f t="shared" si="44"/>
        <v>63</v>
      </c>
      <c r="AP13" s="274">
        <f>'2021.10'!D131+'2021.10'!E131</f>
        <v>36331</v>
      </c>
      <c r="AQ13" s="274">
        <f t="shared" si="45"/>
        <v>0.14974754240257199</v>
      </c>
      <c r="AR13" s="280">
        <f t="shared" si="46"/>
        <v>9.8519621230187333</v>
      </c>
      <c r="AS13" s="280">
        <f t="shared" si="12"/>
        <v>0.99826594368445676</v>
      </c>
      <c r="AT13" s="280">
        <f t="shared" si="13"/>
        <v>11.487970887279706</v>
      </c>
      <c r="AU13" s="281">
        <f t="shared" si="14"/>
        <v>0.25716329922500353</v>
      </c>
      <c r="AV13" s="287">
        <f>AVERAGE('2021.11'!B62:G76)</f>
        <v>67.822666666666663</v>
      </c>
      <c r="AW13" s="287">
        <f>_xlfn.STDEV.S('2021.10'!B62:G76)</f>
        <v>26.570479114241802</v>
      </c>
      <c r="AX13" s="276">
        <f t="shared" si="47"/>
        <v>75</v>
      </c>
      <c r="AY13" s="276">
        <f>'2021.10'!D132+'2021.10'!E132</f>
        <v>42023</v>
      </c>
      <c r="AZ13" s="276">
        <f t="shared" si="15"/>
        <v>0.17320858149743421</v>
      </c>
      <c r="BA13" s="285">
        <f t="shared" si="16"/>
        <v>11.747467886706646</v>
      </c>
      <c r="BB13" s="285">
        <f t="shared" si="17"/>
        <v>0.99821526307022346</v>
      </c>
      <c r="BC13" s="285">
        <f t="shared" si="18"/>
        <v>9.4132048048047992</v>
      </c>
      <c r="BD13" s="288">
        <f t="shared" si="19"/>
        <v>0.28190353637776139</v>
      </c>
      <c r="BE13" s="279">
        <f>AVERAGE('2021.10'!B80:G99)</f>
        <v>68.031249999999986</v>
      </c>
      <c r="BF13" s="295">
        <f>_xlfn.STDEV.S('2021.11'!B80:G99)</f>
        <v>27.645175890198299</v>
      </c>
      <c r="BG13" s="274">
        <f t="shared" si="48"/>
        <v>96</v>
      </c>
      <c r="BH13" s="296">
        <f>'2021.10'!D133+'2021.10'!E133</f>
        <v>54028</v>
      </c>
      <c r="BI13" s="274">
        <f t="shared" si="20"/>
        <v>0.22269027059332688</v>
      </c>
      <c r="BJ13" s="280">
        <f t="shared" si="21"/>
        <v>15.149897471302266</v>
      </c>
      <c r="BK13" s="280">
        <f t="shared" si="22"/>
        <v>0.99822314355519359</v>
      </c>
      <c r="BL13" s="280">
        <f t="shared" si="23"/>
        <v>7.9609973958333464</v>
      </c>
      <c r="BM13" s="281">
        <f t="shared" si="24"/>
        <v>0.39409198515119881</v>
      </c>
      <c r="BN13" s="282">
        <f>AVERAGE('2021.10'!B103:G113)</f>
        <v>69.338775510204059</v>
      </c>
      <c r="BO13" s="382">
        <f>_xlfn.STDEV.S('2021.10'!B103:G113)</f>
        <v>28.745440336443963</v>
      </c>
      <c r="BP13" s="276">
        <f t="shared" si="49"/>
        <v>49</v>
      </c>
      <c r="BQ13" s="294">
        <f>'2021.10'!D134+'2021.10'!E134</f>
        <v>26640</v>
      </c>
      <c r="BR13" s="276">
        <f t="shared" si="50"/>
        <v>0.10980359829359274</v>
      </c>
      <c r="BS13" s="285">
        <f t="shared" si="51"/>
        <v>7.6136470522920519</v>
      </c>
      <c r="BT13" s="285">
        <f t="shared" si="25"/>
        <v>0.99816066066066067</v>
      </c>
      <c r="BU13" s="285">
        <f t="shared" si="26"/>
        <v>16.863272247674686</v>
      </c>
      <c r="BV13" s="288">
        <f t="shared" si="27"/>
        <v>0.20294363999798662</v>
      </c>
      <c r="BW13" s="279">
        <f>AVERAGE('2021.10'!B117:D122)</f>
        <v>59.850000000000009</v>
      </c>
      <c r="BX13" s="295">
        <f>_xlfn.STDEV.S('2021.10'!B117:D122)</f>
        <v>26.533668955410089</v>
      </c>
      <c r="BY13" s="274">
        <f t="shared" si="52"/>
        <v>18</v>
      </c>
      <c r="BZ13" s="274">
        <f t="shared" si="57"/>
        <v>8758</v>
      </c>
      <c r="CA13" s="274">
        <f t="shared" si="53"/>
        <v>3.6098345114687881E-2</v>
      </c>
      <c r="CB13" s="280">
        <f t="shared" si="54"/>
        <v>2.1604859551140696</v>
      </c>
      <c r="CC13" s="280">
        <f t="shared" si="28"/>
        <v>0.99794473624115099</v>
      </c>
      <c r="CD13" s="280">
        <f t="shared" si="29"/>
        <v>39.113088235294065</v>
      </c>
      <c r="CE13" s="281">
        <f t="shared" si="30"/>
        <v>5.0863142021676501E-2</v>
      </c>
      <c r="CF13" s="291">
        <f t="shared" si="55"/>
        <v>50.603136308606103</v>
      </c>
      <c r="CG13" s="292">
        <f t="shared" si="56"/>
        <v>1.1581645673904288</v>
      </c>
    </row>
    <row r="14" spans="1:85" ht="15" x14ac:dyDescent="0.25">
      <c r="A14" s="277" t="str">
        <f>'monitoring results'!A14</f>
        <v>01/11/2021-30/11/2021</v>
      </c>
      <c r="B14" s="278">
        <f t="shared" si="31"/>
        <v>242730</v>
      </c>
      <c r="C14" s="279">
        <f>AVERAGE('2021.11'!B5:G16)</f>
        <v>68.183333333333337</v>
      </c>
      <c r="D14" s="279">
        <f>_xlfn.STDEV.S('2021.11'!B5:G16)</f>
        <v>25.957998451649146</v>
      </c>
      <c r="E14" s="274">
        <f t="shared" si="32"/>
        <v>60</v>
      </c>
      <c r="F14" s="274">
        <f>'2021.11'!D127+'2021.11'!E127</f>
        <v>32467</v>
      </c>
      <c r="G14" s="280">
        <f t="shared" si="33"/>
        <v>0.13375767313475878</v>
      </c>
      <c r="H14" s="280">
        <f t="shared" si="34"/>
        <v>9.1200440132383047</v>
      </c>
      <c r="I14" s="280">
        <f t="shared" si="35"/>
        <v>0.99815196969230291</v>
      </c>
      <c r="J14" s="280">
        <f t="shared" si="36"/>
        <v>11.230294726930326</v>
      </c>
      <c r="K14" s="281">
        <f t="shared" si="37"/>
        <v>0.20055118495650226</v>
      </c>
      <c r="L14" s="282">
        <f>AVERAGE('2021.11'!B20:G26)</f>
        <v>65.242424242424221</v>
      </c>
      <c r="M14" s="282">
        <f>_xlfn.STDEV.S('2021.11'!B20:G26)</f>
        <v>28.212442183182194</v>
      </c>
      <c r="N14" s="283">
        <f t="shared" si="38"/>
        <v>33</v>
      </c>
      <c r="O14" s="293">
        <f>'2021.11'!D128+'2021.11'!E128</f>
        <v>17995</v>
      </c>
      <c r="P14" s="284">
        <f t="shared" si="39"/>
        <v>7.4135871132534087E-2</v>
      </c>
      <c r="Q14" s="285">
        <f t="shared" si="40"/>
        <v>4.8368039560104803</v>
      </c>
      <c r="R14" s="285">
        <f t="shared" si="0"/>
        <v>0.99816615726590718</v>
      </c>
      <c r="S14" s="285">
        <f t="shared" si="1"/>
        <v>24.119451331496915</v>
      </c>
      <c r="T14" s="285">
        <f t="shared" si="2"/>
        <v>0.13232047630795749</v>
      </c>
      <c r="U14" s="286">
        <f>AVEDEV('2021.11'!B30:G35)</f>
        <v>22.417777777777776</v>
      </c>
      <c r="V14" s="286">
        <f>_xlfn.STDEV.S('2021.11'!B30:G35)</f>
        <v>26.736393037275615</v>
      </c>
      <c r="W14" s="274">
        <f t="shared" si="41"/>
        <v>30</v>
      </c>
      <c r="X14" s="274">
        <f>'2021.11'!D129+'2021.11'!E129</f>
        <v>15511</v>
      </c>
      <c r="Y14" s="280">
        <f t="shared" si="42"/>
        <v>6.3902278251555228E-2</v>
      </c>
      <c r="Z14" s="280">
        <f t="shared" si="3"/>
        <v>1.4325470733370869</v>
      </c>
      <c r="AA14" s="280">
        <f t="shared" si="4"/>
        <v>0.99806588872413127</v>
      </c>
      <c r="AB14" s="280">
        <f t="shared" si="5"/>
        <v>23.827823754789332</v>
      </c>
      <c r="AC14" s="281">
        <f t="shared" si="6"/>
        <v>9.7112755222744707E-2</v>
      </c>
      <c r="AD14" s="287">
        <f>AVERAGE('2021.11'!B39:G42)</f>
        <v>68.595000000000013</v>
      </c>
      <c r="AE14" s="287">
        <f>_xlfn.STDEV.S('2021.11'!B39:G42)</f>
        <v>26.844787301507075</v>
      </c>
      <c r="AF14" s="276">
        <f t="shared" si="43"/>
        <v>20</v>
      </c>
      <c r="AG14" s="294">
        <f>'2021.11'!D130+'2021.11'!E130</f>
        <v>8813</v>
      </c>
      <c r="AH14" s="276">
        <f t="shared" si="7"/>
        <v>3.6307831747208835E-2</v>
      </c>
      <c r="AI14" s="285">
        <f t="shared" si="8"/>
        <v>2.4905357186997903</v>
      </c>
      <c r="AJ14" s="285">
        <f t="shared" si="9"/>
        <v>0.99773062521275391</v>
      </c>
      <c r="AK14" s="285">
        <f t="shared" si="10"/>
        <v>36.032130263157782</v>
      </c>
      <c r="AL14" s="288">
        <f t="shared" si="11"/>
        <v>4.739187271254041E-2</v>
      </c>
      <c r="AM14" s="289">
        <f>AVERAGE('2021.11'!B46:G58)</f>
        <v>67.249206349206347</v>
      </c>
      <c r="AN14" s="289">
        <f>_xlfn.STDEV.S('2021.11'!B46:G58)</f>
        <v>25.000657236624541</v>
      </c>
      <c r="AO14" s="274">
        <f t="shared" si="44"/>
        <v>63</v>
      </c>
      <c r="AP14" s="274">
        <f>'2021.11'!D131+'2021.11'!E131</f>
        <v>36346</v>
      </c>
      <c r="AQ14" s="274">
        <f t="shared" si="45"/>
        <v>0.14973839245251927</v>
      </c>
      <c r="AR14" s="280">
        <f t="shared" si="46"/>
        <v>10.069788052437911</v>
      </c>
      <c r="AS14" s="280">
        <f t="shared" si="12"/>
        <v>0.99826665932977499</v>
      </c>
      <c r="AT14" s="280">
        <f t="shared" si="13"/>
        <v>9.9211565438601106</v>
      </c>
      <c r="AU14" s="281">
        <f t="shared" si="14"/>
        <v>0.22206248811603141</v>
      </c>
      <c r="AV14" s="287">
        <f>AVERAGE('2021.11'!B62:G76)</f>
        <v>67.822666666666663</v>
      </c>
      <c r="AW14" s="287">
        <f>_xlfn.STDEV.S('2021.11'!B62:G76)</f>
        <v>25.289649486917956</v>
      </c>
      <c r="AX14" s="276">
        <f t="shared" si="47"/>
        <v>75</v>
      </c>
      <c r="AY14" s="276">
        <f>'2021.11'!D132+'2021.11'!E132</f>
        <v>42040</v>
      </c>
      <c r="AZ14" s="276">
        <f t="shared" si="15"/>
        <v>0.17319655584394184</v>
      </c>
      <c r="BA14" s="285">
        <f t="shared" si="16"/>
        <v>11.746652274818386</v>
      </c>
      <c r="BB14" s="285">
        <f t="shared" si="17"/>
        <v>0.99821598477640339</v>
      </c>
      <c r="BC14" s="285">
        <f t="shared" si="18"/>
        <v>8.5275516156155948</v>
      </c>
      <c r="BD14" s="288">
        <f t="shared" si="19"/>
        <v>0.25534501270349125</v>
      </c>
      <c r="BE14" s="279">
        <f>AVERAGE('2021.11'!B80:G99)</f>
        <v>66.706249999999997</v>
      </c>
      <c r="BF14" s="295">
        <f>_xlfn.STDEV.S('2021.11'!B80:G99)</f>
        <v>27.645175890198299</v>
      </c>
      <c r="BG14" s="274">
        <f t="shared" si="48"/>
        <v>96</v>
      </c>
      <c r="BH14" s="296">
        <f>'2021.11'!D133+'2021.11'!E133</f>
        <v>54138</v>
      </c>
      <c r="BI14" s="274">
        <f t="shared" si="20"/>
        <v>0.22303794339389446</v>
      </c>
      <c r="BJ14" s="280">
        <f t="shared" si="21"/>
        <v>14.878024811518971</v>
      </c>
      <c r="BK14" s="280">
        <f t="shared" si="22"/>
        <v>0.99822675385126902</v>
      </c>
      <c r="BL14" s="280">
        <f t="shared" si="23"/>
        <v>7.9609973958333464</v>
      </c>
      <c r="BM14" s="281">
        <f t="shared" si="24"/>
        <v>0.39532491929756741</v>
      </c>
      <c r="BN14" s="282">
        <f>AVERAGE('2021.11'!B103:G113)</f>
        <v>67.126530612244906</v>
      </c>
      <c r="BO14" s="382">
        <f>_xlfn.STDEV.S('2021.11'!B103:G113)</f>
        <v>26.648364361237057</v>
      </c>
      <c r="BP14" s="276">
        <f t="shared" si="49"/>
        <v>49</v>
      </c>
      <c r="BQ14" s="294">
        <f>'2021.11'!D134+'2021.11'!E134</f>
        <v>26662</v>
      </c>
      <c r="BR14" s="276">
        <f t="shared" si="50"/>
        <v>0.10984221151073209</v>
      </c>
      <c r="BS14" s="285">
        <f t="shared" si="51"/>
        <v>7.3733265734918376</v>
      </c>
      <c r="BT14" s="285">
        <f t="shared" si="25"/>
        <v>0.99816217838121668</v>
      </c>
      <c r="BU14" s="285">
        <f t="shared" si="26"/>
        <v>14.492557614882639</v>
      </c>
      <c r="BV14" s="288">
        <f t="shared" si="27"/>
        <v>0.17453586465350451</v>
      </c>
      <c r="BW14" s="279">
        <f>AVERAGE('2021.11'!B117:D122)</f>
        <v>58.594444444444449</v>
      </c>
      <c r="BX14" s="295">
        <f>_xlfn.STDEV.S('2021.11'!B117:D122)</f>
        <v>23.865936153788979</v>
      </c>
      <c r="BY14" s="274">
        <f t="shared" si="52"/>
        <v>18</v>
      </c>
      <c r="BZ14" s="274">
        <f t="shared" si="57"/>
        <v>8758</v>
      </c>
      <c r="CA14" s="274">
        <f t="shared" si="53"/>
        <v>3.6081242532855433E-2</v>
      </c>
      <c r="CB14" s="280">
        <f t="shared" si="54"/>
        <v>2.114160361077924</v>
      </c>
      <c r="CC14" s="280">
        <f t="shared" si="28"/>
        <v>0.99794473624115099</v>
      </c>
      <c r="CD14" s="280">
        <f t="shared" si="29"/>
        <v>31.643494916485103</v>
      </c>
      <c r="CE14" s="281">
        <f t="shared" si="30"/>
        <v>4.1110608545321899E-2</v>
      </c>
      <c r="CF14" s="291">
        <f t="shared" si="55"/>
        <v>50.105034865381903</v>
      </c>
      <c r="CG14" s="292">
        <f t="shared" si="56"/>
        <v>1.110352881408069</v>
      </c>
    </row>
    <row r="15" spans="1:85" ht="15" x14ac:dyDescent="0.25">
      <c r="A15" s="277" t="str">
        <f>'monitoring results'!A15</f>
        <v>01/12/2021-31/12/2021</v>
      </c>
      <c r="B15" s="278">
        <f t="shared" si="31"/>
        <v>242586</v>
      </c>
      <c r="C15" s="279">
        <f>AVERAGE('2021.12'!B5:G16)</f>
        <v>66.886666666666699</v>
      </c>
      <c r="D15" s="279">
        <f>_xlfn.STDEV.S('2021.12'!B5:G16)</f>
        <v>27.339946974435911</v>
      </c>
      <c r="E15" s="274">
        <f t="shared" si="32"/>
        <v>60</v>
      </c>
      <c r="F15" s="274">
        <f>'2021.12'!D127+'2021.12'!E127</f>
        <v>32480</v>
      </c>
      <c r="G15" s="280">
        <f t="shared" si="33"/>
        <v>0.13389066145614339</v>
      </c>
      <c r="H15" s="280">
        <f t="shared" si="34"/>
        <v>8.9555000425965829</v>
      </c>
      <c r="I15" s="280">
        <f t="shared" si="35"/>
        <v>0.99815270935960587</v>
      </c>
      <c r="J15" s="280">
        <f t="shared" si="36"/>
        <v>12.457878342749456</v>
      </c>
      <c r="K15" s="281">
        <f t="shared" si="37"/>
        <v>0.22291620948002683</v>
      </c>
      <c r="L15" s="282">
        <f>AVERAGE('2021.12'!B20:G26)</f>
        <v>67.563636363636363</v>
      </c>
      <c r="M15" s="282">
        <f>_xlfn.STDEV.S('2021.12'!B20:G26)</f>
        <v>23.339931155931822</v>
      </c>
      <c r="N15" s="283">
        <f t="shared" si="38"/>
        <v>33</v>
      </c>
      <c r="O15" s="293">
        <f>'2021.12'!D128+'2021.12'!E128</f>
        <v>17995</v>
      </c>
      <c r="P15" s="284">
        <f t="shared" si="39"/>
        <v>7.4179878476086827E-2</v>
      </c>
      <c r="Q15" s="285">
        <f t="shared" si="40"/>
        <v>5.0118623348570663</v>
      </c>
      <c r="R15" s="285">
        <f t="shared" si="0"/>
        <v>0.99816615726590718</v>
      </c>
      <c r="S15" s="285">
        <f t="shared" si="1"/>
        <v>16.507648071625365</v>
      </c>
      <c r="T15" s="285">
        <f t="shared" si="2"/>
        <v>9.0669303089897207E-2</v>
      </c>
      <c r="U15" s="286">
        <f>AVEDEV('2021.12'!B30:G35)</f>
        <v>24.902222222222225</v>
      </c>
      <c r="V15" s="286">
        <f>_xlfn.STDEV.S('2021.12'!B30:G35)</f>
        <v>28.270044257108129</v>
      </c>
      <c r="W15" s="274">
        <f t="shared" si="41"/>
        <v>30</v>
      </c>
      <c r="X15" s="274">
        <f>'2021.12'!D129+'2021.12'!E129</f>
        <v>15523</v>
      </c>
      <c r="Y15" s="280">
        <f t="shared" si="42"/>
        <v>6.3989677887429611E-2</v>
      </c>
      <c r="Z15" s="280">
        <f t="shared" si="3"/>
        <v>1.5934851786811917</v>
      </c>
      <c r="AA15" s="280">
        <f t="shared" si="4"/>
        <v>0.99806738388198157</v>
      </c>
      <c r="AB15" s="280">
        <f t="shared" si="5"/>
        <v>26.639846743295077</v>
      </c>
      <c r="AC15" s="281">
        <f t="shared" si="6"/>
        <v>0.1088708048307058</v>
      </c>
      <c r="AD15" s="287">
        <f>AVERAGE('2021.12'!B39:G42)</f>
        <v>68.164999999999992</v>
      </c>
      <c r="AE15" s="287">
        <f>_xlfn.STDEV.S('2021.12'!B39:G42)</f>
        <v>28.157382410489234</v>
      </c>
      <c r="AF15" s="276">
        <f t="shared" si="43"/>
        <v>20</v>
      </c>
      <c r="AG15" s="294">
        <f>'2021.12'!D130+'2021.12'!E130</f>
        <v>8806</v>
      </c>
      <c r="AH15" s="276">
        <f t="shared" si="7"/>
        <v>3.630052847237681E-2</v>
      </c>
      <c r="AI15" s="285">
        <f t="shared" si="8"/>
        <v>2.4744255233195647</v>
      </c>
      <c r="AJ15" s="285">
        <f t="shared" si="9"/>
        <v>0.99772882125823303</v>
      </c>
      <c r="AK15" s="285">
        <f t="shared" si="10"/>
        <v>39.641909210526428</v>
      </c>
      <c r="AL15" s="288">
        <f t="shared" si="11"/>
        <v>5.211862813026992E-2</v>
      </c>
      <c r="AM15" s="289">
        <f>AVERAGE('2021.12'!B46:G58)</f>
        <v>68.936507936507937</v>
      </c>
      <c r="AN15" s="289">
        <f>_xlfn.STDEV.S('2021.12'!B46:G58)</f>
        <v>26.105803962185011</v>
      </c>
      <c r="AO15" s="274">
        <f t="shared" si="44"/>
        <v>63</v>
      </c>
      <c r="AP15" s="274">
        <f>'2021.12'!D131+'2021.12'!E131</f>
        <v>36361</v>
      </c>
      <c r="AQ15" s="274">
        <f t="shared" si="45"/>
        <v>0.14988911149035805</v>
      </c>
      <c r="AR15" s="280">
        <f t="shared" si="46"/>
        <v>10.332831923851192</v>
      </c>
      <c r="AS15" s="280">
        <f t="shared" si="12"/>
        <v>0.99826737438464286</v>
      </c>
      <c r="AT15" s="280">
        <f t="shared" si="13"/>
        <v>10.8176666747942</v>
      </c>
      <c r="AU15" s="281">
        <f t="shared" si="14"/>
        <v>0.24261667325900041</v>
      </c>
      <c r="AV15" s="287">
        <f>AVERAGE('2021.12'!B62:G76)</f>
        <v>67.72799999999998</v>
      </c>
      <c r="AW15" s="287">
        <f>_xlfn.STDEV.S('2021.12'!B62:G76)</f>
        <v>26.994727012631337</v>
      </c>
      <c r="AX15" s="276">
        <f t="shared" si="47"/>
        <v>75</v>
      </c>
      <c r="AY15" s="276">
        <f>'2021.12'!D132+'2021.12'!E132</f>
        <v>42006</v>
      </c>
      <c r="AZ15" s="276">
        <f t="shared" si="15"/>
        <v>0.17315920951744948</v>
      </c>
      <c r="BA15" s="285">
        <f t="shared" si="16"/>
        <v>11.727726942197815</v>
      </c>
      <c r="BB15" s="285">
        <f t="shared" si="17"/>
        <v>0.99821454077988858</v>
      </c>
      <c r="BC15" s="285">
        <f t="shared" si="18"/>
        <v>9.7162038198198406</v>
      </c>
      <c r="BD15" s="288">
        <f t="shared" si="19"/>
        <v>0.29081158105572597</v>
      </c>
      <c r="BE15" s="279">
        <f>AVERAGE('2021.12'!B80:G99)</f>
        <v>66.578125000000014</v>
      </c>
      <c r="BF15" s="295">
        <f>_xlfn.STDEV.S('2021.12'!B80:G99)</f>
        <v>26.339732657097453</v>
      </c>
      <c r="BG15" s="274">
        <f t="shared" si="48"/>
        <v>96</v>
      </c>
      <c r="BH15" s="296">
        <f>'2021.12'!D133+'2021.12'!E133</f>
        <v>54028</v>
      </c>
      <c r="BI15" s="274">
        <f t="shared" si="20"/>
        <v>0.22271689215371043</v>
      </c>
      <c r="BJ15" s="280">
        <f t="shared" si="21"/>
        <v>14.828073085421256</v>
      </c>
      <c r="BK15" s="280">
        <f t="shared" si="22"/>
        <v>0.99822314355519359</v>
      </c>
      <c r="BL15" s="280">
        <f t="shared" si="23"/>
        <v>7.2268907963267308</v>
      </c>
      <c r="BM15" s="281">
        <f t="shared" si="24"/>
        <v>0.35783716328322929</v>
      </c>
      <c r="BN15" s="282">
        <f>AVERAGE('2021.12'!B103:G113)</f>
        <v>68.491836734693891</v>
      </c>
      <c r="BO15" s="382">
        <f>_xlfn.STDEV.S('2021.12'!B103:G113)</f>
        <v>28.362488700854886</v>
      </c>
      <c r="BP15" s="276">
        <f t="shared" si="49"/>
        <v>49</v>
      </c>
      <c r="BQ15" s="294">
        <f>'2021.12'!D134+'2021.12'!E134</f>
        <v>26629</v>
      </c>
      <c r="BR15" s="276">
        <f t="shared" si="50"/>
        <v>0.10977138004666387</v>
      </c>
      <c r="BS15" s="285">
        <f t="shared" si="51"/>
        <v>7.5184434402981362</v>
      </c>
      <c r="BT15" s="285">
        <f t="shared" si="25"/>
        <v>0.99815990085996475</v>
      </c>
      <c r="BU15" s="285">
        <f t="shared" si="26"/>
        <v>16.41695439400247</v>
      </c>
      <c r="BV15" s="288">
        <f t="shared" si="27"/>
        <v>0.1974562837468298</v>
      </c>
      <c r="BW15" s="279">
        <f>AVERAGE('2021.12'!B117:D122)</f>
        <v>64.488888888888894</v>
      </c>
      <c r="BX15" s="295">
        <f>_xlfn.STDEV.S('2021.12'!B117:D122)</f>
        <v>30.715427985620959</v>
      </c>
      <c r="BY15" s="274">
        <f t="shared" si="52"/>
        <v>18</v>
      </c>
      <c r="BZ15" s="274">
        <f t="shared" si="57"/>
        <v>8758</v>
      </c>
      <c r="CA15" s="274">
        <f t="shared" si="53"/>
        <v>3.6102660499781523E-2</v>
      </c>
      <c r="CB15" s="280">
        <f t="shared" si="54"/>
        <v>2.3282204615636886</v>
      </c>
      <c r="CC15" s="280">
        <f t="shared" si="28"/>
        <v>0.99794473624115099</v>
      </c>
      <c r="CD15" s="280">
        <f t="shared" si="29"/>
        <v>52.413195352214842</v>
      </c>
      <c r="CE15" s="281">
        <f t="shared" si="30"/>
        <v>6.8175062329380601E-2</v>
      </c>
      <c r="CF15" s="291">
        <f t="shared" si="55"/>
        <v>50.803206555332842</v>
      </c>
      <c r="CG15" s="292">
        <f t="shared" si="56"/>
        <v>1.1479922458950418</v>
      </c>
    </row>
    <row r="16" spans="1:85" ht="15" x14ac:dyDescent="0.25">
      <c r="A16" s="277" t="str">
        <f>'monitoring results'!A16</f>
        <v>01/01/2022-31/01/2022</v>
      </c>
      <c r="B16" s="278">
        <f t="shared" si="31"/>
        <v>242719</v>
      </c>
      <c r="C16" s="279">
        <f>AVERAGE('2022.1'!B5:G16)</f>
        <v>70.710000000000008</v>
      </c>
      <c r="D16" s="279">
        <f>_xlfn.STDEV.S('2022.1'!B5:G16)</f>
        <v>27.181752977231852</v>
      </c>
      <c r="E16" s="274">
        <f t="shared" si="32"/>
        <v>60</v>
      </c>
      <c r="F16" s="274">
        <f>'2022.1'!D127+'2022.1'!E127</f>
        <v>32493</v>
      </c>
      <c r="G16" s="280">
        <f t="shared" si="33"/>
        <v>0.13387085477445113</v>
      </c>
      <c r="H16" s="280">
        <f t="shared" si="34"/>
        <v>9.4660081411014385</v>
      </c>
      <c r="I16" s="280">
        <f t="shared" si="35"/>
        <v>0.9981534484350475</v>
      </c>
      <c r="J16" s="280">
        <f t="shared" si="36"/>
        <v>12.314128248587544</v>
      </c>
      <c r="K16" s="281">
        <f t="shared" si="37"/>
        <v>0.22027897991806544</v>
      </c>
      <c r="L16" s="282">
        <f>AVERAGE('2022.1'!B20:G26)</f>
        <v>64.448484848484853</v>
      </c>
      <c r="M16" s="282">
        <f>_xlfn.STDEV.S('2022.1'!B20:G26)</f>
        <v>28.165793984149918</v>
      </c>
      <c r="N16" s="283">
        <f t="shared" si="38"/>
        <v>33</v>
      </c>
      <c r="O16" s="293">
        <f>'2022.1'!D128+'2022.1'!E128</f>
        <v>17929</v>
      </c>
      <c r="P16" s="284">
        <f t="shared" si="39"/>
        <v>7.3867311582529585E-2</v>
      </c>
      <c r="Q16" s="285">
        <f t="shared" si="40"/>
        <v>4.7606363113249683</v>
      </c>
      <c r="R16" s="285">
        <f t="shared" si="0"/>
        <v>0.99815940654805069</v>
      </c>
      <c r="S16" s="285">
        <f t="shared" si="1"/>
        <v>24.039756083562899</v>
      </c>
      <c r="T16" s="285">
        <f t="shared" si="2"/>
        <v>0.13092860686618973</v>
      </c>
      <c r="U16" s="286">
        <f>AVEDEV('2022.1'!B30:G35)</f>
        <v>24.031999999999996</v>
      </c>
      <c r="V16" s="286">
        <f>_xlfn.STDEV.S('2022.1'!B30:G35)</f>
        <v>28.482688632292746</v>
      </c>
      <c r="W16" s="274">
        <f t="shared" si="41"/>
        <v>30</v>
      </c>
      <c r="X16" s="274">
        <f>'2022.1'!D129+'2022.1'!E129</f>
        <v>15505</v>
      </c>
      <c r="Y16" s="280">
        <f t="shared" si="42"/>
        <v>6.3880454352564078E-2</v>
      </c>
      <c r="Z16" s="280">
        <f t="shared" si="3"/>
        <v>1.5351750790008198</v>
      </c>
      <c r="AA16" s="280">
        <f t="shared" si="4"/>
        <v>0.99806514027732984</v>
      </c>
      <c r="AB16" s="280">
        <f t="shared" si="5"/>
        <v>27.042118390804614</v>
      </c>
      <c r="AC16" s="281">
        <f t="shared" si="6"/>
        <v>0.11013759522905135</v>
      </c>
      <c r="AD16" s="287">
        <f>AVERAGE('2022.1'!B39:G42)</f>
        <v>69.964999999999989</v>
      </c>
      <c r="AE16" s="287">
        <f>_xlfn.STDEV.S('2022.1'!B39:G42)</f>
        <v>27.596744182487999</v>
      </c>
      <c r="AF16" s="276">
        <f t="shared" si="43"/>
        <v>20</v>
      </c>
      <c r="AG16" s="294">
        <f>'2022.1'!D130+'2022.1'!E130</f>
        <v>8806</v>
      </c>
      <c r="AH16" s="276">
        <f t="shared" si="7"/>
        <v>3.6280637280147E-2</v>
      </c>
      <c r="AI16" s="285">
        <f t="shared" si="8"/>
        <v>2.5383747873054845</v>
      </c>
      <c r="AJ16" s="285">
        <f t="shared" si="9"/>
        <v>0.99772882125823303</v>
      </c>
      <c r="AK16" s="285">
        <f t="shared" si="10"/>
        <v>38.079014473684261</v>
      </c>
      <c r="AL16" s="288">
        <f t="shared" si="11"/>
        <v>5.0008984025792555E-2</v>
      </c>
      <c r="AM16" s="289">
        <f>AVERAGE('2022.1'!B46:G58)</f>
        <v>69.453968253968256</v>
      </c>
      <c r="AN16" s="289">
        <f>_xlfn.STDEV.S('2022.1'!B46:G58)</f>
        <v>26.951981346741544</v>
      </c>
      <c r="AO16" s="274">
        <f t="shared" si="44"/>
        <v>63</v>
      </c>
      <c r="AP16" s="274">
        <f>'2022.1'!D131+'2022.1'!E131</f>
        <v>36361</v>
      </c>
      <c r="AQ16" s="274">
        <f t="shared" si="45"/>
        <v>0.14980697844008917</v>
      </c>
      <c r="AR16" s="280">
        <f t="shared" si="46"/>
        <v>10.404689124800859</v>
      </c>
      <c r="AS16" s="280">
        <f t="shared" si="12"/>
        <v>0.99826737438464286</v>
      </c>
      <c r="AT16" s="280">
        <f t="shared" si="13"/>
        <v>11.530306325636573</v>
      </c>
      <c r="AU16" s="281">
        <f t="shared" si="14"/>
        <v>0.25831630035307845</v>
      </c>
      <c r="AV16" s="287">
        <f>AVERAGE('2022.1'!B62:G76)</f>
        <v>67.810666666666663</v>
      </c>
      <c r="AW16" s="287">
        <f>_xlfn.STDEV.S('2022.1'!B62:G76)</f>
        <v>26.080331065162305</v>
      </c>
      <c r="AX16" s="276">
        <f t="shared" si="47"/>
        <v>75</v>
      </c>
      <c r="AY16" s="276">
        <f>'2022.1'!D132+'2022.1'!E132</f>
        <v>42023</v>
      </c>
      <c r="AZ16" s="276">
        <f t="shared" si="15"/>
        <v>0.17313436525364723</v>
      </c>
      <c r="BA16" s="285">
        <f t="shared" si="16"/>
        <v>11.740356730759986</v>
      </c>
      <c r="BB16" s="285">
        <f t="shared" si="17"/>
        <v>0.99821526307022346</v>
      </c>
      <c r="BC16" s="285">
        <f t="shared" si="18"/>
        <v>9.0691155795795986</v>
      </c>
      <c r="BD16" s="288">
        <f t="shared" si="19"/>
        <v>0.27136616737981512</v>
      </c>
      <c r="BE16" s="279">
        <f>AVERAGE('2022.1'!B80:G99)</f>
        <v>67.746874999999989</v>
      </c>
      <c r="BF16" s="295">
        <f>_xlfn.STDEV.S('2022.1'!B80:G99)</f>
        <v>26.88714407383895</v>
      </c>
      <c r="BG16" s="274">
        <f t="shared" si="48"/>
        <v>96</v>
      </c>
      <c r="BH16" s="296">
        <f>'2022.1'!D133+'2022.1'!E133</f>
        <v>54182</v>
      </c>
      <c r="BI16" s="274">
        <f t="shared" si="20"/>
        <v>0.22322933103712522</v>
      </c>
      <c r="BJ16" s="280">
        <f t="shared" si="21"/>
        <v>15.123089586105742</v>
      </c>
      <c r="BK16" s="280">
        <f t="shared" si="22"/>
        <v>0.99822819386512129</v>
      </c>
      <c r="BL16" s="280">
        <f t="shared" si="23"/>
        <v>7.5304012129934685</v>
      </c>
      <c r="BM16" s="281">
        <f t="shared" si="24"/>
        <v>0.37458506962505567</v>
      </c>
      <c r="BN16" s="282">
        <f>AVERAGE('2022.1'!B103:G113)</f>
        <v>64.936734693877554</v>
      </c>
      <c r="BO16" s="382">
        <f>_xlfn.STDEV.S('2022.1'!B103:G113)</f>
        <v>26.659806621872654</v>
      </c>
      <c r="BP16" s="276">
        <f t="shared" si="49"/>
        <v>49</v>
      </c>
      <c r="BQ16" s="294">
        <f>'2022.1'!D134+'2022.1'!E134</f>
        <v>26662</v>
      </c>
      <c r="BR16" s="276">
        <f t="shared" si="50"/>
        <v>0.10984718954840783</v>
      </c>
      <c r="BS16" s="285">
        <f t="shared" si="51"/>
        <v>7.1331178045730379</v>
      </c>
      <c r="BT16" s="285">
        <f t="shared" si="25"/>
        <v>0.99816217838121668</v>
      </c>
      <c r="BU16" s="285">
        <f t="shared" si="26"/>
        <v>14.505005900319286</v>
      </c>
      <c r="BV16" s="288">
        <f t="shared" si="27"/>
        <v>0.17470161490902908</v>
      </c>
      <c r="BW16" s="279">
        <f>AVERAGE('2022.1'!B117:D122)</f>
        <v>56.68333333333333</v>
      </c>
      <c r="BX16" s="295">
        <f>_xlfn.STDEV.S('2022.1'!B117:D122)</f>
        <v>22.920328762656013</v>
      </c>
      <c r="BY16" s="274">
        <f t="shared" si="52"/>
        <v>18</v>
      </c>
      <c r="BZ16" s="274">
        <f t="shared" si="57"/>
        <v>8758</v>
      </c>
      <c r="CA16" s="274">
        <f t="shared" si="53"/>
        <v>3.608287773103877E-2</v>
      </c>
      <c r="CB16" s="280">
        <f t="shared" si="54"/>
        <v>2.0452977860543808</v>
      </c>
      <c r="CC16" s="280">
        <f t="shared" si="28"/>
        <v>0.99794473624115099</v>
      </c>
      <c r="CD16" s="280">
        <f t="shared" si="29"/>
        <v>29.185637254902026</v>
      </c>
      <c r="CE16" s="281">
        <f t="shared" si="30"/>
        <v>3.7920844936701441E-2</v>
      </c>
      <c r="CF16" s="291">
        <f t="shared" si="55"/>
        <v>50.520100898600319</v>
      </c>
      <c r="CG16" s="292">
        <f t="shared" si="56"/>
        <v>1.1300604304454358</v>
      </c>
    </row>
    <row r="17" spans="1:85" ht="15" x14ac:dyDescent="0.25">
      <c r="A17" s="277" t="str">
        <f>'monitoring results'!A17</f>
        <v>01/02/2022-28/02/2022</v>
      </c>
      <c r="B17" s="278">
        <f t="shared" si="31"/>
        <v>242645</v>
      </c>
      <c r="C17" s="279">
        <f>AVERAGE('2022.2'!B5:G16)</f>
        <v>69.574999999999989</v>
      </c>
      <c r="D17" s="279">
        <f>_xlfn.STDEV.S('2022.2'!B5:G16)</f>
        <v>28.251969332887974</v>
      </c>
      <c r="E17" s="274">
        <f t="shared" si="32"/>
        <v>60</v>
      </c>
      <c r="F17" s="274">
        <f>'2022.2'!D127+'2022.2'!E127</f>
        <v>32507</v>
      </c>
      <c r="G17" s="280">
        <f t="shared" si="33"/>
        <v>0.13396937913412599</v>
      </c>
      <c r="H17" s="280">
        <f t="shared" si="34"/>
        <v>9.3209195532568128</v>
      </c>
      <c r="I17" s="280">
        <f t="shared" si="35"/>
        <v>0.99815424370135664</v>
      </c>
      <c r="J17" s="280">
        <f t="shared" si="36"/>
        <v>13.302896186440709</v>
      </c>
      <c r="K17" s="281">
        <f t="shared" si="37"/>
        <v>0.23831695918352452</v>
      </c>
      <c r="L17" s="282">
        <f>AVERAGE('2022.2'!B20:G26)</f>
        <v>68.38787878787879</v>
      </c>
      <c r="M17" s="282">
        <f>_xlfn.STDEV.S('2022.2'!B20:G26)</f>
        <v>25.938698858748591</v>
      </c>
      <c r="N17" s="283">
        <f t="shared" si="38"/>
        <v>33</v>
      </c>
      <c r="O17" s="293">
        <f>'2022.2'!D128+'2022.2'!E128</f>
        <v>17995</v>
      </c>
      <c r="P17" s="284">
        <f t="shared" si="39"/>
        <v>7.4161841373199533E-2</v>
      </c>
      <c r="Q17" s="285">
        <f t="shared" si="40"/>
        <v>5.0717710185162641</v>
      </c>
      <c r="R17" s="285">
        <f t="shared" si="0"/>
        <v>0.99816615726590718</v>
      </c>
      <c r="S17" s="285">
        <f t="shared" si="1"/>
        <v>20.388366620752894</v>
      </c>
      <c r="T17" s="285">
        <f t="shared" si="2"/>
        <v>0.11192994344222762</v>
      </c>
      <c r="U17" s="286">
        <f>AVEDEV('2022.2'!B30:G35)</f>
        <v>23.327999999999992</v>
      </c>
      <c r="V17" s="286">
        <f>_xlfn.STDEV.S('2022.2'!B30:G35)</f>
        <v>27.550294447390815</v>
      </c>
      <c r="W17" s="274">
        <f t="shared" si="41"/>
        <v>30</v>
      </c>
      <c r="X17" s="274">
        <f>'2022.2'!D129+'2022.2'!E129</f>
        <v>15523</v>
      </c>
      <c r="Y17" s="280">
        <f t="shared" si="42"/>
        <v>6.3974118568278768E-2</v>
      </c>
      <c r="Z17" s="280">
        <f t="shared" si="3"/>
        <v>1.4923882379608064</v>
      </c>
      <c r="AA17" s="280">
        <f t="shared" si="4"/>
        <v>0.99806738388198157</v>
      </c>
      <c r="AB17" s="280">
        <f t="shared" si="5"/>
        <v>25.300624137931106</v>
      </c>
      <c r="AC17" s="281">
        <f t="shared" si="6"/>
        <v>0.10334743924292064</v>
      </c>
      <c r="AD17" s="287">
        <f>AVERAGE('2022.2'!B39:G42)</f>
        <v>68.185000000000002</v>
      </c>
      <c r="AE17" s="287">
        <f>_xlfn.STDEV.S('2022.2'!B39:G42)</f>
        <v>28.061328981545483</v>
      </c>
      <c r="AF17" s="276">
        <f t="shared" si="43"/>
        <v>20</v>
      </c>
      <c r="AG17" s="294">
        <f>'2022.2'!D130+'2022.2'!E130</f>
        <v>8810</v>
      </c>
      <c r="AH17" s="276">
        <f t="shared" si="7"/>
        <v>3.6308186857343029E-2</v>
      </c>
      <c r="AI17" s="285">
        <f t="shared" si="8"/>
        <v>2.4756737208679347</v>
      </c>
      <c r="AJ17" s="285">
        <f t="shared" si="9"/>
        <v>0.99772985244040857</v>
      </c>
      <c r="AK17" s="285">
        <f t="shared" si="10"/>
        <v>39.371909210526226</v>
      </c>
      <c r="AL17" s="288">
        <f t="shared" si="11"/>
        <v>5.1785546684417531E-2</v>
      </c>
      <c r="AM17" s="289">
        <f>AVERAGE('2022.2'!B46:G58)</f>
        <v>67.028571428571453</v>
      </c>
      <c r="AN17" s="289">
        <f>_xlfn.STDEV.S('2022.2'!B46:G58)</f>
        <v>26.85545195186943</v>
      </c>
      <c r="AO17" s="274">
        <f t="shared" si="44"/>
        <v>63</v>
      </c>
      <c r="AP17" s="274">
        <f>'2022.2'!D131+'2022.2'!E131</f>
        <v>36361</v>
      </c>
      <c r="AQ17" s="274">
        <f t="shared" si="45"/>
        <v>0.14985266541655504</v>
      </c>
      <c r="AR17" s="280">
        <f t="shared" si="46"/>
        <v>10.044410087635379</v>
      </c>
      <c r="AS17" s="280">
        <f t="shared" si="12"/>
        <v>0.99826737438464286</v>
      </c>
      <c r="AT17" s="280">
        <f t="shared" si="13"/>
        <v>11.447861897447103</v>
      </c>
      <c r="AU17" s="281">
        <f t="shared" si="14"/>
        <v>0.25662573336301636</v>
      </c>
      <c r="AV17" s="287">
        <f>AVERAGE('2022.2'!B62:G76)</f>
        <v>68.074666666666644</v>
      </c>
      <c r="AW17" s="287">
        <f>_xlfn.STDEV.S('2022.2'!B62:G76)</f>
        <v>25.584138315240097</v>
      </c>
      <c r="AX17" s="276">
        <f t="shared" si="47"/>
        <v>75</v>
      </c>
      <c r="AY17" s="276">
        <f>'2022.2'!D132+'2022.2'!E132</f>
        <v>42023</v>
      </c>
      <c r="AZ17" s="276">
        <f t="shared" si="15"/>
        <v>0.17318716643656371</v>
      </c>
      <c r="BA17" s="285">
        <f t="shared" si="16"/>
        <v>11.789658626113591</v>
      </c>
      <c r="BB17" s="285">
        <f t="shared" si="17"/>
        <v>0.99821526307022346</v>
      </c>
      <c r="BC17" s="285">
        <f t="shared" si="18"/>
        <v>8.7273084444444855</v>
      </c>
      <c r="BD17" s="288">
        <f t="shared" si="19"/>
        <v>0.26129791521781243</v>
      </c>
      <c r="BE17" s="279">
        <f>AVERAGE('2022.2'!B80:G99)</f>
        <v>68.537500000000009</v>
      </c>
      <c r="BF17" s="295">
        <f>_xlfn.STDEV.S('2022.2'!B80:G99)</f>
        <v>26.84322613758793</v>
      </c>
      <c r="BG17" s="274">
        <f t="shared" si="48"/>
        <v>96</v>
      </c>
      <c r="BH17" s="296">
        <f>'2022.2'!D133+'2022.2'!E133</f>
        <v>54028</v>
      </c>
      <c r="BI17" s="274">
        <f t="shared" si="20"/>
        <v>0.22266273774444148</v>
      </c>
      <c r="BJ17" s="280">
        <f t="shared" si="21"/>
        <v>15.260747388159658</v>
      </c>
      <c r="BK17" s="280">
        <f t="shared" si="22"/>
        <v>0.99822314355519359</v>
      </c>
      <c r="BL17" s="280">
        <f t="shared" si="23"/>
        <v>7.5058207236842067</v>
      </c>
      <c r="BM17" s="281">
        <f t="shared" si="24"/>
        <v>0.37146757528459434</v>
      </c>
      <c r="BN17" s="282">
        <f>AVERAGE('2022.2'!B103:G113)</f>
        <v>66.785714285714278</v>
      </c>
      <c r="BO17" s="382">
        <f>_xlfn.STDEV.S('2022.2'!B103:G113)</f>
        <v>24.399052235691485</v>
      </c>
      <c r="BP17" s="276">
        <f t="shared" si="49"/>
        <v>49</v>
      </c>
      <c r="BQ17" s="294">
        <f>'2022.2'!D134+'2022.2'!E134</f>
        <v>26640</v>
      </c>
      <c r="BR17" s="276">
        <f t="shared" si="50"/>
        <v>0.10979002246079664</v>
      </c>
      <c r="BS17" s="285">
        <f t="shared" si="51"/>
        <v>7.3324050714889175</v>
      </c>
      <c r="BT17" s="285">
        <f t="shared" si="25"/>
        <v>0.99816066066066067</v>
      </c>
      <c r="BU17" s="285">
        <f t="shared" si="26"/>
        <v>12.149260204081665</v>
      </c>
      <c r="BV17" s="288">
        <f t="shared" si="27"/>
        <v>0.14617598565950102</v>
      </c>
      <c r="BW17" s="279">
        <f>AVERAGE('2022.2'!B117:D122)</f>
        <v>59.716666666666661</v>
      </c>
      <c r="BX17" s="295">
        <f>_xlfn.STDEV.S('2022.2'!B117:D122)</f>
        <v>28.632195987364017</v>
      </c>
      <c r="BY17" s="274">
        <f t="shared" si="52"/>
        <v>18</v>
      </c>
      <c r="BZ17" s="274">
        <f t="shared" si="57"/>
        <v>8758</v>
      </c>
      <c r="CA17" s="274">
        <f t="shared" si="53"/>
        <v>3.609388200869583E-2</v>
      </c>
      <c r="CB17" s="280">
        <f t="shared" si="54"/>
        <v>2.1554063206192859</v>
      </c>
      <c r="CC17" s="280">
        <f t="shared" si="28"/>
        <v>0.99794473624115099</v>
      </c>
      <c r="CD17" s="280">
        <f t="shared" si="29"/>
        <v>45.544591503268009</v>
      </c>
      <c r="CE17" s="281">
        <f t="shared" si="30"/>
        <v>5.9212103763098441E-2</v>
      </c>
      <c r="CF17" s="291">
        <f t="shared" si="55"/>
        <v>50.550689452845567</v>
      </c>
      <c r="CG17" s="292">
        <f t="shared" si="56"/>
        <v>1.1179947670787018</v>
      </c>
    </row>
    <row r="18" spans="1:85" ht="15" x14ac:dyDescent="0.25">
      <c r="A18" s="277" t="str">
        <f>'monitoring results'!A18</f>
        <v>01/03/2022-31/03/2022</v>
      </c>
      <c r="B18" s="278">
        <f t="shared" si="31"/>
        <v>242528</v>
      </c>
      <c r="C18" s="279">
        <f>AVERAGE('2022.3'!B5:G16)</f>
        <v>68.973333333333358</v>
      </c>
      <c r="D18" s="279">
        <f>_xlfn.STDEV.S('2022.3'!B5:G16)</f>
        <v>27.204796851868004</v>
      </c>
      <c r="E18" s="274">
        <f t="shared" si="32"/>
        <v>60</v>
      </c>
      <c r="F18" s="274">
        <f>'2022.3'!D127+'2022.3'!E127</f>
        <v>32520</v>
      </c>
      <c r="G18" s="280">
        <f t="shared" si="33"/>
        <v>0.13408761050270485</v>
      </c>
      <c r="H18" s="280">
        <f t="shared" si="34"/>
        <v>9.2484694550732325</v>
      </c>
      <c r="I18" s="280">
        <f t="shared" si="35"/>
        <v>0.99815498154981552</v>
      </c>
      <c r="J18" s="280">
        <f t="shared" si="36"/>
        <v>12.335016195856786</v>
      </c>
      <c r="K18" s="281">
        <f t="shared" si="37"/>
        <v>0.22136808377006342</v>
      </c>
      <c r="L18" s="282">
        <f>AVERAGE('2022.3'!B20:G26)</f>
        <v>69.145454545454541</v>
      </c>
      <c r="M18" s="282">
        <f>_xlfn.STDEV.S('2022.3'!B20:G26)</f>
        <v>25.859597963197015</v>
      </c>
      <c r="N18" s="283">
        <f t="shared" si="38"/>
        <v>33</v>
      </c>
      <c r="O18" s="293">
        <f>'2022.3'!D128+'2022.3'!E128</f>
        <v>17951</v>
      </c>
      <c r="P18" s="284">
        <f t="shared" si="39"/>
        <v>7.4016196068082865E-2</v>
      </c>
      <c r="Q18" s="285">
        <f t="shared" si="40"/>
        <v>5.1178835208530744</v>
      </c>
      <c r="R18" s="285">
        <f t="shared" si="0"/>
        <v>0.99816166230293579</v>
      </c>
      <c r="S18" s="285">
        <f t="shared" si="1"/>
        <v>20.264206267217673</v>
      </c>
      <c r="T18" s="285">
        <f t="shared" si="2"/>
        <v>0.11081128875933778</v>
      </c>
      <c r="U18" s="286">
        <f>AVEDEV('2022.3'!B30:G35)</f>
        <v>19.121333333333332</v>
      </c>
      <c r="V18" s="286">
        <f>_xlfn.STDEV.S('2022.3'!B30:G35)</f>
        <v>22.783208426534213</v>
      </c>
      <c r="W18" s="274">
        <f t="shared" si="41"/>
        <v>30</v>
      </c>
      <c r="X18" s="274">
        <f>'2022.3'!D129+'2022.3'!E129</f>
        <v>15517</v>
      </c>
      <c r="Y18" s="280">
        <f t="shared" si="42"/>
        <v>6.3980241456656553E-2</v>
      </c>
      <c r="Z18" s="280">
        <f t="shared" si="3"/>
        <v>1.2233875236398821</v>
      </c>
      <c r="AA18" s="280">
        <f t="shared" si="4"/>
        <v>0.9980666365921248</v>
      </c>
      <c r="AB18" s="280">
        <f t="shared" si="5"/>
        <v>17.302486206896653</v>
      </c>
      <c r="AC18" s="281">
        <f t="shared" si="6"/>
        <v>7.069029587608644E-2</v>
      </c>
      <c r="AD18" s="287">
        <f>AVERAGE('2022.3'!B39:G42)</f>
        <v>68.889999999999986</v>
      </c>
      <c r="AE18" s="287">
        <f>_xlfn.STDEV.S('2022.3'!B39:G42)</f>
        <v>28.640969918889599</v>
      </c>
      <c r="AF18" s="276">
        <f t="shared" si="43"/>
        <v>20</v>
      </c>
      <c r="AG18" s="294">
        <f>'2022.3'!D130+'2022.3'!E130</f>
        <v>8813</v>
      </c>
      <c r="AH18" s="276">
        <f t="shared" si="7"/>
        <v>3.633807230505344E-2</v>
      </c>
      <c r="AI18" s="285">
        <f t="shared" si="8"/>
        <v>2.5033298010951306</v>
      </c>
      <c r="AJ18" s="285">
        <f t="shared" si="9"/>
        <v>0.99773062521275391</v>
      </c>
      <c r="AK18" s="285">
        <f t="shared" si="10"/>
        <v>41.015257894736941</v>
      </c>
      <c r="AL18" s="288">
        <f t="shared" si="11"/>
        <v>5.4035916156722055E-2</v>
      </c>
      <c r="AM18" s="289">
        <f>AVERAGE('2022.3'!B46:G58)</f>
        <v>68.868253968253967</v>
      </c>
      <c r="AN18" s="289">
        <f>_xlfn.STDEV.S('2022.3'!B46:G58)</f>
        <v>25.823200529986227</v>
      </c>
      <c r="AO18" s="274">
        <f t="shared" si="44"/>
        <v>63</v>
      </c>
      <c r="AP18" s="274">
        <f>'2022.3'!D131+'2022.3'!E131</f>
        <v>36317</v>
      </c>
      <c r="AQ18" s="274">
        <f t="shared" si="45"/>
        <v>0.14974353476711968</v>
      </c>
      <c r="AR18" s="280">
        <f>AP18*AM18/B18</f>
        <v>10.312575782446064</v>
      </c>
      <c r="AS18" s="280">
        <f t="shared" si="12"/>
        <v>0.99826527521546382</v>
      </c>
      <c r="AT18" s="280">
        <f t="shared" si="13"/>
        <v>10.584725168442555</v>
      </c>
      <c r="AU18" s="281">
        <f t="shared" si="14"/>
        <v>0.236930904152755</v>
      </c>
      <c r="AV18" s="287">
        <f>AVERAGE('2022.3'!B62:G76)</f>
        <v>67.041333333333299</v>
      </c>
      <c r="AW18" s="287">
        <f>_xlfn.STDEV.S('2022.3'!B62:G76)</f>
        <v>26.876524938927581</v>
      </c>
      <c r="AX18" s="276">
        <f t="shared" si="47"/>
        <v>75</v>
      </c>
      <c r="AY18" s="276">
        <f>'2022.3'!D132+'2022.3'!E132</f>
        <v>42006</v>
      </c>
      <c r="AZ18" s="276">
        <f t="shared" si="15"/>
        <v>0.1732006201345824</v>
      </c>
      <c r="BA18" s="285">
        <f t="shared" si="16"/>
        <v>11.611600507982578</v>
      </c>
      <c r="BB18" s="285">
        <f t="shared" si="17"/>
        <v>0.99821454077988858</v>
      </c>
      <c r="BC18" s="285">
        <f t="shared" si="18"/>
        <v>9.6313012372372828</v>
      </c>
      <c r="BD18" s="288">
        <f t="shared" si="19"/>
        <v>0.28840829267854096</v>
      </c>
      <c r="BE18" s="279">
        <f>AVERAGE('2022.3'!B80:G99)</f>
        <v>66.671874999999972</v>
      </c>
      <c r="BF18" s="295">
        <f>_xlfn.STDEV.S('2022.3'!B80:G99)</f>
        <v>25.536676217488566</v>
      </c>
      <c r="BG18" s="274">
        <f t="shared" si="48"/>
        <v>96</v>
      </c>
      <c r="BH18" s="296">
        <f>'2022.3'!D133+'2022.3'!E133</f>
        <v>54028</v>
      </c>
      <c r="BI18" s="274">
        <f t="shared" si="20"/>
        <v>0.22277015437392797</v>
      </c>
      <c r="BJ18" s="280">
        <f t="shared" si="21"/>
        <v>14.852503886149222</v>
      </c>
      <c r="BK18" s="280">
        <f t="shared" si="22"/>
        <v>0.99822314355519359</v>
      </c>
      <c r="BL18" s="280">
        <f t="shared" si="23"/>
        <v>6.7929357524671472</v>
      </c>
      <c r="BM18" s="281">
        <f t="shared" si="24"/>
        <v>0.33651091333304844</v>
      </c>
      <c r="BN18" s="282">
        <f>AVERAGE('2022.3'!B103:G113)</f>
        <v>68.60612244897959</v>
      </c>
      <c r="BO18" s="382">
        <f>_xlfn.STDEV.S('2022.3'!B103:G113)</f>
        <v>30.458622261488244</v>
      </c>
      <c r="BP18" s="276">
        <f t="shared" si="49"/>
        <v>49</v>
      </c>
      <c r="BQ18" s="294">
        <f>'2022.3'!D134+'2022.3'!E134</f>
        <v>26618</v>
      </c>
      <c r="BR18" s="276">
        <f t="shared" si="50"/>
        <v>0.10975227602586093</v>
      </c>
      <c r="BS18" s="285">
        <f t="shared" si="51"/>
        <v>7.529678088084423</v>
      </c>
      <c r="BT18" s="285">
        <f t="shared" si="25"/>
        <v>0.99815914043128706</v>
      </c>
      <c r="BU18" s="285">
        <f t="shared" si="26"/>
        <v>18.93321775649035</v>
      </c>
      <c r="BV18" s="288">
        <f t="shared" si="27"/>
        <v>0.22764142136887738</v>
      </c>
      <c r="BW18" s="279">
        <f>AVERAGE('2022.3'!B117:D122)</f>
        <v>64.37222222222222</v>
      </c>
      <c r="BX18" s="295">
        <f>_xlfn.STDEV.S('2022.3'!B117:D122)</f>
        <v>24.180444348458295</v>
      </c>
      <c r="BY18" s="274">
        <f t="shared" si="52"/>
        <v>18</v>
      </c>
      <c r="BZ18" s="274">
        <f t="shared" si="57"/>
        <v>8758</v>
      </c>
      <c r="CA18" s="274">
        <f t="shared" si="53"/>
        <v>3.6111294366011348E-2</v>
      </c>
      <c r="CB18" s="280">
        <f t="shared" si="54"/>
        <v>2.3245642656609635</v>
      </c>
      <c r="CC18" s="280">
        <f t="shared" si="28"/>
        <v>0.99794473624115099</v>
      </c>
      <c r="CD18" s="280">
        <f t="shared" si="29"/>
        <v>32.482993827160477</v>
      </c>
      <c r="CE18" s="281">
        <f t="shared" si="30"/>
        <v>4.2271596682947929E-2</v>
      </c>
      <c r="CF18" s="291">
        <f t="shared" si="55"/>
        <v>50.35763985505826</v>
      </c>
      <c r="CG18" s="292">
        <f t="shared" si="56"/>
        <v>1.1209323531101143</v>
      </c>
    </row>
    <row r="19" spans="1:85" s="297" customFormat="1" ht="17.5" x14ac:dyDescent="0.25">
      <c r="E19" s="329"/>
      <c r="P19" s="269"/>
    </row>
    <row r="20" spans="1:85" s="297" customFormat="1" ht="15" x14ac:dyDescent="0.25">
      <c r="H20" s="329"/>
    </row>
    <row r="21" spans="1:85" ht="17.5" x14ac:dyDescent="0.25">
      <c r="A21" s="568" t="s">
        <v>80</v>
      </c>
      <c r="B21" s="568"/>
      <c r="C21" s="568"/>
      <c r="D21" s="568"/>
      <c r="E21" s="568"/>
      <c r="F21" s="568"/>
      <c r="G21" s="298"/>
      <c r="H21" s="298"/>
      <c r="I21" s="298"/>
      <c r="J21" s="298"/>
      <c r="K21" s="299"/>
      <c r="L21" s="298"/>
      <c r="M21" s="298"/>
      <c r="N21" s="269"/>
      <c r="O21" s="269"/>
      <c r="P21" s="269"/>
      <c r="Q21" s="269"/>
      <c r="R21" s="269"/>
      <c r="S21" s="269"/>
      <c r="T21" s="269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7"/>
      <c r="BH21" s="297"/>
      <c r="BI21" s="297"/>
      <c r="BJ21" s="297"/>
      <c r="BK21" s="297"/>
      <c r="BL21" s="297"/>
      <c r="BM21" s="297"/>
      <c r="BN21" s="297"/>
      <c r="BO21" s="297"/>
      <c r="BP21" s="297"/>
      <c r="BQ21" s="297"/>
      <c r="BR21" s="297"/>
      <c r="BS21" s="297"/>
      <c r="BT21" s="297"/>
      <c r="BU21" s="297"/>
      <c r="BV21" s="297"/>
      <c r="BW21" s="297"/>
      <c r="BX21" s="297"/>
      <c r="BY21" s="297"/>
      <c r="BZ21" s="297"/>
      <c r="CA21" s="297"/>
      <c r="CB21" s="297"/>
      <c r="CC21" s="297"/>
      <c r="CD21" s="297"/>
      <c r="CE21" s="297"/>
      <c r="CF21" s="297"/>
    </row>
    <row r="22" spans="1:85" ht="39" customHeight="1" x14ac:dyDescent="0.25">
      <c r="A22" s="569"/>
      <c r="B22" s="569"/>
      <c r="C22" s="569"/>
      <c r="D22" s="569"/>
      <c r="E22" s="569"/>
      <c r="F22" s="569"/>
      <c r="G22" s="300"/>
      <c r="H22" s="301"/>
      <c r="I22" s="301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  <c r="BK22" s="297"/>
      <c r="BL22" s="297"/>
      <c r="BM22" s="297"/>
      <c r="BN22" s="297"/>
      <c r="BO22" s="297"/>
      <c r="BP22" s="297"/>
      <c r="BQ22" s="297"/>
      <c r="BR22" s="297"/>
      <c r="BS22" s="297"/>
      <c r="BT22" s="297"/>
      <c r="BU22" s="297"/>
      <c r="BV22" s="297"/>
      <c r="BW22" s="297"/>
      <c r="BX22" s="297"/>
      <c r="BY22" s="297"/>
      <c r="BZ22" s="297"/>
      <c r="CA22" s="297"/>
      <c r="CB22" s="297"/>
      <c r="CC22" s="297"/>
      <c r="CD22" s="297"/>
      <c r="CE22" s="297"/>
      <c r="CF22" s="297"/>
    </row>
    <row r="23" spans="1:85" ht="16.5" x14ac:dyDescent="0.25">
      <c r="A23" s="302" t="s">
        <v>302</v>
      </c>
      <c r="B23" s="567" t="s">
        <v>81</v>
      </c>
      <c r="C23" s="567"/>
      <c r="D23" s="567"/>
      <c r="E23" s="567"/>
      <c r="F23" s="567"/>
      <c r="G23" s="303"/>
      <c r="H23" s="304"/>
      <c r="I23" s="304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  <c r="BG23" s="297"/>
      <c r="BH23" s="297"/>
      <c r="BI23" s="297"/>
      <c r="BJ23" s="297"/>
      <c r="BK23" s="297"/>
      <c r="BL23" s="297"/>
      <c r="BM23" s="297"/>
      <c r="BN23" s="297"/>
      <c r="BO23" s="297"/>
      <c r="BP23" s="297"/>
      <c r="BQ23" s="297"/>
      <c r="BR23" s="297"/>
      <c r="BS23" s="297"/>
      <c r="BT23" s="297"/>
      <c r="BU23" s="297"/>
      <c r="BV23" s="297"/>
      <c r="BW23" s="297"/>
      <c r="BX23" s="297"/>
      <c r="BY23" s="297"/>
      <c r="BZ23" s="297"/>
      <c r="CA23" s="297"/>
      <c r="CB23" s="297"/>
      <c r="CC23" s="297"/>
      <c r="CD23" s="297"/>
      <c r="CE23" s="297"/>
      <c r="CF23" s="297"/>
    </row>
    <row r="24" spans="1:85" ht="16.5" x14ac:dyDescent="0.25">
      <c r="A24" s="302" t="s">
        <v>303</v>
      </c>
      <c r="B24" s="567" t="s">
        <v>304</v>
      </c>
      <c r="C24" s="567"/>
      <c r="D24" s="567"/>
      <c r="E24" s="567"/>
      <c r="F24" s="567"/>
      <c r="G24" s="303"/>
      <c r="H24" s="304"/>
      <c r="I24" s="304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7"/>
      <c r="BU24" s="297"/>
      <c r="BV24" s="297"/>
      <c r="BW24" s="297"/>
      <c r="BX24" s="297"/>
      <c r="BY24" s="297"/>
      <c r="BZ24" s="297"/>
      <c r="CA24" s="297"/>
      <c r="CB24" s="297"/>
      <c r="CC24" s="297"/>
      <c r="CD24" s="297"/>
      <c r="CE24" s="297"/>
      <c r="CF24" s="297"/>
    </row>
    <row r="25" spans="1:85" ht="15" x14ac:dyDescent="0.25">
      <c r="A25" s="302" t="s">
        <v>82</v>
      </c>
      <c r="B25" s="567" t="s">
        <v>78</v>
      </c>
      <c r="C25" s="567"/>
      <c r="D25" s="567"/>
      <c r="E25" s="567"/>
      <c r="F25" s="567"/>
      <c r="G25" s="303"/>
      <c r="H25" s="304"/>
      <c r="I25" s="304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7"/>
      <c r="BH25" s="297"/>
      <c r="BI25" s="297"/>
      <c r="BJ25" s="297"/>
      <c r="BK25" s="297"/>
      <c r="BL25" s="297"/>
      <c r="BM25" s="297"/>
      <c r="BN25" s="297"/>
      <c r="BO25" s="297"/>
      <c r="BP25" s="297"/>
      <c r="BQ25" s="297"/>
      <c r="BR25" s="297"/>
      <c r="BS25" s="297"/>
      <c r="BT25" s="297"/>
      <c r="BU25" s="297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</row>
    <row r="26" spans="1:85" ht="16.5" x14ac:dyDescent="0.25">
      <c r="A26" s="302" t="s">
        <v>305</v>
      </c>
      <c r="B26" s="567" t="s">
        <v>306</v>
      </c>
      <c r="C26" s="567"/>
      <c r="D26" s="567"/>
      <c r="E26" s="567"/>
      <c r="F26" s="567"/>
      <c r="G26" s="303"/>
      <c r="H26" s="304"/>
      <c r="I26" s="304"/>
      <c r="J26" s="297"/>
      <c r="K26" s="297"/>
      <c r="L26" s="297"/>
      <c r="N26" s="297"/>
      <c r="O26" s="297"/>
      <c r="P26" s="297"/>
      <c r="R26" s="297"/>
      <c r="S26" s="297"/>
      <c r="T26" s="297"/>
      <c r="U26" s="297"/>
    </row>
    <row r="27" spans="1:85" ht="15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</row>
    <row r="28" spans="1:85" ht="15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</row>
    <row r="29" spans="1:85" ht="17.5" x14ac:dyDescent="0.25">
      <c r="A29" s="568" t="s">
        <v>83</v>
      </c>
      <c r="B29" s="568"/>
      <c r="C29" s="568"/>
      <c r="D29" s="568"/>
      <c r="E29" s="568"/>
      <c r="F29" s="568"/>
      <c r="G29" s="298"/>
      <c r="H29" s="298"/>
      <c r="I29" s="298"/>
      <c r="J29" s="297"/>
      <c r="K29" s="297"/>
      <c r="L29" s="297"/>
      <c r="M29" s="297"/>
      <c r="N29" s="297"/>
      <c r="O29" s="297"/>
      <c r="P29" s="297"/>
      <c r="Q29" s="297"/>
      <c r="R29" s="269"/>
      <c r="S29" s="269"/>
      <c r="T29" s="269"/>
    </row>
    <row r="30" spans="1:85" ht="57" customHeight="1" x14ac:dyDescent="0.25">
      <c r="A30" s="569"/>
      <c r="B30" s="569"/>
      <c r="C30" s="569"/>
      <c r="D30" s="569"/>
      <c r="E30" s="569"/>
      <c r="F30" s="569"/>
      <c r="G30" s="300"/>
      <c r="H30" s="301"/>
      <c r="I30" s="301"/>
      <c r="J30" s="301"/>
      <c r="K30" s="297"/>
      <c r="L30" s="297"/>
      <c r="M30" s="301"/>
      <c r="N30" s="297"/>
      <c r="O30" s="305"/>
      <c r="P30" s="305"/>
      <c r="Q30" s="305"/>
      <c r="R30" s="305"/>
      <c r="S30" s="305"/>
      <c r="T30" s="305"/>
    </row>
    <row r="31" spans="1:85" ht="16.5" x14ac:dyDescent="0.25">
      <c r="A31" s="302" t="s">
        <v>307</v>
      </c>
      <c r="B31" s="572" t="s">
        <v>84</v>
      </c>
      <c r="C31" s="572"/>
      <c r="D31" s="572"/>
      <c r="E31" s="572"/>
      <c r="F31" s="572"/>
      <c r="G31" s="303"/>
      <c r="H31" s="304"/>
      <c r="I31" s="304"/>
      <c r="J31" s="304"/>
      <c r="K31" s="297"/>
      <c r="L31" s="297"/>
      <c r="M31" s="304"/>
      <c r="N31" s="297"/>
      <c r="O31" s="306"/>
      <c r="P31" s="306"/>
      <c r="Q31" s="306"/>
      <c r="R31" s="306"/>
      <c r="S31" s="306"/>
      <c r="T31" s="306"/>
      <c r="V31" s="297"/>
      <c r="W31" s="297"/>
      <c r="X31" s="297"/>
      <c r="Y31" s="297"/>
      <c r="Z31" s="297"/>
      <c r="AA31" s="297"/>
      <c r="AB31" s="297"/>
      <c r="AC31" s="297"/>
      <c r="AD31" s="297"/>
    </row>
    <row r="32" spans="1:85" ht="16.5" x14ac:dyDescent="0.25">
      <c r="A32" s="302" t="s">
        <v>303</v>
      </c>
      <c r="B32" s="567" t="s">
        <v>304</v>
      </c>
      <c r="C32" s="567"/>
      <c r="D32" s="567"/>
      <c r="E32" s="567"/>
      <c r="F32" s="567"/>
      <c r="G32" s="307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</row>
    <row r="33" spans="1:82" x14ac:dyDescent="0.25">
      <c r="A33" s="302" t="s">
        <v>82</v>
      </c>
      <c r="B33" s="567" t="s">
        <v>78</v>
      </c>
      <c r="C33" s="567"/>
      <c r="D33" s="567"/>
      <c r="E33" s="567"/>
      <c r="F33" s="567"/>
      <c r="G33" s="303"/>
      <c r="H33" s="304"/>
      <c r="I33" s="304"/>
      <c r="J33" s="304"/>
      <c r="K33" s="304"/>
      <c r="L33" s="304"/>
      <c r="M33" s="304"/>
      <c r="N33" s="306"/>
      <c r="O33" s="306"/>
      <c r="P33" s="306"/>
      <c r="Q33" s="306"/>
      <c r="R33" s="306"/>
      <c r="S33" s="306"/>
      <c r="T33" s="306"/>
    </row>
    <row r="34" spans="1:82" ht="19.5" customHeight="1" x14ac:dyDescent="0.25">
      <c r="A34" s="302" t="s">
        <v>308</v>
      </c>
      <c r="B34" s="572" t="s">
        <v>309</v>
      </c>
      <c r="C34" s="572"/>
      <c r="D34" s="572"/>
      <c r="E34" s="572"/>
      <c r="F34" s="572"/>
      <c r="G34" s="308"/>
      <c r="H34" s="309"/>
      <c r="I34" s="309"/>
      <c r="J34" s="309"/>
      <c r="K34" s="309"/>
      <c r="L34" s="309"/>
      <c r="M34" s="309"/>
      <c r="N34" s="310"/>
      <c r="O34" s="310"/>
      <c r="P34" s="310"/>
      <c r="Q34" s="310"/>
      <c r="R34" s="310"/>
      <c r="S34" s="310"/>
      <c r="T34" s="310"/>
      <c r="AE34" s="297"/>
      <c r="AF34" s="297"/>
      <c r="AG34" s="297"/>
      <c r="AH34" s="297"/>
      <c r="AI34" s="297"/>
      <c r="AJ34" s="297"/>
      <c r="AK34" s="297"/>
      <c r="AL34" s="297"/>
    </row>
    <row r="35" spans="1:82" ht="16.5" x14ac:dyDescent="0.25">
      <c r="A35" s="302" t="s">
        <v>310</v>
      </c>
      <c r="B35" s="567" t="s">
        <v>311</v>
      </c>
      <c r="C35" s="567"/>
      <c r="D35" s="567"/>
      <c r="E35" s="567"/>
      <c r="F35" s="567"/>
      <c r="G35" s="303"/>
      <c r="H35" s="304"/>
      <c r="I35" s="304"/>
      <c r="J35" s="304"/>
      <c r="K35" s="304"/>
      <c r="L35" s="304"/>
      <c r="M35" s="304"/>
      <c r="N35" s="306"/>
      <c r="O35" s="306"/>
      <c r="P35" s="306"/>
      <c r="Q35" s="306"/>
      <c r="R35" s="306"/>
      <c r="S35" s="306"/>
      <c r="T35" s="306"/>
      <c r="AD35" s="297"/>
    </row>
    <row r="37" spans="1:82" ht="17.5" x14ac:dyDescent="0.25">
      <c r="A37" s="568" t="s">
        <v>85</v>
      </c>
      <c r="B37" s="568"/>
      <c r="C37" s="568"/>
      <c r="D37" s="568"/>
      <c r="E37" s="568"/>
      <c r="F37" s="568"/>
      <c r="G37" s="298"/>
      <c r="H37" s="298"/>
      <c r="I37" s="298"/>
      <c r="J37" s="298"/>
      <c r="K37" s="298"/>
      <c r="L37" s="298"/>
      <c r="M37" s="298"/>
      <c r="N37" s="269"/>
      <c r="O37" s="269"/>
      <c r="P37" s="269"/>
      <c r="Q37" s="269"/>
      <c r="R37" s="269"/>
      <c r="S37" s="269"/>
      <c r="T37" s="269"/>
    </row>
    <row r="38" spans="1:82" ht="114" customHeight="1" x14ac:dyDescent="0.25">
      <c r="A38" s="311">
        <f>TINV(0.05,444)</f>
        <v>1.9653212845225878</v>
      </c>
      <c r="B38" s="570" t="s">
        <v>335</v>
      </c>
      <c r="C38" s="570"/>
      <c r="D38" s="570"/>
      <c r="E38" s="570"/>
      <c r="F38" s="570"/>
      <c r="G38" s="312"/>
      <c r="H38" s="312"/>
      <c r="I38" s="312"/>
      <c r="J38" s="312"/>
      <c r="K38" s="312"/>
      <c r="L38" s="312"/>
      <c r="M38" s="312"/>
      <c r="N38" s="313"/>
      <c r="O38" s="313"/>
      <c r="P38" s="313"/>
      <c r="Q38" s="313"/>
      <c r="R38" s="313"/>
      <c r="S38" s="313"/>
      <c r="T38" s="313"/>
    </row>
    <row r="39" spans="1:82" ht="17.25" customHeight="1" x14ac:dyDescent="0.25"/>
    <row r="40" spans="1:82" ht="17.25" customHeight="1" x14ac:dyDescent="0.25">
      <c r="A40" s="568" t="s">
        <v>86</v>
      </c>
      <c r="B40" s="568"/>
      <c r="C40" s="568"/>
      <c r="D40" s="568"/>
      <c r="E40" s="568"/>
      <c r="F40" s="568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</row>
    <row r="41" spans="1:82" ht="37.5" customHeight="1" x14ac:dyDescent="0.25">
      <c r="A41" s="311" t="s">
        <v>87</v>
      </c>
      <c r="B41" s="571" t="s">
        <v>312</v>
      </c>
      <c r="C41" s="571"/>
      <c r="D41" s="571"/>
      <c r="E41" s="571"/>
      <c r="F41" s="571"/>
      <c r="G41" s="314"/>
      <c r="H41" s="314"/>
      <c r="I41" s="314"/>
      <c r="J41" s="314"/>
      <c r="K41" s="314"/>
      <c r="L41" s="314"/>
      <c r="M41" s="314"/>
      <c r="N41" s="315"/>
      <c r="O41" s="315"/>
      <c r="P41" s="315"/>
      <c r="Q41" s="315"/>
      <c r="R41" s="315"/>
      <c r="S41" s="315"/>
      <c r="T41" s="315"/>
    </row>
    <row r="43" spans="1:82" ht="17.5" x14ac:dyDescent="0.25">
      <c r="A43" s="568" t="s">
        <v>88</v>
      </c>
      <c r="B43" s="568"/>
      <c r="C43" s="568"/>
      <c r="D43" s="568"/>
      <c r="E43" s="568"/>
      <c r="F43" s="568"/>
      <c r="G43" s="298"/>
      <c r="H43" s="298"/>
      <c r="I43" s="298"/>
      <c r="J43" s="298"/>
      <c r="K43" s="298"/>
      <c r="L43" s="298"/>
      <c r="M43" s="298"/>
      <c r="N43" s="269"/>
      <c r="O43" s="269"/>
      <c r="P43" s="269"/>
      <c r="Q43" s="269"/>
      <c r="R43" s="269"/>
      <c r="S43" s="269"/>
      <c r="T43" s="269"/>
    </row>
    <row r="44" spans="1:82" ht="60" x14ac:dyDescent="0.25">
      <c r="A44" s="316" t="s">
        <v>291</v>
      </c>
      <c r="B44" s="317" t="s">
        <v>89</v>
      </c>
      <c r="C44" s="317" t="s">
        <v>292</v>
      </c>
      <c r="D44" s="318" t="s">
        <v>293</v>
      </c>
      <c r="E44" s="272" t="s">
        <v>313</v>
      </c>
      <c r="F44" s="318" t="s">
        <v>90</v>
      </c>
      <c r="G44" s="319"/>
      <c r="H44" s="320"/>
      <c r="I44" s="320"/>
      <c r="J44" s="320"/>
      <c r="K44" s="320"/>
      <c r="L44" s="321"/>
      <c r="M44" s="320"/>
      <c r="N44" s="320"/>
      <c r="O44" s="320"/>
      <c r="P44" s="320"/>
      <c r="Q44" s="320"/>
      <c r="R44" s="320"/>
      <c r="S44" s="320"/>
      <c r="T44" s="320"/>
      <c r="U44" s="322"/>
      <c r="V44" s="323"/>
      <c r="W44" s="323"/>
      <c r="X44" s="323"/>
      <c r="Y44" s="323"/>
      <c r="Z44" s="323"/>
      <c r="AA44" s="323"/>
      <c r="AB44" s="323"/>
      <c r="AC44" s="323"/>
      <c r="AD44" s="322"/>
      <c r="AE44" s="323"/>
      <c r="AF44" s="323"/>
      <c r="AG44" s="323"/>
      <c r="AH44" s="323"/>
      <c r="AI44" s="323"/>
      <c r="AJ44" s="323"/>
      <c r="AK44" s="323"/>
      <c r="AL44" s="323"/>
      <c r="AM44" s="322"/>
      <c r="AN44" s="323"/>
      <c r="AO44" s="323"/>
      <c r="AP44" s="323"/>
      <c r="AQ44" s="323"/>
      <c r="AR44" s="323"/>
      <c r="AS44" s="323"/>
      <c r="AT44" s="323"/>
      <c r="AU44" s="323"/>
      <c r="AV44" s="322"/>
      <c r="AW44" s="323"/>
      <c r="AX44" s="323"/>
      <c r="AY44" s="323"/>
      <c r="AZ44" s="323"/>
      <c r="BA44" s="323"/>
      <c r="BB44" s="323"/>
      <c r="BC44" s="323"/>
      <c r="BD44" s="323"/>
      <c r="BE44" s="322"/>
      <c r="BF44" s="323"/>
      <c r="BG44" s="323"/>
      <c r="BH44" s="323"/>
      <c r="BI44" s="323"/>
      <c r="BJ44" s="323"/>
      <c r="BK44" s="323"/>
      <c r="BL44" s="323"/>
      <c r="BM44" s="323"/>
      <c r="BN44" s="323"/>
      <c r="BO44" s="323"/>
      <c r="BP44" s="323"/>
      <c r="BQ44" s="323"/>
      <c r="BR44" s="323"/>
      <c r="BS44" s="323"/>
      <c r="BT44" s="323"/>
      <c r="BU44" s="323"/>
      <c r="BV44" s="323"/>
      <c r="BW44" s="323"/>
      <c r="BX44" s="323"/>
      <c r="BY44" s="323"/>
      <c r="BZ44" s="323"/>
      <c r="CA44" s="323"/>
      <c r="CB44" s="323"/>
      <c r="CC44" s="323"/>
      <c r="CD44" s="323"/>
    </row>
    <row r="45" spans="1:82" ht="15" x14ac:dyDescent="0.25">
      <c r="A45" s="324" t="str">
        <f t="shared" ref="A45:A59" si="58">A4</f>
        <v>20/01/2021-31/01/2021</v>
      </c>
      <c r="B45" s="325">
        <f t="shared" ref="B45:B59" si="59">$A$38</f>
        <v>1.9653212845225878</v>
      </c>
      <c r="C45" s="326">
        <f>CF4</f>
        <v>64.769511836540019</v>
      </c>
      <c r="D45" s="326">
        <f>CG4</f>
        <v>1.2456180867350728</v>
      </c>
      <c r="E45" s="327">
        <f t="shared" ref="E45:E59" si="60">B45*D45</f>
        <v>2.4480397382467416</v>
      </c>
      <c r="F45" s="328">
        <f t="shared" ref="F45:F59" si="61">E45/C45</f>
        <v>3.7796173984218119E-2</v>
      </c>
      <c r="G45" s="320"/>
      <c r="H45" s="320"/>
      <c r="I45" s="320"/>
      <c r="J45" s="320"/>
      <c r="K45" s="320"/>
      <c r="L45" s="321"/>
      <c r="M45" s="320"/>
      <c r="N45" s="320"/>
      <c r="O45" s="320"/>
      <c r="P45" s="320"/>
      <c r="Q45" s="320"/>
      <c r="R45" s="320"/>
      <c r="S45" s="320"/>
      <c r="T45" s="320"/>
      <c r="U45" s="322"/>
      <c r="V45" s="323"/>
      <c r="W45" s="323"/>
      <c r="X45" s="323"/>
      <c r="Y45" s="323"/>
      <c r="Z45" s="323"/>
      <c r="AA45" s="323"/>
      <c r="AB45" s="323"/>
      <c r="AC45" s="323"/>
      <c r="AD45" s="322"/>
      <c r="AE45" s="323"/>
      <c r="AF45" s="323"/>
      <c r="AG45" s="323"/>
      <c r="AH45" s="323"/>
      <c r="AI45" s="323"/>
      <c r="AJ45" s="323"/>
      <c r="AK45" s="323"/>
      <c r="AL45" s="323"/>
      <c r="AM45" s="322"/>
      <c r="AN45" s="323"/>
      <c r="AO45" s="323"/>
      <c r="AP45" s="323"/>
      <c r="AQ45" s="323"/>
      <c r="AR45" s="323"/>
      <c r="AS45" s="323"/>
      <c r="AT45" s="323"/>
      <c r="AU45" s="323"/>
      <c r="AV45" s="322"/>
      <c r="AW45" s="323"/>
      <c r="AX45" s="323"/>
      <c r="AY45" s="323"/>
      <c r="AZ45" s="323"/>
      <c r="BA45" s="323"/>
      <c r="BB45" s="323"/>
      <c r="BC45" s="323"/>
      <c r="BD45" s="323"/>
      <c r="BE45" s="322"/>
      <c r="BF45" s="323"/>
      <c r="BG45" s="323"/>
      <c r="BH45" s="323"/>
      <c r="BI45" s="323"/>
      <c r="BJ45" s="323"/>
      <c r="BK45" s="323"/>
      <c r="BL45" s="323"/>
      <c r="BM45" s="323"/>
      <c r="BN45" s="323"/>
      <c r="BO45" s="323"/>
      <c r="BP45" s="323"/>
      <c r="BQ45" s="323"/>
      <c r="BR45" s="323"/>
      <c r="BS45" s="323"/>
      <c r="BT45" s="323"/>
      <c r="BU45" s="323"/>
      <c r="BV45" s="323"/>
      <c r="BW45" s="323"/>
      <c r="BX45" s="323"/>
      <c r="BY45" s="323"/>
      <c r="BZ45" s="323"/>
      <c r="CA45" s="323"/>
      <c r="CB45" s="323"/>
      <c r="CC45" s="323"/>
      <c r="CD45" s="323"/>
    </row>
    <row r="46" spans="1:82" ht="15" x14ac:dyDescent="0.25">
      <c r="A46" s="324" t="str">
        <f t="shared" si="58"/>
        <v>01/02/1021-28/02/2021</v>
      </c>
      <c r="B46" s="325">
        <f t="shared" si="59"/>
        <v>1.9653212845225878</v>
      </c>
      <c r="C46" s="326">
        <f t="shared" ref="C46:D46" si="62">CF5</f>
        <v>50.208893898451521</v>
      </c>
      <c r="D46" s="326">
        <f t="shared" si="62"/>
        <v>1.1128633888097588</v>
      </c>
      <c r="E46" s="327">
        <f t="shared" si="60"/>
        <v>2.1871341047937554</v>
      </c>
      <c r="F46" s="328">
        <f t="shared" si="61"/>
        <v>4.3560690845276882E-2</v>
      </c>
      <c r="G46" s="320"/>
      <c r="H46" s="320"/>
      <c r="I46" s="320"/>
      <c r="J46" s="320"/>
      <c r="K46" s="320"/>
      <c r="L46" s="321"/>
      <c r="M46" s="320"/>
      <c r="N46" s="320"/>
      <c r="O46" s="320"/>
      <c r="P46" s="320"/>
      <c r="Q46" s="320"/>
      <c r="R46" s="320"/>
      <c r="S46" s="320"/>
      <c r="T46" s="320"/>
      <c r="U46" s="322"/>
      <c r="V46" s="323"/>
      <c r="W46" s="323"/>
      <c r="X46" s="323"/>
      <c r="Y46" s="323"/>
      <c r="Z46" s="323"/>
      <c r="AA46" s="323"/>
      <c r="AB46" s="323"/>
      <c r="AC46" s="323"/>
      <c r="AD46" s="322"/>
      <c r="AE46" s="323"/>
      <c r="AF46" s="323"/>
      <c r="AG46" s="323"/>
      <c r="AH46" s="323"/>
      <c r="AI46" s="323"/>
      <c r="AJ46" s="323"/>
      <c r="AK46" s="323"/>
      <c r="AL46" s="323"/>
      <c r="AM46" s="322"/>
      <c r="AN46" s="323"/>
      <c r="AO46" s="323"/>
      <c r="AP46" s="323"/>
      <c r="AQ46" s="323"/>
      <c r="AR46" s="323"/>
      <c r="AS46" s="323"/>
      <c r="AT46" s="323"/>
      <c r="AU46" s="323"/>
      <c r="AV46" s="322"/>
      <c r="AW46" s="323"/>
      <c r="AX46" s="323"/>
      <c r="AY46" s="323"/>
      <c r="AZ46" s="323"/>
      <c r="BA46" s="323"/>
      <c r="BB46" s="323"/>
      <c r="BC46" s="323"/>
      <c r="BD46" s="323"/>
      <c r="BE46" s="322"/>
      <c r="BF46" s="323"/>
      <c r="BG46" s="323"/>
      <c r="BH46" s="323"/>
      <c r="BI46" s="323"/>
      <c r="BJ46" s="323"/>
      <c r="BK46" s="323"/>
      <c r="BL46" s="323"/>
      <c r="BM46" s="323"/>
      <c r="BN46" s="323"/>
      <c r="BO46" s="323"/>
      <c r="BP46" s="323"/>
      <c r="BQ46" s="323"/>
      <c r="BR46" s="323"/>
      <c r="BS46" s="323"/>
      <c r="BT46" s="323"/>
      <c r="BU46" s="323"/>
      <c r="BV46" s="323"/>
      <c r="BW46" s="323"/>
      <c r="BX46" s="323"/>
      <c r="BY46" s="323"/>
      <c r="BZ46" s="323"/>
      <c r="CA46" s="323"/>
      <c r="CB46" s="323"/>
      <c r="CC46" s="323"/>
      <c r="CD46" s="323"/>
    </row>
    <row r="47" spans="1:82" ht="15" x14ac:dyDescent="0.25">
      <c r="A47" s="324" t="str">
        <f t="shared" si="58"/>
        <v>01/03/2021-31/03/3021</v>
      </c>
      <c r="B47" s="325">
        <f t="shared" si="59"/>
        <v>1.9653212845225878</v>
      </c>
      <c r="C47" s="326">
        <f t="shared" ref="C47:D47" si="63">CF6</f>
        <v>51.20139074952435</v>
      </c>
      <c r="D47" s="326">
        <f t="shared" si="63"/>
        <v>1.1522584078201852</v>
      </c>
      <c r="E47" s="327">
        <f t="shared" si="60"/>
        <v>2.2645579741591182</v>
      </c>
      <c r="F47" s="328">
        <f t="shared" si="61"/>
        <v>4.4228446552111583E-2</v>
      </c>
      <c r="G47" s="320"/>
      <c r="H47" s="320"/>
      <c r="I47" s="320"/>
      <c r="J47" s="320"/>
      <c r="K47" s="320"/>
      <c r="L47" s="321"/>
      <c r="M47" s="320"/>
      <c r="N47" s="320"/>
      <c r="O47" s="320"/>
      <c r="P47" s="320"/>
      <c r="Q47" s="320"/>
      <c r="R47" s="320"/>
      <c r="S47" s="320"/>
      <c r="T47" s="320"/>
      <c r="U47" s="322"/>
      <c r="V47" s="323"/>
      <c r="W47" s="323"/>
      <c r="X47" s="323"/>
      <c r="Y47" s="323"/>
      <c r="Z47" s="323"/>
      <c r="AA47" s="323"/>
      <c r="AB47" s="323"/>
      <c r="AC47" s="323"/>
      <c r="AD47" s="322"/>
      <c r="AE47" s="323"/>
      <c r="AF47" s="323"/>
      <c r="AG47" s="323"/>
      <c r="AH47" s="323"/>
      <c r="AI47" s="323"/>
      <c r="AJ47" s="323"/>
      <c r="AK47" s="323"/>
      <c r="AL47" s="323"/>
      <c r="AM47" s="322"/>
      <c r="AN47" s="323"/>
      <c r="AO47" s="323"/>
      <c r="AP47" s="323"/>
      <c r="AQ47" s="323"/>
      <c r="AR47" s="323"/>
      <c r="AS47" s="323"/>
      <c r="AT47" s="323"/>
      <c r="AU47" s="323"/>
      <c r="AV47" s="322"/>
      <c r="AW47" s="323"/>
      <c r="AX47" s="323"/>
      <c r="AY47" s="323"/>
      <c r="AZ47" s="323"/>
      <c r="BA47" s="323"/>
      <c r="BB47" s="323"/>
      <c r="BC47" s="323"/>
      <c r="BD47" s="323"/>
      <c r="BE47" s="322"/>
      <c r="BF47" s="323"/>
      <c r="BG47" s="323"/>
      <c r="BH47" s="323"/>
      <c r="BI47" s="323"/>
      <c r="BJ47" s="323"/>
      <c r="BK47" s="323"/>
      <c r="BL47" s="323"/>
      <c r="BM47" s="323"/>
      <c r="BN47" s="323"/>
      <c r="BO47" s="323"/>
      <c r="BP47" s="323"/>
      <c r="BQ47" s="323"/>
      <c r="BR47" s="323"/>
      <c r="BS47" s="323"/>
      <c r="BT47" s="323"/>
      <c r="BU47" s="323"/>
      <c r="BV47" s="323"/>
      <c r="BW47" s="323"/>
      <c r="BX47" s="323"/>
      <c r="BY47" s="323"/>
      <c r="BZ47" s="323"/>
      <c r="CA47" s="323"/>
      <c r="CB47" s="323"/>
      <c r="CC47" s="323"/>
      <c r="CD47" s="323"/>
    </row>
    <row r="48" spans="1:82" ht="15" x14ac:dyDescent="0.25">
      <c r="A48" s="324" t="str">
        <f t="shared" si="58"/>
        <v>01/04/2021-30/04/2021</v>
      </c>
      <c r="B48" s="325">
        <f t="shared" si="59"/>
        <v>1.9653212845225878</v>
      </c>
      <c r="C48" s="326">
        <f t="shared" ref="C48:D48" si="64">CF7</f>
        <v>50.911388700095678</v>
      </c>
      <c r="D48" s="326">
        <f t="shared" si="64"/>
        <v>1.1179887448008836</v>
      </c>
      <c r="E48" s="327">
        <f t="shared" si="60"/>
        <v>2.1972070760138682</v>
      </c>
      <c r="F48" s="328">
        <f t="shared" si="61"/>
        <v>4.3157476786912688E-2</v>
      </c>
      <c r="G48" s="320"/>
      <c r="H48" s="320"/>
      <c r="I48" s="320"/>
      <c r="J48" s="320"/>
      <c r="K48" s="320"/>
      <c r="L48" s="321"/>
      <c r="M48" s="320"/>
      <c r="N48" s="320"/>
      <c r="O48" s="320"/>
      <c r="P48" s="320"/>
      <c r="Q48" s="320"/>
      <c r="R48" s="320"/>
      <c r="S48" s="320"/>
      <c r="T48" s="320"/>
      <c r="U48" s="322"/>
      <c r="V48" s="323"/>
      <c r="W48" s="323"/>
      <c r="X48" s="323"/>
      <c r="Y48" s="323"/>
      <c r="Z48" s="323"/>
      <c r="AA48" s="323"/>
      <c r="AB48" s="323"/>
      <c r="AC48" s="323"/>
      <c r="AD48" s="322"/>
      <c r="AE48" s="323"/>
      <c r="AF48" s="323"/>
      <c r="AG48" s="323"/>
      <c r="AH48" s="323"/>
      <c r="AI48" s="323"/>
      <c r="AJ48" s="323"/>
      <c r="AK48" s="323"/>
      <c r="AL48" s="323"/>
      <c r="AM48" s="322"/>
      <c r="AN48" s="323"/>
      <c r="AO48" s="323"/>
      <c r="AP48" s="323"/>
      <c r="AQ48" s="323"/>
      <c r="AR48" s="323"/>
      <c r="AS48" s="323"/>
      <c r="AT48" s="323"/>
      <c r="AU48" s="323"/>
      <c r="AV48" s="322"/>
      <c r="AW48" s="323"/>
      <c r="AX48" s="323"/>
      <c r="AY48" s="323"/>
      <c r="AZ48" s="323"/>
      <c r="BA48" s="323"/>
      <c r="BB48" s="323"/>
      <c r="BC48" s="323"/>
      <c r="BD48" s="323"/>
      <c r="BE48" s="322"/>
      <c r="BF48" s="323"/>
      <c r="BG48" s="323"/>
      <c r="BH48" s="323"/>
      <c r="BI48" s="323"/>
      <c r="BJ48" s="323"/>
      <c r="BK48" s="323"/>
      <c r="BL48" s="323"/>
      <c r="BM48" s="323"/>
      <c r="BN48" s="323"/>
      <c r="BO48" s="323"/>
      <c r="BP48" s="323"/>
      <c r="BQ48" s="323"/>
      <c r="BR48" s="323"/>
      <c r="BS48" s="323"/>
      <c r="BT48" s="323"/>
      <c r="BU48" s="323"/>
      <c r="BV48" s="323"/>
      <c r="BW48" s="323"/>
      <c r="BX48" s="323"/>
      <c r="BY48" s="323"/>
      <c r="BZ48" s="323"/>
      <c r="CA48" s="323"/>
      <c r="CB48" s="323"/>
      <c r="CC48" s="323"/>
      <c r="CD48" s="323"/>
    </row>
    <row r="49" spans="1:82" ht="15" x14ac:dyDescent="0.25">
      <c r="A49" s="324" t="str">
        <f t="shared" si="58"/>
        <v>01/05/2021-31/05/2021</v>
      </c>
      <c r="B49" s="325">
        <f t="shared" si="59"/>
        <v>1.9653212845225878</v>
      </c>
      <c r="C49" s="326">
        <f t="shared" ref="C49:D49" si="65">CF8</f>
        <v>50.907437632377714</v>
      </c>
      <c r="D49" s="326">
        <f t="shared" si="65"/>
        <v>1.1247107291594545</v>
      </c>
      <c r="E49" s="327">
        <f t="shared" si="60"/>
        <v>2.2104179349479955</v>
      </c>
      <c r="F49" s="328">
        <f t="shared" si="61"/>
        <v>4.3420333800932548E-2</v>
      </c>
      <c r="G49" s="320"/>
      <c r="H49" s="320"/>
      <c r="I49" s="320"/>
      <c r="J49" s="320"/>
      <c r="K49" s="320"/>
      <c r="L49" s="321"/>
      <c r="M49" s="320"/>
      <c r="N49" s="320"/>
      <c r="O49" s="320"/>
      <c r="P49" s="320"/>
      <c r="Q49" s="320"/>
      <c r="R49" s="320"/>
      <c r="S49" s="320"/>
      <c r="T49" s="320"/>
      <c r="U49" s="322"/>
      <c r="V49" s="323"/>
      <c r="W49" s="323"/>
      <c r="X49" s="323"/>
      <c r="Y49" s="323"/>
      <c r="Z49" s="323"/>
      <c r="AA49" s="323"/>
      <c r="AB49" s="323"/>
      <c r="AC49" s="323"/>
      <c r="AD49" s="322"/>
      <c r="AE49" s="323"/>
      <c r="AF49" s="323"/>
      <c r="AG49" s="323"/>
      <c r="AH49" s="323"/>
      <c r="AI49" s="323"/>
      <c r="AJ49" s="323"/>
      <c r="AK49" s="323"/>
      <c r="AL49" s="323"/>
      <c r="AM49" s="322"/>
      <c r="AN49" s="323"/>
      <c r="AO49" s="323"/>
      <c r="AP49" s="323"/>
      <c r="AQ49" s="323"/>
      <c r="AR49" s="323"/>
      <c r="AS49" s="323"/>
      <c r="AT49" s="323"/>
      <c r="AU49" s="323"/>
      <c r="AV49" s="322"/>
      <c r="AW49" s="323"/>
      <c r="AX49" s="323"/>
      <c r="AY49" s="323"/>
      <c r="AZ49" s="323"/>
      <c r="BA49" s="323"/>
      <c r="BB49" s="323"/>
      <c r="BC49" s="323"/>
      <c r="BD49" s="323"/>
      <c r="BE49" s="322"/>
      <c r="BF49" s="323"/>
      <c r="BG49" s="323"/>
      <c r="BH49" s="323"/>
      <c r="BI49" s="323"/>
      <c r="BJ49" s="323"/>
      <c r="BK49" s="323"/>
      <c r="BL49" s="323"/>
      <c r="BM49" s="323"/>
      <c r="BN49" s="323"/>
      <c r="BO49" s="323"/>
      <c r="BP49" s="323"/>
      <c r="BQ49" s="323"/>
      <c r="BR49" s="323"/>
      <c r="BS49" s="323"/>
      <c r="BT49" s="323"/>
      <c r="BU49" s="323"/>
      <c r="BV49" s="323"/>
      <c r="BW49" s="323"/>
      <c r="BX49" s="323"/>
      <c r="BY49" s="323"/>
      <c r="BZ49" s="323"/>
      <c r="CA49" s="323"/>
      <c r="CB49" s="323"/>
      <c r="CC49" s="323"/>
      <c r="CD49" s="323"/>
    </row>
    <row r="50" spans="1:82" ht="15" x14ac:dyDescent="0.25">
      <c r="A50" s="324" t="str">
        <f t="shared" si="58"/>
        <v>01/06/2021-30/06/2021</v>
      </c>
      <c r="B50" s="325">
        <f t="shared" si="59"/>
        <v>1.9653212845225878</v>
      </c>
      <c r="C50" s="326">
        <f t="shared" ref="C50:D50" si="66">CF9</f>
        <v>50.408015158892674</v>
      </c>
      <c r="D50" s="326">
        <f t="shared" si="66"/>
        <v>1.1347515387718774</v>
      </c>
      <c r="E50" s="327">
        <f t="shared" si="60"/>
        <v>2.2301513517931291</v>
      </c>
      <c r="F50" s="328">
        <f t="shared" si="61"/>
        <v>4.4241998911550069E-2</v>
      </c>
      <c r="G50" s="320"/>
      <c r="H50" s="320"/>
      <c r="I50" s="320"/>
      <c r="J50" s="320"/>
      <c r="K50" s="320"/>
      <c r="L50" s="321"/>
      <c r="M50" s="320"/>
      <c r="N50" s="320"/>
      <c r="O50" s="320"/>
      <c r="P50" s="320"/>
      <c r="Q50" s="320"/>
      <c r="R50" s="320"/>
      <c r="S50" s="320"/>
      <c r="T50" s="320"/>
      <c r="U50" s="322"/>
      <c r="V50" s="323"/>
      <c r="W50" s="323"/>
      <c r="X50" s="323"/>
      <c r="Y50" s="323"/>
      <c r="Z50" s="323"/>
      <c r="AA50" s="323"/>
      <c r="AB50" s="323"/>
      <c r="AC50" s="323"/>
      <c r="AD50" s="322"/>
      <c r="AE50" s="323"/>
      <c r="AF50" s="323"/>
      <c r="AG50" s="323"/>
      <c r="AH50" s="323"/>
      <c r="AI50" s="323"/>
      <c r="AJ50" s="323"/>
      <c r="AK50" s="323"/>
      <c r="AL50" s="323"/>
      <c r="AM50" s="322"/>
      <c r="AN50" s="323"/>
      <c r="AO50" s="323"/>
      <c r="AP50" s="323"/>
      <c r="AQ50" s="323"/>
      <c r="AR50" s="323"/>
      <c r="AS50" s="323"/>
      <c r="AT50" s="323"/>
      <c r="AU50" s="323"/>
      <c r="AV50" s="322"/>
      <c r="AW50" s="323"/>
      <c r="AX50" s="323"/>
      <c r="AY50" s="323"/>
      <c r="AZ50" s="323"/>
      <c r="BA50" s="323"/>
      <c r="BB50" s="323"/>
      <c r="BC50" s="323"/>
      <c r="BD50" s="323"/>
      <c r="BE50" s="322"/>
      <c r="BF50" s="323"/>
      <c r="BG50" s="323"/>
      <c r="BH50" s="323"/>
      <c r="BI50" s="323"/>
      <c r="BJ50" s="323"/>
      <c r="BK50" s="323"/>
      <c r="BL50" s="323"/>
      <c r="BM50" s="323"/>
      <c r="BN50" s="323"/>
      <c r="BO50" s="323"/>
      <c r="BP50" s="323"/>
      <c r="BQ50" s="323"/>
      <c r="BR50" s="323"/>
      <c r="BS50" s="323"/>
      <c r="BT50" s="323"/>
      <c r="BU50" s="323"/>
      <c r="BV50" s="323"/>
      <c r="BW50" s="323"/>
      <c r="BX50" s="323"/>
      <c r="BY50" s="323"/>
      <c r="BZ50" s="323"/>
      <c r="CA50" s="323"/>
      <c r="CB50" s="323"/>
      <c r="CC50" s="323"/>
      <c r="CD50" s="323"/>
    </row>
    <row r="51" spans="1:82" ht="15" x14ac:dyDescent="0.25">
      <c r="A51" s="324" t="str">
        <f t="shared" si="58"/>
        <v>01/07/2021-31/07/2021</v>
      </c>
      <c r="B51" s="325">
        <f t="shared" si="59"/>
        <v>1.9653212845225878</v>
      </c>
      <c r="C51" s="326">
        <f t="shared" ref="C51:D51" si="67">CF10</f>
        <v>50.457430206177968</v>
      </c>
      <c r="D51" s="326">
        <f t="shared" si="67"/>
        <v>1.1352674391777267</v>
      </c>
      <c r="E51" s="327">
        <f t="shared" si="60"/>
        <v>2.2311652618414386</v>
      </c>
      <c r="F51" s="328">
        <f t="shared" si="61"/>
        <v>4.4218765258644828E-2</v>
      </c>
      <c r="G51" s="320"/>
      <c r="H51" s="320"/>
      <c r="I51" s="320"/>
      <c r="J51" s="320"/>
      <c r="K51" s="320"/>
      <c r="L51" s="321"/>
      <c r="M51" s="320"/>
      <c r="N51" s="320"/>
      <c r="O51" s="320"/>
      <c r="P51" s="320"/>
      <c r="Q51" s="320"/>
      <c r="R51" s="320"/>
      <c r="S51" s="320"/>
      <c r="T51" s="320"/>
      <c r="U51" s="322"/>
      <c r="V51" s="323"/>
      <c r="W51" s="323"/>
      <c r="X51" s="323"/>
      <c r="Y51" s="323"/>
      <c r="Z51" s="323"/>
      <c r="AA51" s="323"/>
      <c r="AB51" s="323"/>
      <c r="AC51" s="323"/>
      <c r="AD51" s="322"/>
      <c r="AE51" s="323"/>
      <c r="AF51" s="323"/>
      <c r="AG51" s="323"/>
      <c r="AH51" s="323"/>
      <c r="AI51" s="323"/>
      <c r="AJ51" s="323"/>
      <c r="AK51" s="323"/>
      <c r="AL51" s="323"/>
      <c r="AM51" s="322"/>
      <c r="AN51" s="323"/>
      <c r="AO51" s="323"/>
      <c r="AP51" s="323"/>
      <c r="AQ51" s="323"/>
      <c r="AR51" s="323"/>
      <c r="AS51" s="323"/>
      <c r="AT51" s="323"/>
      <c r="AU51" s="323"/>
      <c r="AV51" s="322"/>
      <c r="AW51" s="323"/>
      <c r="AX51" s="323"/>
      <c r="AY51" s="323"/>
      <c r="AZ51" s="323"/>
      <c r="BA51" s="323"/>
      <c r="BB51" s="323"/>
      <c r="BC51" s="323"/>
      <c r="BD51" s="323"/>
      <c r="BE51" s="322"/>
      <c r="BF51" s="323"/>
      <c r="BG51" s="323"/>
      <c r="BH51" s="323"/>
      <c r="BI51" s="323"/>
      <c r="BJ51" s="323"/>
      <c r="BK51" s="323"/>
      <c r="BL51" s="323"/>
      <c r="BM51" s="323"/>
      <c r="BN51" s="323"/>
      <c r="BO51" s="323"/>
      <c r="BP51" s="323"/>
      <c r="BQ51" s="323"/>
      <c r="BR51" s="323"/>
      <c r="BS51" s="323"/>
      <c r="BT51" s="323"/>
      <c r="BU51" s="323"/>
      <c r="BV51" s="323"/>
      <c r="BW51" s="323"/>
      <c r="BX51" s="323"/>
      <c r="BY51" s="323"/>
      <c r="BZ51" s="323"/>
      <c r="CA51" s="323"/>
      <c r="CB51" s="323"/>
      <c r="CC51" s="323"/>
      <c r="CD51" s="323"/>
    </row>
    <row r="52" spans="1:82" ht="15" x14ac:dyDescent="0.25">
      <c r="A52" s="324" t="str">
        <f t="shared" si="58"/>
        <v>01/08/2021-31/08/2021</v>
      </c>
      <c r="B52" s="325">
        <f t="shared" si="59"/>
        <v>1.9653212845225878</v>
      </c>
      <c r="C52" s="326">
        <f t="shared" ref="C52:D52" si="68">CF11</f>
        <v>50.62896058021208</v>
      </c>
      <c r="D52" s="326">
        <f t="shared" si="68"/>
        <v>1.1478489383094257</v>
      </c>
      <c r="E52" s="327">
        <f t="shared" si="60"/>
        <v>2.2558919498761694</v>
      </c>
      <c r="F52" s="328">
        <f t="shared" si="61"/>
        <v>4.4557342754491913E-2</v>
      </c>
      <c r="G52" s="320"/>
      <c r="H52" s="320"/>
      <c r="I52" s="320"/>
      <c r="J52" s="320"/>
      <c r="K52" s="320"/>
      <c r="L52" s="321"/>
      <c r="M52" s="320"/>
      <c r="N52" s="320"/>
      <c r="O52" s="320"/>
      <c r="P52" s="320"/>
      <c r="Q52" s="320"/>
      <c r="R52" s="320"/>
      <c r="S52" s="320"/>
      <c r="T52" s="320"/>
      <c r="U52" s="322"/>
      <c r="V52" s="323"/>
      <c r="W52" s="323"/>
      <c r="X52" s="323"/>
      <c r="Y52" s="323"/>
      <c r="Z52" s="323"/>
      <c r="AA52" s="323"/>
      <c r="AB52" s="323"/>
      <c r="AC52" s="323"/>
      <c r="AD52" s="322"/>
      <c r="AE52" s="323"/>
      <c r="AF52" s="323"/>
      <c r="AG52" s="323"/>
      <c r="AH52" s="323"/>
      <c r="AI52" s="323"/>
      <c r="AJ52" s="323"/>
      <c r="AK52" s="323"/>
      <c r="AL52" s="323"/>
      <c r="AM52" s="322"/>
      <c r="AN52" s="323"/>
      <c r="AO52" s="323"/>
      <c r="AP52" s="323"/>
      <c r="AQ52" s="323"/>
      <c r="AR52" s="323"/>
      <c r="AS52" s="323"/>
      <c r="AT52" s="323"/>
      <c r="AU52" s="323"/>
      <c r="AV52" s="322"/>
      <c r="AW52" s="323"/>
      <c r="AX52" s="323"/>
      <c r="AY52" s="323"/>
      <c r="AZ52" s="323"/>
      <c r="BA52" s="323"/>
      <c r="BB52" s="323"/>
      <c r="BC52" s="323"/>
      <c r="BD52" s="323"/>
      <c r="BE52" s="322"/>
      <c r="BF52" s="323"/>
      <c r="BG52" s="323"/>
      <c r="BH52" s="323"/>
      <c r="BI52" s="323"/>
      <c r="BJ52" s="323"/>
      <c r="BK52" s="323"/>
      <c r="BL52" s="323"/>
      <c r="BM52" s="323"/>
      <c r="BN52" s="323"/>
      <c r="BO52" s="323"/>
      <c r="BP52" s="323"/>
      <c r="BQ52" s="323"/>
      <c r="BR52" s="323"/>
      <c r="BS52" s="323"/>
      <c r="BT52" s="323"/>
      <c r="BU52" s="323"/>
      <c r="BV52" s="323"/>
      <c r="BW52" s="323"/>
      <c r="BX52" s="323"/>
      <c r="BY52" s="323"/>
      <c r="BZ52" s="323"/>
      <c r="CA52" s="323"/>
      <c r="CB52" s="323"/>
      <c r="CC52" s="323"/>
      <c r="CD52" s="323"/>
    </row>
    <row r="53" spans="1:82" ht="15" x14ac:dyDescent="0.25">
      <c r="A53" s="324" t="str">
        <f t="shared" si="58"/>
        <v>01/09/2021-30/09/2021</v>
      </c>
      <c r="B53" s="325">
        <f t="shared" si="59"/>
        <v>1.9653212845225878</v>
      </c>
      <c r="C53" s="326">
        <f t="shared" ref="C53:D53" si="69">CF12</f>
        <v>50.71665583571064</v>
      </c>
      <c r="D53" s="326">
        <f t="shared" si="69"/>
        <v>1.1605593073903118</v>
      </c>
      <c r="E53" s="327">
        <f t="shared" si="60"/>
        <v>2.2808719087649725</v>
      </c>
      <c r="F53" s="328">
        <f t="shared" si="61"/>
        <v>4.4972837250025537E-2</v>
      </c>
    </row>
    <row r="54" spans="1:82" ht="15" x14ac:dyDescent="0.25">
      <c r="A54" s="324" t="str">
        <f t="shared" si="58"/>
        <v>01/10/2021-31/10/2021</v>
      </c>
      <c r="B54" s="325">
        <f t="shared" si="59"/>
        <v>1.9653212845225878</v>
      </c>
      <c r="C54" s="326">
        <f t="shared" ref="C54:D54" si="70">CF13</f>
        <v>50.603136308606103</v>
      </c>
      <c r="D54" s="326">
        <f t="shared" si="70"/>
        <v>1.1581645673904288</v>
      </c>
      <c r="E54" s="327">
        <f t="shared" si="60"/>
        <v>2.2761654752723048</v>
      </c>
      <c r="F54" s="328">
        <f t="shared" si="61"/>
        <v>4.4980719404247603E-2</v>
      </c>
    </row>
    <row r="55" spans="1:82" ht="15" x14ac:dyDescent="0.25">
      <c r="A55" s="324" t="str">
        <f t="shared" si="58"/>
        <v>01/11/2021-30/11/2021</v>
      </c>
      <c r="B55" s="325">
        <f t="shared" si="59"/>
        <v>1.9653212845225878</v>
      </c>
      <c r="C55" s="326">
        <f t="shared" ref="C55:D55" si="71">CF14</f>
        <v>50.105034865381903</v>
      </c>
      <c r="D55" s="326">
        <f t="shared" si="71"/>
        <v>1.110352881408069</v>
      </c>
      <c r="E55" s="327">
        <f t="shared" si="60"/>
        <v>2.1822001511622626</v>
      </c>
      <c r="F55" s="328">
        <f t="shared" si="61"/>
        <v>4.3552512377752435E-2</v>
      </c>
    </row>
    <row r="56" spans="1:82" ht="15" x14ac:dyDescent="0.25">
      <c r="A56" s="324" t="str">
        <f t="shared" si="58"/>
        <v>01/12/2021-31/12/2021</v>
      </c>
      <c r="B56" s="325">
        <f t="shared" si="59"/>
        <v>1.9653212845225878</v>
      </c>
      <c r="C56" s="326">
        <f t="shared" ref="C56:D56" si="72">CF15</f>
        <v>50.803206555332842</v>
      </c>
      <c r="D56" s="326">
        <f t="shared" si="72"/>
        <v>1.1479922458950418</v>
      </c>
      <c r="E56" s="327">
        <f t="shared" si="60"/>
        <v>2.2561735953244142</v>
      </c>
      <c r="F56" s="328">
        <f t="shared" si="61"/>
        <v>4.4410062834657475E-2</v>
      </c>
    </row>
    <row r="57" spans="1:82" ht="15" x14ac:dyDescent="0.25">
      <c r="A57" s="324" t="str">
        <f t="shared" si="58"/>
        <v>01/01/2022-31/01/2022</v>
      </c>
      <c r="B57" s="325">
        <f t="shared" si="59"/>
        <v>1.9653212845225878</v>
      </c>
      <c r="C57" s="326">
        <f t="shared" ref="C57:D57" si="73">CF16</f>
        <v>50.520100898600319</v>
      </c>
      <c r="D57" s="326">
        <f t="shared" si="73"/>
        <v>1.1300604304454358</v>
      </c>
      <c r="E57" s="327">
        <f t="shared" si="60"/>
        <v>2.2209318167511722</v>
      </c>
      <c r="F57" s="328">
        <f t="shared" si="61"/>
        <v>4.3961349586550492E-2</v>
      </c>
    </row>
    <row r="58" spans="1:82" ht="15" x14ac:dyDescent="0.25">
      <c r="A58" s="324" t="str">
        <f t="shared" si="58"/>
        <v>01/02/2022-28/02/2022</v>
      </c>
      <c r="B58" s="325">
        <f t="shared" si="59"/>
        <v>1.9653212845225878</v>
      </c>
      <c r="C58" s="326">
        <f t="shared" ref="C58:D58" si="74">CF17</f>
        <v>50.550689452845567</v>
      </c>
      <c r="D58" s="326">
        <f t="shared" si="74"/>
        <v>1.1179947670787018</v>
      </c>
      <c r="E58" s="327">
        <f t="shared" si="60"/>
        <v>2.1972189117246455</v>
      </c>
      <c r="F58" s="328">
        <f t="shared" si="61"/>
        <v>4.3465656660810606E-2</v>
      </c>
    </row>
    <row r="59" spans="1:82" ht="15" x14ac:dyDescent="0.25">
      <c r="A59" s="324" t="str">
        <f t="shared" si="58"/>
        <v>01/03/2022-31/03/2022</v>
      </c>
      <c r="B59" s="325">
        <f t="shared" si="59"/>
        <v>1.9653212845225878</v>
      </c>
      <c r="C59" s="326">
        <f t="shared" ref="C59:D59" si="75">CF18</f>
        <v>50.35763985505826</v>
      </c>
      <c r="D59" s="326">
        <f t="shared" si="75"/>
        <v>1.1209323531101143</v>
      </c>
      <c r="E59" s="327">
        <f t="shared" si="60"/>
        <v>2.2029922120772967</v>
      </c>
      <c r="F59" s="328">
        <f t="shared" si="61"/>
        <v>4.374693131802946E-2</v>
      </c>
    </row>
  </sheetData>
  <mergeCells count="31">
    <mergeCell ref="CG2:CG3"/>
    <mergeCell ref="AV2:BD2"/>
    <mergeCell ref="BE2:BM2"/>
    <mergeCell ref="CF2:CF3"/>
    <mergeCell ref="A1:F1"/>
    <mergeCell ref="C2:K2"/>
    <mergeCell ref="L2:T2"/>
    <mergeCell ref="A2:A3"/>
    <mergeCell ref="U2:AC2"/>
    <mergeCell ref="AD2:AL2"/>
    <mergeCell ref="AM2:AU2"/>
    <mergeCell ref="BN2:BV2"/>
    <mergeCell ref="BW2:CE2"/>
    <mergeCell ref="B38:F38"/>
    <mergeCell ref="A40:F40"/>
    <mergeCell ref="B41:F41"/>
    <mergeCell ref="A43:F43"/>
    <mergeCell ref="A29:F29"/>
    <mergeCell ref="A30:F30"/>
    <mergeCell ref="B31:F31"/>
    <mergeCell ref="B32:F32"/>
    <mergeCell ref="B33:F33"/>
    <mergeCell ref="B34:F34"/>
    <mergeCell ref="B35:F35"/>
    <mergeCell ref="A37:F37"/>
    <mergeCell ref="B26:F26"/>
    <mergeCell ref="A21:F21"/>
    <mergeCell ref="A22:F22"/>
    <mergeCell ref="B23:F23"/>
    <mergeCell ref="B24:F24"/>
    <mergeCell ref="B25:F25"/>
  </mergeCells>
  <phoneticPr fontId="1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45C9-9E4A-4316-8D78-9C8B5BFAAC9D}">
  <dimension ref="D3:H18"/>
  <sheetViews>
    <sheetView topLeftCell="C1" workbookViewId="0">
      <selection activeCell="E17" sqref="E17"/>
    </sheetView>
  </sheetViews>
  <sheetFormatPr defaultRowHeight="12.5" x14ac:dyDescent="0.25"/>
  <cols>
    <col min="4" max="4" width="27.6328125" bestFit="1" customWidth="1"/>
    <col min="5" max="5" width="21.1796875" customWidth="1"/>
    <col min="6" max="6" width="17" customWidth="1"/>
    <col min="7" max="7" width="18.08984375" customWidth="1"/>
    <col min="8" max="8" width="23.26953125" customWidth="1"/>
    <col min="9" max="9" width="13.7265625" customWidth="1"/>
    <col min="10" max="10" width="10.453125" bestFit="1" customWidth="1"/>
  </cols>
  <sheetData>
    <row r="3" spans="4:8" ht="13" thickBot="1" x14ac:dyDescent="0.3"/>
    <row r="4" spans="4:8" s="384" customFormat="1" ht="43.5" x14ac:dyDescent="0.25">
      <c r="D4" s="395" t="s">
        <v>114</v>
      </c>
      <c r="E4" s="396" t="s">
        <v>342</v>
      </c>
      <c r="F4" s="396" t="s">
        <v>343</v>
      </c>
      <c r="G4" s="396" t="s">
        <v>344</v>
      </c>
      <c r="H4" s="397" t="s">
        <v>345</v>
      </c>
    </row>
    <row r="5" spans="4:8" ht="13.5" x14ac:dyDescent="0.25">
      <c r="D5" s="398" t="s">
        <v>334</v>
      </c>
      <c r="E5" s="399">
        <f>'Baseline emission'!B277</f>
        <v>239414</v>
      </c>
      <c r="F5" s="400">
        <f>'Project emission'!B298</f>
        <v>23318</v>
      </c>
      <c r="G5" s="401">
        <f>Leakage!B310</f>
        <v>9279</v>
      </c>
      <c r="H5" s="402">
        <f t="shared" ref="H5:H6" si="0">E5-F5-G5</f>
        <v>206817</v>
      </c>
    </row>
    <row r="6" spans="4:8" ht="13.5" x14ac:dyDescent="0.25">
      <c r="D6" s="403" t="s">
        <v>129</v>
      </c>
      <c r="E6" s="399">
        <f>'Baseline emission'!B278</f>
        <v>62356</v>
      </c>
      <c r="F6" s="400">
        <f>'Project emission'!B299</f>
        <v>6065</v>
      </c>
      <c r="G6" s="401">
        <f>Leakage!B311</f>
        <v>2416</v>
      </c>
      <c r="H6" s="402">
        <f t="shared" si="0"/>
        <v>53875</v>
      </c>
    </row>
    <row r="7" spans="4:8" ht="14" thickBot="1" x14ac:dyDescent="0.3">
      <c r="D7" s="404" t="s">
        <v>242</v>
      </c>
      <c r="E7" s="405">
        <f>SUM(E5:E6)</f>
        <v>301770</v>
      </c>
      <c r="F7" s="405">
        <f>SUM(F5:F6)</f>
        <v>29383</v>
      </c>
      <c r="G7" s="405">
        <f>SUM(G5:G6)</f>
        <v>11695</v>
      </c>
      <c r="H7" s="406">
        <f>SUM(H5:H6)</f>
        <v>260692</v>
      </c>
    </row>
    <row r="17" spans="4:4" x14ac:dyDescent="0.25">
      <c r="D17" s="340"/>
    </row>
    <row r="18" spans="4:4" x14ac:dyDescent="0.25">
      <c r="D18" s="340"/>
    </row>
  </sheetData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5"/>
  <sheetViews>
    <sheetView tabSelected="1" zoomScaleNormal="100" workbookViewId="0">
      <selection activeCell="H13" sqref="H13"/>
    </sheetView>
  </sheetViews>
  <sheetFormatPr defaultColWidth="8.7265625" defaultRowHeight="13.5" x14ac:dyDescent="0.3"/>
  <cols>
    <col min="1" max="1" width="25.6328125" style="22" bestFit="1" customWidth="1"/>
    <col min="2" max="2" width="18.90625" style="22" customWidth="1"/>
    <col min="3" max="3" width="17.08984375" style="22" customWidth="1"/>
    <col min="4" max="4" width="15.7265625" style="22" customWidth="1"/>
    <col min="5" max="5" width="19.1796875" style="22" customWidth="1"/>
    <col min="6" max="7" width="8.7265625" style="22"/>
    <col min="8" max="8" width="14.54296875" style="22" customWidth="1"/>
    <col min="9" max="9" width="8.7265625" style="22"/>
    <col min="10" max="10" width="16.08984375" style="22" customWidth="1"/>
    <col min="11" max="11" width="17.6328125" style="22" customWidth="1"/>
    <col min="12" max="12" width="18.08984375" style="22" bestFit="1" customWidth="1"/>
    <col min="13" max="13" width="15" style="22" bestFit="1" customWidth="1"/>
    <col min="14" max="14" width="16.08984375" style="22" customWidth="1"/>
    <col min="15" max="15" width="13.26953125" style="22" customWidth="1"/>
    <col min="16" max="16" width="12.453125" style="22" bestFit="1" customWidth="1"/>
    <col min="17" max="17" width="9.26953125" style="22" bestFit="1" customWidth="1"/>
    <col min="18" max="18" width="11.7265625" style="22" bestFit="1" customWidth="1"/>
    <col min="19" max="19" width="12.453125" style="22" bestFit="1" customWidth="1"/>
    <col min="20" max="16384" width="8.7265625" style="22"/>
  </cols>
  <sheetData>
    <row r="1" spans="1:11" ht="33.5" customHeight="1" x14ac:dyDescent="0.4">
      <c r="A1" s="585" t="s">
        <v>147</v>
      </c>
      <c r="B1" s="586"/>
      <c r="C1" s="586"/>
      <c r="D1" s="586"/>
      <c r="E1" s="587"/>
    </row>
    <row r="2" spans="1:11" ht="15.5" x14ac:dyDescent="0.4">
      <c r="A2" s="588" t="s">
        <v>133</v>
      </c>
      <c r="B2" s="590" t="s">
        <v>148</v>
      </c>
      <c r="C2" s="590"/>
      <c r="D2" s="590" t="s">
        <v>149</v>
      </c>
      <c r="E2" s="591"/>
    </row>
    <row r="3" spans="1:11" x14ac:dyDescent="0.3">
      <c r="A3" s="589"/>
      <c r="B3" s="23" t="s">
        <v>32</v>
      </c>
      <c r="C3" s="23" t="s">
        <v>101</v>
      </c>
      <c r="D3" s="23" t="s">
        <v>32</v>
      </c>
      <c r="E3" s="334" t="s">
        <v>101</v>
      </c>
      <c r="G3" s="2"/>
      <c r="H3" s="2"/>
      <c r="I3" s="2"/>
      <c r="J3" s="2"/>
      <c r="K3" s="2"/>
    </row>
    <row r="4" spans="1:11" x14ac:dyDescent="0.3">
      <c r="A4" s="25" t="s">
        <v>314</v>
      </c>
      <c r="B4" s="267">
        <f>'2021.1'!D136</f>
        <v>152825</v>
      </c>
      <c r="C4" s="338">
        <f>'2021.1'!E136</f>
        <v>89885</v>
      </c>
      <c r="D4" s="59">
        <f>'2021.1'!C140</f>
        <v>60.8</v>
      </c>
      <c r="E4" s="336">
        <f>'2021.1'!D140</f>
        <v>79.599999999999994</v>
      </c>
      <c r="G4" s="2"/>
      <c r="H4" s="28"/>
      <c r="I4" s="28"/>
      <c r="J4" s="2"/>
      <c r="K4" s="2"/>
    </row>
    <row r="5" spans="1:11" x14ac:dyDescent="0.3">
      <c r="A5" s="25" t="s">
        <v>134</v>
      </c>
      <c r="B5" s="338">
        <f>'2021.2'!D136</f>
        <v>152825</v>
      </c>
      <c r="C5" s="338">
        <f>'2021.2'!E136</f>
        <v>89832</v>
      </c>
      <c r="D5" s="59">
        <f>'2021.2'!C140</f>
        <v>61.6</v>
      </c>
      <c r="E5" s="336">
        <f>'2021.2'!D140</f>
        <v>77.099999999999994</v>
      </c>
      <c r="F5" s="335"/>
      <c r="G5" s="2"/>
      <c r="H5" s="28"/>
      <c r="I5" s="28"/>
      <c r="J5" s="2"/>
      <c r="K5" s="2"/>
    </row>
    <row r="6" spans="1:11" x14ac:dyDescent="0.3">
      <c r="A6" s="25" t="s">
        <v>135</v>
      </c>
      <c r="B6" s="338">
        <f>'2021.3'!D136</f>
        <v>152825</v>
      </c>
      <c r="C6" s="338">
        <f>'2021.3'!E136</f>
        <v>89845</v>
      </c>
      <c r="D6" s="59">
        <f>'2021.3'!C140</f>
        <v>62.2</v>
      </c>
      <c r="E6" s="336">
        <f>'2021.3'!D140</f>
        <v>77.5</v>
      </c>
      <c r="F6" s="335"/>
      <c r="G6" s="2"/>
      <c r="H6" s="28"/>
      <c r="I6" s="28"/>
      <c r="J6" s="2"/>
      <c r="K6" s="2"/>
    </row>
    <row r="7" spans="1:11" x14ac:dyDescent="0.3">
      <c r="A7" s="25" t="s">
        <v>136</v>
      </c>
      <c r="B7" s="338">
        <f>'2021.4'!D136</f>
        <v>152825</v>
      </c>
      <c r="C7" s="338">
        <f>'2021.4'!E136</f>
        <v>89915</v>
      </c>
      <c r="D7" s="59">
        <f>'2021.4'!C140</f>
        <v>62.2</v>
      </c>
      <c r="E7" s="336">
        <f>'2021.4'!D140</f>
        <v>78</v>
      </c>
      <c r="F7" s="335"/>
      <c r="G7" s="2"/>
      <c r="H7" s="28"/>
      <c r="I7" s="28"/>
      <c r="J7" s="2"/>
      <c r="K7" s="2"/>
    </row>
    <row r="8" spans="1:11" x14ac:dyDescent="0.3">
      <c r="A8" s="25" t="s">
        <v>137</v>
      </c>
      <c r="B8" s="338">
        <f>'2021.5'!D136</f>
        <v>152825</v>
      </c>
      <c r="C8" s="338">
        <f>'2021.5'!E136</f>
        <v>89809</v>
      </c>
      <c r="D8" s="59">
        <f>'2021.5'!C140</f>
        <v>61.3</v>
      </c>
      <c r="E8" s="336">
        <f>'2021.5'!D140</f>
        <v>78.5</v>
      </c>
      <c r="F8" s="335"/>
      <c r="G8" s="2"/>
      <c r="H8" s="28"/>
      <c r="I8" s="28"/>
      <c r="J8" s="2"/>
      <c r="K8" s="2"/>
    </row>
    <row r="9" spans="1:11" x14ac:dyDescent="0.3">
      <c r="A9" s="25" t="s">
        <v>138</v>
      </c>
      <c r="B9" s="338">
        <f>'2021.6'!D136</f>
        <v>152825</v>
      </c>
      <c r="C9" s="338">
        <f>'2021.6'!E136</f>
        <v>89754</v>
      </c>
      <c r="D9" s="59">
        <f>'2021.6'!C140</f>
        <v>61.3</v>
      </c>
      <c r="E9" s="336">
        <f>'2021.6'!D140</f>
        <v>77.8</v>
      </c>
      <c r="F9" s="335"/>
      <c r="G9" s="2"/>
      <c r="H9" s="28"/>
      <c r="I9" s="28"/>
      <c r="J9" s="2"/>
      <c r="K9" s="2"/>
    </row>
    <row r="10" spans="1:11" x14ac:dyDescent="0.3">
      <c r="A10" s="25" t="s">
        <v>140</v>
      </c>
      <c r="B10" s="338">
        <f>'2021.7'!D136</f>
        <v>152825</v>
      </c>
      <c r="C10" s="338">
        <f>'2021.7'!E136</f>
        <v>89905</v>
      </c>
      <c r="D10" s="59">
        <f>'2021.7'!C140</f>
        <v>61.3</v>
      </c>
      <c r="E10" s="336">
        <f>'2021.7'!D140</f>
        <v>77.900000000000006</v>
      </c>
      <c r="F10" s="335"/>
      <c r="G10" s="2"/>
      <c r="H10" s="28"/>
      <c r="I10" s="28"/>
      <c r="J10" s="2"/>
      <c r="K10" s="2"/>
    </row>
    <row r="11" spans="1:11" x14ac:dyDescent="0.3">
      <c r="A11" s="25" t="s">
        <v>139</v>
      </c>
      <c r="B11" s="338">
        <f>'2021.8'!D136</f>
        <v>152825</v>
      </c>
      <c r="C11" s="338">
        <f>'2021.8'!E136</f>
        <v>89670</v>
      </c>
      <c r="D11" s="59">
        <f>'2021.8'!C140</f>
        <v>62.1</v>
      </c>
      <c r="E11" s="336">
        <f>'2021.8'!D140</f>
        <v>78.099999999999994</v>
      </c>
      <c r="F11" s="335"/>
      <c r="G11" s="2"/>
      <c r="H11" s="28"/>
      <c r="I11" s="28"/>
      <c r="J11" s="2"/>
      <c r="K11" s="2"/>
    </row>
    <row r="12" spans="1:11" x14ac:dyDescent="0.3">
      <c r="A12" s="25" t="s">
        <v>141</v>
      </c>
      <c r="B12" s="338">
        <f>'2021.9'!D136</f>
        <v>152825</v>
      </c>
      <c r="C12" s="338">
        <f>'2021.9'!E136</f>
        <v>89854</v>
      </c>
      <c r="D12" s="59">
        <f>'2021.9'!C140</f>
        <v>61.6</v>
      </c>
      <c r="E12" s="336">
        <f>'2021.9'!D140</f>
        <v>77.5</v>
      </c>
      <c r="F12" s="335"/>
      <c r="G12" s="2"/>
      <c r="H12" s="28"/>
      <c r="I12" s="28"/>
      <c r="J12" s="2"/>
      <c r="K12" s="2"/>
    </row>
    <row r="13" spans="1:11" x14ac:dyDescent="0.3">
      <c r="A13" s="25" t="s">
        <v>142</v>
      </c>
      <c r="B13" s="338">
        <f>'2021.10'!D136</f>
        <v>152825</v>
      </c>
      <c r="C13" s="338">
        <f>'2021.10'!E136</f>
        <v>89790</v>
      </c>
      <c r="D13" s="59">
        <f>'2021.10'!C140</f>
        <v>61.4</v>
      </c>
      <c r="E13" s="336">
        <f>'2021.10'!D140</f>
        <v>77.400000000000006</v>
      </c>
      <c r="F13" s="335"/>
      <c r="G13" s="2"/>
      <c r="H13" s="28"/>
      <c r="I13" s="28"/>
      <c r="J13" s="2"/>
      <c r="K13" s="2"/>
    </row>
    <row r="14" spans="1:11" x14ac:dyDescent="0.3">
      <c r="A14" s="25" t="s">
        <v>143</v>
      </c>
      <c r="B14" s="338">
        <f>'2021.11'!D136</f>
        <v>152825</v>
      </c>
      <c r="C14" s="338">
        <f>'2021.11'!E136</f>
        <v>89905</v>
      </c>
      <c r="D14" s="59">
        <f>'2021.11'!C140</f>
        <v>60.6</v>
      </c>
      <c r="E14" s="336">
        <f>'2021.11'!D140</f>
        <v>77.5</v>
      </c>
      <c r="F14" s="335"/>
      <c r="G14" s="2"/>
      <c r="H14" s="28"/>
      <c r="I14" s="28"/>
      <c r="J14" s="2"/>
      <c r="K14" s="2"/>
    </row>
    <row r="15" spans="1:11" x14ac:dyDescent="0.3">
      <c r="A15" s="25" t="s">
        <v>144</v>
      </c>
      <c r="B15" s="338">
        <f>'2021.12'!D136</f>
        <v>152825</v>
      </c>
      <c r="C15" s="338">
        <f>'2021.12'!E136</f>
        <v>89761</v>
      </c>
      <c r="D15" s="59">
        <f>'2021.12'!C140</f>
        <v>61.7</v>
      </c>
      <c r="E15" s="336">
        <f>'2021.12'!D140</f>
        <v>77.5</v>
      </c>
      <c r="F15" s="335"/>
      <c r="G15" s="2"/>
      <c r="H15" s="28"/>
      <c r="I15" s="28"/>
      <c r="J15" s="2"/>
      <c r="K15" s="2"/>
    </row>
    <row r="16" spans="1:11" x14ac:dyDescent="0.3">
      <c r="A16" s="25" t="s">
        <v>160</v>
      </c>
      <c r="B16" s="338">
        <f>'2022.1'!D136</f>
        <v>152825</v>
      </c>
      <c r="C16" s="338">
        <f>'2022.1'!E136</f>
        <v>89894</v>
      </c>
      <c r="D16" s="59">
        <f>'2022.1'!C140</f>
        <v>60.4</v>
      </c>
      <c r="E16" s="336">
        <f>'2022.1'!D140</f>
        <v>79.400000000000006</v>
      </c>
      <c r="F16" s="335"/>
      <c r="G16" s="2"/>
      <c r="H16" s="28"/>
      <c r="I16" s="28"/>
      <c r="J16" s="2"/>
      <c r="K16" s="2"/>
    </row>
    <row r="17" spans="1:11" x14ac:dyDescent="0.3">
      <c r="A17" s="25" t="s">
        <v>145</v>
      </c>
      <c r="B17" s="338">
        <f>'2022.2'!D136</f>
        <v>152825</v>
      </c>
      <c r="C17" s="338">
        <f>'2022.2'!E136</f>
        <v>89820</v>
      </c>
      <c r="D17" s="59">
        <f>'2022.2'!C140</f>
        <v>61.6</v>
      </c>
      <c r="E17" s="336">
        <f>'2022.2'!D140</f>
        <v>77.900000000000006</v>
      </c>
      <c r="F17" s="335"/>
      <c r="G17" s="2"/>
      <c r="H17" s="28"/>
      <c r="I17" s="28"/>
      <c r="J17" s="2"/>
      <c r="K17" s="2"/>
    </row>
    <row r="18" spans="1:11" x14ac:dyDescent="0.3">
      <c r="A18" s="25" t="s">
        <v>146</v>
      </c>
      <c r="B18" s="338">
        <f>'2022.3'!D136</f>
        <v>152825</v>
      </c>
      <c r="C18" s="338">
        <f>'2022.3'!E136</f>
        <v>89703</v>
      </c>
      <c r="D18" s="59">
        <f>'2022.3'!C140</f>
        <v>62</v>
      </c>
      <c r="E18" s="336">
        <f>'2022.3'!D140</f>
        <v>77.900000000000006</v>
      </c>
      <c r="F18" s="335"/>
      <c r="G18" s="2"/>
      <c r="H18" s="28"/>
      <c r="I18" s="28"/>
      <c r="J18" s="2"/>
      <c r="K18" s="2"/>
    </row>
    <row r="19" spans="1:11" ht="14" thickBot="1" x14ac:dyDescent="0.35">
      <c r="A19" s="29" t="s">
        <v>102</v>
      </c>
      <c r="B19" s="30">
        <f>AVERAGE(B4:B18)</f>
        <v>152825</v>
      </c>
      <c r="C19" s="265">
        <f>AVERAGE(C4:C18)</f>
        <v>89822.8</v>
      </c>
      <c r="D19" s="264">
        <f>AVERAGE(D4:D18)</f>
        <v>61.473333333333343</v>
      </c>
      <c r="E19" s="337">
        <f>AVERAGE(E4:E18)</f>
        <v>77.973333333333343</v>
      </c>
      <c r="F19" s="335"/>
      <c r="G19" s="2"/>
      <c r="H19" s="2"/>
      <c r="I19" s="383"/>
      <c r="J19" s="2"/>
      <c r="K19" s="2"/>
    </row>
    <row r="20" spans="1:11" x14ac:dyDescent="0.3">
      <c r="E20" s="31"/>
    </row>
    <row r="21" spans="1:11" ht="14" thickBot="1" x14ac:dyDescent="0.35"/>
    <row r="22" spans="1:11" ht="26.5" customHeight="1" thickBot="1" x14ac:dyDescent="0.35">
      <c r="A22" s="592" t="s">
        <v>341</v>
      </c>
      <c r="B22" s="593"/>
      <c r="C22" s="594"/>
    </row>
    <row r="23" spans="1:11" ht="15.5" x14ac:dyDescent="0.4">
      <c r="A23" s="409" t="s">
        <v>133</v>
      </c>
      <c r="B23" s="410" t="s">
        <v>150</v>
      </c>
      <c r="C23" s="410" t="s">
        <v>340</v>
      </c>
    </row>
    <row r="24" spans="1:11" x14ac:dyDescent="0.3">
      <c r="A24" s="25" t="str">
        <f t="shared" ref="A24:A38" si="0">A4</f>
        <v>20/01/2021-31/01/2021</v>
      </c>
      <c r="B24" s="392">
        <v>6.2623100000000003</v>
      </c>
      <c r="C24" s="392">
        <v>922.96275999999989</v>
      </c>
      <c r="E24" s="50"/>
    </row>
    <row r="25" spans="1:11" x14ac:dyDescent="0.3">
      <c r="A25" s="25" t="str">
        <f t="shared" si="0"/>
        <v>01/02/1021-28/02/2021</v>
      </c>
      <c r="B25" s="392">
        <v>16.16046</v>
      </c>
      <c r="C25" s="392">
        <v>2159.8262600000003</v>
      </c>
      <c r="E25" s="50"/>
    </row>
    <row r="26" spans="1:11" x14ac:dyDescent="0.3">
      <c r="A26" s="25" t="str">
        <f t="shared" si="0"/>
        <v>01/03/2021-31/03/3021</v>
      </c>
      <c r="B26" s="392">
        <v>16.153500000000001</v>
      </c>
      <c r="C26" s="392">
        <v>2391.7162899999998</v>
      </c>
      <c r="E26" s="50"/>
    </row>
    <row r="27" spans="1:11" x14ac:dyDescent="0.3">
      <c r="A27" s="25" t="str">
        <f t="shared" si="0"/>
        <v>01/04/2021-30/04/2021</v>
      </c>
      <c r="B27" s="392">
        <v>16.148859999999999</v>
      </c>
      <c r="C27" s="392">
        <v>2313.2610099999997</v>
      </c>
      <c r="E27" s="50"/>
    </row>
    <row r="28" spans="1:11" ht="13.5" customHeight="1" x14ac:dyDescent="0.3">
      <c r="A28" s="25" t="str">
        <f t="shared" si="0"/>
        <v>01/05/2021-31/05/2021</v>
      </c>
      <c r="B28" s="392">
        <v>16.164359999999999</v>
      </c>
      <c r="C28" s="392">
        <v>2389.7518300000002</v>
      </c>
      <c r="E28" s="50"/>
    </row>
    <row r="29" spans="1:11" ht="13.5" customHeight="1" x14ac:dyDescent="0.3">
      <c r="A29" s="25" t="str">
        <f t="shared" si="0"/>
        <v>01/06/2021-30/06/2021</v>
      </c>
      <c r="B29" s="392">
        <v>16.145630000000001</v>
      </c>
      <c r="C29" s="392">
        <v>2313.6000599999998</v>
      </c>
      <c r="E29" s="50"/>
    </row>
    <row r="30" spans="1:11" ht="13.5" customHeight="1" x14ac:dyDescent="0.3">
      <c r="A30" s="25" t="str">
        <f t="shared" si="0"/>
        <v>01/07/2021-31/07/2021</v>
      </c>
      <c r="B30" s="392">
        <v>16.169799999999999</v>
      </c>
      <c r="C30" s="392">
        <v>2390.8691399999998</v>
      </c>
      <c r="E30" s="50"/>
    </row>
    <row r="31" spans="1:11" ht="13.5" customHeight="1" x14ac:dyDescent="0.3">
      <c r="A31" s="25" t="str">
        <f t="shared" si="0"/>
        <v>01/08/2021-31/08/2021</v>
      </c>
      <c r="B31" s="392">
        <v>16.146369999999997</v>
      </c>
      <c r="C31" s="392">
        <v>2388.70687</v>
      </c>
      <c r="E31" s="50"/>
    </row>
    <row r="32" spans="1:11" ht="13.5" customHeight="1" x14ac:dyDescent="0.3">
      <c r="A32" s="25" t="str">
        <f t="shared" si="0"/>
        <v>01/09/2021-30/09/2021</v>
      </c>
      <c r="B32" s="392">
        <v>16.166059999999998</v>
      </c>
      <c r="C32" s="392">
        <v>2314.8528700000002</v>
      </c>
      <c r="E32" s="50"/>
    </row>
    <row r="33" spans="1:16" ht="13.5" customHeight="1" x14ac:dyDescent="0.3">
      <c r="A33" s="25" t="str">
        <f t="shared" si="0"/>
        <v>01/10/2021-31/10/2021</v>
      </c>
      <c r="B33" s="392">
        <v>16.14432</v>
      </c>
      <c r="C33" s="392">
        <v>2390.1933699999995</v>
      </c>
      <c r="E33" s="50"/>
    </row>
    <row r="34" spans="1:16" ht="13.5" customHeight="1" x14ac:dyDescent="0.3">
      <c r="A34" s="25" t="str">
        <f t="shared" si="0"/>
        <v>01/11/2021-30/11/2021</v>
      </c>
      <c r="B34" s="392">
        <v>16.176400000000001</v>
      </c>
      <c r="C34" s="392">
        <v>2315.3402299999998</v>
      </c>
      <c r="E34" s="50"/>
    </row>
    <row r="35" spans="1:16" x14ac:dyDescent="0.3">
      <c r="A35" s="25" t="str">
        <f t="shared" si="0"/>
        <v>01/12/2021-31/12/2021</v>
      </c>
      <c r="B35" s="392">
        <v>16.147250000000003</v>
      </c>
      <c r="C35" s="392">
        <v>2392.1416199999994</v>
      </c>
      <c r="E35" s="50"/>
    </row>
    <row r="36" spans="1:16" x14ac:dyDescent="0.3">
      <c r="A36" s="25" t="str">
        <f t="shared" si="0"/>
        <v>01/01/2022-31/01/2022</v>
      </c>
      <c r="B36" s="392">
        <v>16.16076</v>
      </c>
      <c r="C36" s="392">
        <v>2392.3593599999999</v>
      </c>
      <c r="E36" s="50"/>
    </row>
    <row r="37" spans="1:16" x14ac:dyDescent="0.3">
      <c r="A37" s="25" t="str">
        <f t="shared" si="0"/>
        <v>01/02/2022-28/02/2022</v>
      </c>
      <c r="B37" s="392">
        <v>16.16939</v>
      </c>
      <c r="C37" s="392">
        <v>2161.0625099999997</v>
      </c>
      <c r="E37" s="50"/>
    </row>
    <row r="38" spans="1:16" x14ac:dyDescent="0.3">
      <c r="A38" s="25" t="str">
        <f t="shared" si="0"/>
        <v>01/03/2022-31/03/2022</v>
      </c>
      <c r="B38" s="392">
        <v>16.152439999999999</v>
      </c>
      <c r="C38" s="392">
        <v>2391.4692099999997</v>
      </c>
      <c r="E38" s="50"/>
    </row>
    <row r="39" spans="1:16" ht="14" thickBot="1" x14ac:dyDescent="0.35">
      <c r="A39" s="33" t="s">
        <v>69</v>
      </c>
      <c r="B39" s="333">
        <f>SUM(B24:B38)</f>
        <v>232.46790999999996</v>
      </c>
      <c r="C39" s="333">
        <f>SUM(C24:C38)</f>
        <v>33628.113389999991</v>
      </c>
    </row>
    <row r="43" spans="1:16" ht="14" thickBot="1" x14ac:dyDescent="0.35"/>
    <row r="44" spans="1:16" ht="17" x14ac:dyDescent="0.4">
      <c r="A44" s="34" t="str">
        <f t="shared" ref="A44:A59" si="1">A23</f>
        <v>Time interval</v>
      </c>
      <c r="B44" s="35" t="s">
        <v>151</v>
      </c>
      <c r="C44" s="35" t="s">
        <v>152</v>
      </c>
      <c r="D44" s="35" t="s">
        <v>100</v>
      </c>
      <c r="E44" s="37" t="s">
        <v>153</v>
      </c>
      <c r="F44" s="37" t="s">
        <v>96</v>
      </c>
      <c r="G44" s="37" t="s">
        <v>154</v>
      </c>
      <c r="H44" s="37" t="s">
        <v>97</v>
      </c>
      <c r="I44" s="37" t="s">
        <v>98</v>
      </c>
      <c r="J44" s="38" t="s">
        <v>155</v>
      </c>
      <c r="K44" s="37" t="s">
        <v>156</v>
      </c>
      <c r="L44" s="37" t="s">
        <v>157</v>
      </c>
      <c r="M44" s="36" t="s">
        <v>241</v>
      </c>
    </row>
    <row r="45" spans="1:16" x14ac:dyDescent="0.3">
      <c r="A45" s="25" t="str">
        <f t="shared" si="1"/>
        <v>20/01/2021-31/01/2021</v>
      </c>
      <c r="B45" s="266">
        <v>730524.54</v>
      </c>
      <c r="C45" s="266">
        <v>716404.60999999964</v>
      </c>
      <c r="D45" s="215">
        <v>0</v>
      </c>
      <c r="E45" s="26">
        <v>36.380000000000003</v>
      </c>
      <c r="F45" s="26">
        <f t="shared" ref="F45:F59" si="2">E45+273.15</f>
        <v>309.52999999999997</v>
      </c>
      <c r="G45" s="23">
        <f t="shared" ref="G45:G59" si="3">101.325*1000</f>
        <v>101325</v>
      </c>
      <c r="H45" s="23">
        <v>16.04</v>
      </c>
      <c r="I45" s="39">
        <v>8314</v>
      </c>
      <c r="J45" s="40">
        <f t="shared" ref="J45:J58" si="4">ROUND(G45*H45/F45/I45,2)/1000</f>
        <v>6.3000000000000003E-4</v>
      </c>
      <c r="K45" s="216">
        <v>60.84</v>
      </c>
      <c r="L45" s="41">
        <f>B45</f>
        <v>730524.54</v>
      </c>
      <c r="M45" s="27">
        <f>J45*K45*L45/100</f>
        <v>280.00421198568</v>
      </c>
      <c r="O45" s="388"/>
      <c r="P45" s="388"/>
    </row>
    <row r="46" spans="1:16" x14ac:dyDescent="0.3">
      <c r="A46" s="25" t="str">
        <f t="shared" si="1"/>
        <v>01/02/1021-28/02/2021</v>
      </c>
      <c r="B46" s="266">
        <v>1709427.6500000018</v>
      </c>
      <c r="C46" s="266">
        <v>1677364.4100000039</v>
      </c>
      <c r="D46" s="215">
        <v>0</v>
      </c>
      <c r="E46" s="26">
        <v>36.270000000000003</v>
      </c>
      <c r="F46" s="26">
        <f t="shared" si="2"/>
        <v>309.41999999999996</v>
      </c>
      <c r="G46" s="23">
        <f t="shared" si="3"/>
        <v>101325</v>
      </c>
      <c r="H46" s="23">
        <v>16.04</v>
      </c>
      <c r="I46" s="39">
        <v>8314</v>
      </c>
      <c r="J46" s="40">
        <f t="shared" si="4"/>
        <v>6.3000000000000003E-4</v>
      </c>
      <c r="K46" s="216">
        <v>60.99</v>
      </c>
      <c r="L46" s="41">
        <f t="shared" ref="L46:L59" si="5">B46</f>
        <v>1709427.6500000018</v>
      </c>
      <c r="M46" s="27">
        <f t="shared" ref="M46:M59" si="6">J46*K46*L46/100</f>
        <v>656.8253519530507</v>
      </c>
      <c r="O46" s="388"/>
      <c r="P46" s="388"/>
    </row>
    <row r="47" spans="1:16" x14ac:dyDescent="0.3">
      <c r="A47" s="25" t="str">
        <f t="shared" si="1"/>
        <v>01/03/2021-31/03/3021</v>
      </c>
      <c r="B47" s="266">
        <v>1892953.7499999988</v>
      </c>
      <c r="C47" s="266">
        <v>1857270.0199999993</v>
      </c>
      <c r="D47" s="215">
        <v>0</v>
      </c>
      <c r="E47" s="26">
        <v>36.1</v>
      </c>
      <c r="F47" s="26">
        <f t="shared" si="2"/>
        <v>309.25</v>
      </c>
      <c r="G47" s="23">
        <f t="shared" si="3"/>
        <v>101325</v>
      </c>
      <c r="H47" s="23">
        <v>16.04</v>
      </c>
      <c r="I47" s="39">
        <v>8314</v>
      </c>
      <c r="J47" s="40">
        <f t="shared" si="4"/>
        <v>6.3000000000000003E-4</v>
      </c>
      <c r="K47" s="216">
        <v>61.13</v>
      </c>
      <c r="L47" s="41">
        <f t="shared" si="5"/>
        <v>1892953.7499999988</v>
      </c>
      <c r="M47" s="27">
        <f t="shared" si="6"/>
        <v>729.0124552462496</v>
      </c>
      <c r="O47" s="388"/>
      <c r="P47" s="388"/>
    </row>
    <row r="48" spans="1:16" x14ac:dyDescent="0.3">
      <c r="A48" s="25" t="str">
        <f t="shared" si="1"/>
        <v>01/04/2021-30/04/2021</v>
      </c>
      <c r="B48" s="266">
        <v>1830882.9299999969</v>
      </c>
      <c r="C48" s="266">
        <v>1795916.19</v>
      </c>
      <c r="D48" s="215">
        <v>0</v>
      </c>
      <c r="E48" s="26">
        <v>35.93</v>
      </c>
      <c r="F48" s="26">
        <f t="shared" si="2"/>
        <v>309.08</v>
      </c>
      <c r="G48" s="23">
        <f t="shared" si="3"/>
        <v>101325</v>
      </c>
      <c r="H48" s="23">
        <v>16.04</v>
      </c>
      <c r="I48" s="39">
        <v>8314</v>
      </c>
      <c r="J48" s="40">
        <f t="shared" si="4"/>
        <v>6.3000000000000003E-4</v>
      </c>
      <c r="K48" s="216">
        <v>61</v>
      </c>
      <c r="L48" s="41">
        <f t="shared" si="5"/>
        <v>1830882.9299999969</v>
      </c>
      <c r="M48" s="27">
        <f t="shared" si="6"/>
        <v>703.60830999899872</v>
      </c>
      <c r="O48" s="388"/>
      <c r="P48" s="388"/>
    </row>
    <row r="49" spans="1:19" x14ac:dyDescent="0.3">
      <c r="A49" s="25" t="str">
        <f t="shared" si="1"/>
        <v>01/05/2021-31/05/2021</v>
      </c>
      <c r="B49" s="266">
        <v>1891422.5900000026</v>
      </c>
      <c r="C49" s="266">
        <v>1855635.6300000004</v>
      </c>
      <c r="D49" s="215">
        <v>0</v>
      </c>
      <c r="E49" s="26">
        <v>36.86</v>
      </c>
      <c r="F49" s="26">
        <f t="shared" si="2"/>
        <v>310.01</v>
      </c>
      <c r="G49" s="23">
        <f t="shared" si="3"/>
        <v>101325</v>
      </c>
      <c r="H49" s="23">
        <v>16.04</v>
      </c>
      <c r="I49" s="39">
        <v>8314</v>
      </c>
      <c r="J49" s="40">
        <f t="shared" si="4"/>
        <v>6.3000000000000003E-4</v>
      </c>
      <c r="K49" s="216">
        <v>61.380000000000031</v>
      </c>
      <c r="L49" s="41">
        <f t="shared" si="5"/>
        <v>1891422.5900000026</v>
      </c>
      <c r="M49" s="27">
        <f t="shared" si="6"/>
        <v>731.40176701746134</v>
      </c>
      <c r="O49" s="388"/>
      <c r="P49" s="388"/>
    </row>
    <row r="50" spans="1:19" x14ac:dyDescent="0.3">
      <c r="A50" s="25" t="str">
        <f t="shared" si="1"/>
        <v>01/06/2021-30/06/2021</v>
      </c>
      <c r="B50" s="266">
        <v>1831130.92</v>
      </c>
      <c r="C50" s="266">
        <v>1796266.7500000005</v>
      </c>
      <c r="D50" s="215">
        <v>0</v>
      </c>
      <c r="E50" s="26">
        <v>36.1</v>
      </c>
      <c r="F50" s="26">
        <f t="shared" si="2"/>
        <v>309.25</v>
      </c>
      <c r="G50" s="23">
        <f t="shared" si="3"/>
        <v>101325</v>
      </c>
      <c r="H50" s="23">
        <v>16.04</v>
      </c>
      <c r="I50" s="39">
        <v>8314</v>
      </c>
      <c r="J50" s="40">
        <f t="shared" si="4"/>
        <v>6.3000000000000003E-4</v>
      </c>
      <c r="K50" s="216">
        <v>61.23</v>
      </c>
      <c r="L50" s="41">
        <f t="shared" si="5"/>
        <v>1831130.92</v>
      </c>
      <c r="M50" s="27">
        <f t="shared" si="6"/>
        <v>706.35692125907997</v>
      </c>
      <c r="O50" s="388"/>
      <c r="P50" s="388"/>
    </row>
    <row r="51" spans="1:19" x14ac:dyDescent="0.3">
      <c r="A51" s="25" t="str">
        <f t="shared" si="1"/>
        <v>01/07/2021-31/07/2021</v>
      </c>
      <c r="B51" s="266">
        <v>1892290.7400000037</v>
      </c>
      <c r="C51" s="266">
        <v>1856403.2300000032</v>
      </c>
      <c r="D51" s="215">
        <v>0</v>
      </c>
      <c r="E51" s="26">
        <v>36.520000000000003</v>
      </c>
      <c r="F51" s="26">
        <f t="shared" si="2"/>
        <v>309.66999999999996</v>
      </c>
      <c r="G51" s="23">
        <f t="shared" si="3"/>
        <v>101325</v>
      </c>
      <c r="H51" s="23">
        <v>16.04</v>
      </c>
      <c r="I51" s="39">
        <v>8314</v>
      </c>
      <c r="J51" s="40">
        <f t="shared" si="4"/>
        <v>6.3000000000000003E-4</v>
      </c>
      <c r="K51" s="216">
        <v>60.77</v>
      </c>
      <c r="L51" s="41">
        <f t="shared" si="5"/>
        <v>1892290.7400000037</v>
      </c>
      <c r="M51" s="27">
        <f t="shared" si="6"/>
        <v>724.46540209974148</v>
      </c>
      <c r="O51" s="388"/>
      <c r="P51" s="388"/>
    </row>
    <row r="52" spans="1:19" x14ac:dyDescent="0.3">
      <c r="A52" s="25" t="str">
        <f t="shared" si="1"/>
        <v>01/08/2021-31/08/2021</v>
      </c>
      <c r="B52" s="266">
        <v>1890585.6199999962</v>
      </c>
      <c r="C52" s="266">
        <v>1854959.3099999996</v>
      </c>
      <c r="D52" s="215">
        <v>0</v>
      </c>
      <c r="E52" s="26">
        <v>36.61</v>
      </c>
      <c r="F52" s="26">
        <f t="shared" si="2"/>
        <v>309.76</v>
      </c>
      <c r="G52" s="23">
        <f t="shared" si="3"/>
        <v>101325</v>
      </c>
      <c r="H52" s="23">
        <v>16.04</v>
      </c>
      <c r="I52" s="39">
        <v>8314</v>
      </c>
      <c r="J52" s="40">
        <f t="shared" si="4"/>
        <v>6.3000000000000003E-4</v>
      </c>
      <c r="K52" s="216">
        <v>60.89</v>
      </c>
      <c r="L52" s="41">
        <f t="shared" si="5"/>
        <v>1890585.6199999962</v>
      </c>
      <c r="M52" s="27">
        <f t="shared" si="6"/>
        <v>725.24187793133865</v>
      </c>
      <c r="O52" s="388"/>
      <c r="P52" s="388"/>
    </row>
    <row r="53" spans="1:19" x14ac:dyDescent="0.3">
      <c r="A53" s="25" t="str">
        <f t="shared" si="1"/>
        <v>01/09/2021-30/09/2021</v>
      </c>
      <c r="B53" s="266">
        <v>1832125.2699999977</v>
      </c>
      <c r="C53" s="266">
        <v>1796968.1100000015</v>
      </c>
      <c r="D53" s="215">
        <v>0</v>
      </c>
      <c r="E53" s="26">
        <v>36.42</v>
      </c>
      <c r="F53" s="26">
        <f t="shared" si="2"/>
        <v>309.57</v>
      </c>
      <c r="G53" s="23">
        <f t="shared" si="3"/>
        <v>101325</v>
      </c>
      <c r="H53" s="23">
        <v>16.04</v>
      </c>
      <c r="I53" s="39">
        <v>8314</v>
      </c>
      <c r="J53" s="40">
        <f t="shared" si="4"/>
        <v>6.3000000000000003E-4</v>
      </c>
      <c r="K53" s="216">
        <v>60.6</v>
      </c>
      <c r="L53" s="41">
        <f t="shared" si="5"/>
        <v>1832125.2699999977</v>
      </c>
      <c r="M53" s="27">
        <f t="shared" si="6"/>
        <v>699.46878558059916</v>
      </c>
      <c r="O53" s="388"/>
      <c r="P53" s="388"/>
    </row>
    <row r="54" spans="1:19" x14ac:dyDescent="0.3">
      <c r="A54" s="25" t="str">
        <f t="shared" si="1"/>
        <v>01/10/2021-31/10/2021</v>
      </c>
      <c r="B54" s="266">
        <v>1891749.1099999975</v>
      </c>
      <c r="C54" s="266">
        <v>1856057.2900000038</v>
      </c>
      <c r="D54" s="215">
        <v>0</v>
      </c>
      <c r="E54" s="26">
        <v>36.83</v>
      </c>
      <c r="F54" s="26">
        <f t="shared" si="2"/>
        <v>309.97999999999996</v>
      </c>
      <c r="G54" s="23">
        <f t="shared" si="3"/>
        <v>101325</v>
      </c>
      <c r="H54" s="23">
        <v>16.04</v>
      </c>
      <c r="I54" s="39">
        <v>8314</v>
      </c>
      <c r="J54" s="40">
        <f t="shared" si="4"/>
        <v>6.3000000000000003E-4</v>
      </c>
      <c r="K54" s="216">
        <v>60.71</v>
      </c>
      <c r="L54" s="41">
        <f t="shared" si="5"/>
        <v>1891749.1099999975</v>
      </c>
      <c r="M54" s="27">
        <f t="shared" si="6"/>
        <v>723.54295734902917</v>
      </c>
      <c r="O54" s="388"/>
      <c r="P54" s="388"/>
    </row>
    <row r="55" spans="1:19" x14ac:dyDescent="0.3">
      <c r="A55" s="25" t="str">
        <f t="shared" si="1"/>
        <v>01/11/2021-30/11/2021</v>
      </c>
      <c r="B55" s="266">
        <v>1832514.659999996</v>
      </c>
      <c r="C55" s="266">
        <v>1798056.93</v>
      </c>
      <c r="D55" s="215">
        <v>0</v>
      </c>
      <c r="E55" s="26">
        <v>36.47</v>
      </c>
      <c r="F55" s="26">
        <f t="shared" si="2"/>
        <v>309.62</v>
      </c>
      <c r="G55" s="23">
        <f t="shared" si="3"/>
        <v>101325</v>
      </c>
      <c r="H55" s="23">
        <v>16.04</v>
      </c>
      <c r="I55" s="39">
        <v>8314</v>
      </c>
      <c r="J55" s="40">
        <f t="shared" si="4"/>
        <v>6.3000000000000003E-4</v>
      </c>
      <c r="K55" s="216">
        <v>60.68</v>
      </c>
      <c r="L55" s="41">
        <f t="shared" si="5"/>
        <v>1832514.659999996</v>
      </c>
      <c r="M55" s="27">
        <f t="shared" si="6"/>
        <v>700.54103428343853</v>
      </c>
      <c r="O55" s="388"/>
      <c r="P55" s="388"/>
    </row>
    <row r="56" spans="1:19" x14ac:dyDescent="0.3">
      <c r="A56" s="25" t="str">
        <f t="shared" si="1"/>
        <v>01/12/2021-31/12/2021</v>
      </c>
      <c r="B56" s="266">
        <v>1893279.8600000027</v>
      </c>
      <c r="C56" s="266">
        <v>1857643.3200000012</v>
      </c>
      <c r="D56" s="215">
        <v>0</v>
      </c>
      <c r="E56" s="26">
        <v>36.47</v>
      </c>
      <c r="F56" s="26">
        <f t="shared" si="2"/>
        <v>309.62</v>
      </c>
      <c r="G56" s="23">
        <f t="shared" si="3"/>
        <v>101325</v>
      </c>
      <c r="H56" s="23">
        <v>16.04</v>
      </c>
      <c r="I56" s="39">
        <v>8314</v>
      </c>
      <c r="J56" s="40">
        <f t="shared" si="4"/>
        <v>6.3000000000000003E-4</v>
      </c>
      <c r="K56" s="216">
        <v>61.36</v>
      </c>
      <c r="L56" s="41">
        <f t="shared" si="5"/>
        <v>1893279.8600000027</v>
      </c>
      <c r="M56" s="27">
        <f t="shared" si="6"/>
        <v>731.88140892048102</v>
      </c>
      <c r="O56" s="388"/>
      <c r="P56" s="388"/>
    </row>
    <row r="57" spans="1:19" x14ac:dyDescent="0.3">
      <c r="A57" s="25" t="str">
        <f t="shared" si="1"/>
        <v>01/01/2022-31/01/2022</v>
      </c>
      <c r="B57" s="266">
        <v>1893467.77</v>
      </c>
      <c r="C57" s="266">
        <v>1857490.3500000003</v>
      </c>
      <c r="D57" s="215">
        <v>0</v>
      </c>
      <c r="E57" s="26">
        <v>36.56</v>
      </c>
      <c r="F57" s="26">
        <f t="shared" si="2"/>
        <v>309.70999999999998</v>
      </c>
      <c r="G57" s="23">
        <f t="shared" si="3"/>
        <v>101325</v>
      </c>
      <c r="H57" s="23">
        <v>16.04</v>
      </c>
      <c r="I57" s="39">
        <v>8314</v>
      </c>
      <c r="J57" s="40">
        <f t="shared" si="4"/>
        <v>6.3000000000000003E-4</v>
      </c>
      <c r="K57" s="216">
        <v>61.3</v>
      </c>
      <c r="L57" s="41">
        <f t="shared" si="5"/>
        <v>1893467.77</v>
      </c>
      <c r="M57" s="27">
        <f t="shared" si="6"/>
        <v>731.23831809630008</v>
      </c>
      <c r="O57" s="388"/>
      <c r="P57" s="388"/>
      <c r="Q57" s="2"/>
      <c r="R57" s="2"/>
    </row>
    <row r="58" spans="1:19" x14ac:dyDescent="0.3">
      <c r="A58" s="25" t="str">
        <f t="shared" si="1"/>
        <v>01/02/2022-28/02/2022</v>
      </c>
      <c r="B58" s="266">
        <v>1709805.8500000015</v>
      </c>
      <c r="C58" s="266">
        <v>1677206.5399999998</v>
      </c>
      <c r="D58" s="215">
        <v>0</v>
      </c>
      <c r="E58" s="26">
        <v>36.630000000000003</v>
      </c>
      <c r="F58" s="26">
        <f t="shared" si="2"/>
        <v>309.77999999999997</v>
      </c>
      <c r="G58" s="23">
        <f t="shared" si="3"/>
        <v>101325</v>
      </c>
      <c r="H58" s="23">
        <v>16.04</v>
      </c>
      <c r="I58" s="39">
        <v>8314</v>
      </c>
      <c r="J58" s="40">
        <f t="shared" si="4"/>
        <v>6.3000000000000003E-4</v>
      </c>
      <c r="K58" s="216">
        <v>61.54</v>
      </c>
      <c r="L58" s="41">
        <f t="shared" si="5"/>
        <v>1709805.8500000015</v>
      </c>
      <c r="M58" s="27">
        <f t="shared" si="6"/>
        <v>662.8951476567006</v>
      </c>
      <c r="O58" s="388"/>
      <c r="P58" s="388"/>
      <c r="Q58" s="2"/>
      <c r="R58" s="2"/>
    </row>
    <row r="59" spans="1:19" x14ac:dyDescent="0.3">
      <c r="A59" s="25" t="str">
        <f t="shared" si="1"/>
        <v>01/03/2022-31/03/2022</v>
      </c>
      <c r="B59" s="266">
        <v>1892099.1200000022</v>
      </c>
      <c r="C59" s="266">
        <v>1856460.93</v>
      </c>
      <c r="D59" s="215">
        <v>0</v>
      </c>
      <c r="E59" s="26">
        <v>37.19</v>
      </c>
      <c r="F59" s="26">
        <f t="shared" si="2"/>
        <v>310.33999999999997</v>
      </c>
      <c r="G59" s="23">
        <f t="shared" si="3"/>
        <v>101325</v>
      </c>
      <c r="H59" s="23">
        <v>16.04</v>
      </c>
      <c r="I59" s="39">
        <v>8314</v>
      </c>
      <c r="J59" s="40">
        <f t="shared" ref="J59" si="7">ROUND(G59*H59/F59/I59,2)/1000</f>
        <v>6.3000000000000003E-4</v>
      </c>
      <c r="K59" s="216">
        <v>60.11</v>
      </c>
      <c r="L59" s="41">
        <f t="shared" si="5"/>
        <v>1892099.1200000022</v>
      </c>
      <c r="M59" s="27">
        <f t="shared" si="6"/>
        <v>716.52469205016087</v>
      </c>
      <c r="O59" s="388"/>
      <c r="P59" s="388"/>
      <c r="Q59" s="2"/>
      <c r="R59" s="2"/>
    </row>
    <row r="60" spans="1:19" ht="14" thickBot="1" x14ac:dyDescent="0.35">
      <c r="A60" s="33" t="s">
        <v>69</v>
      </c>
      <c r="B60" s="42">
        <f>SUM(B45:B59)</f>
        <v>26614260.379999995</v>
      </c>
      <c r="C60" s="42">
        <f>SUM(C45:C59)</f>
        <v>26110103.620000012</v>
      </c>
      <c r="D60" s="42">
        <f>SUM(D45:D59)</f>
        <v>0</v>
      </c>
      <c r="E60" s="330">
        <f>AVERAGE(E45:E59)</f>
        <v>36.489333333333335</v>
      </c>
      <c r="F60" s="330">
        <f>AVERAGE(F45:F59)</f>
        <v>309.63933333333335</v>
      </c>
      <c r="G60" s="43"/>
      <c r="H60" s="43"/>
      <c r="I60" s="43"/>
      <c r="J60" s="332">
        <f>AVERAGE(J45:J59)</f>
        <v>6.3000000000000013E-4</v>
      </c>
      <c r="K60" s="330">
        <f>AVERAGE(K45:K59)</f>
        <v>60.968666666666664</v>
      </c>
      <c r="L60" s="42">
        <f>SUM(L45:L59)</f>
        <v>26614260.379999995</v>
      </c>
      <c r="M60" s="42">
        <f>SUM(M45:M59)</f>
        <v>10223.008641428311</v>
      </c>
      <c r="O60" s="393"/>
      <c r="P60" s="393"/>
      <c r="Q60" s="44"/>
      <c r="R60" s="44"/>
    </row>
    <row r="61" spans="1:19" x14ac:dyDescent="0.3">
      <c r="A61" s="2"/>
      <c r="B61" s="2"/>
      <c r="C61" s="2"/>
      <c r="D61" s="331"/>
      <c r="E61" s="2"/>
      <c r="M61" s="45"/>
      <c r="N61" s="45"/>
      <c r="O61" s="45"/>
      <c r="P61" s="46"/>
      <c r="Q61" s="47"/>
      <c r="R61" s="48"/>
    </row>
    <row r="62" spans="1:19" x14ac:dyDescent="0.3">
      <c r="B62" s="49"/>
      <c r="C62" s="394"/>
      <c r="E62" s="2"/>
      <c r="L62" s="50"/>
      <c r="M62" s="219"/>
      <c r="N62" s="45"/>
      <c r="O62" s="45"/>
      <c r="P62" s="51"/>
      <c r="Q62" s="31"/>
      <c r="R62" s="31"/>
      <c r="S62" s="49"/>
    </row>
    <row r="63" spans="1:19" x14ac:dyDescent="0.3">
      <c r="B63" s="50"/>
      <c r="C63" s="50"/>
      <c r="D63" s="50"/>
      <c r="E63" s="2"/>
      <c r="M63" s="45"/>
      <c r="N63" s="45"/>
      <c r="O63" s="45"/>
      <c r="P63" s="52"/>
      <c r="Q63" s="45"/>
      <c r="R63" s="53"/>
    </row>
    <row r="64" spans="1:19" x14ac:dyDescent="0.3">
      <c r="C64" s="50"/>
      <c r="D64" s="263"/>
      <c r="E64" s="2"/>
      <c r="M64" s="45"/>
      <c r="N64" s="45"/>
      <c r="O64" s="45"/>
      <c r="P64" s="51"/>
      <c r="Q64" s="46"/>
      <c r="R64" s="53"/>
    </row>
    <row r="65" spans="2:18" x14ac:dyDescent="0.3">
      <c r="B65" s="50"/>
      <c r="C65" s="50"/>
      <c r="D65" s="50"/>
      <c r="E65" s="2"/>
      <c r="M65" s="45"/>
      <c r="N65" s="45"/>
      <c r="O65" s="45"/>
      <c r="P65" s="54"/>
      <c r="Q65" s="46"/>
      <c r="R65" s="45"/>
    </row>
    <row r="66" spans="2:18" x14ac:dyDescent="0.3">
      <c r="B66" s="50"/>
      <c r="C66" s="50"/>
      <c r="D66" s="50"/>
      <c r="E66" s="2"/>
      <c r="P66" s="55"/>
    </row>
    <row r="67" spans="2:18" x14ac:dyDescent="0.3">
      <c r="B67" s="50"/>
      <c r="C67" s="50"/>
      <c r="D67" s="50"/>
      <c r="E67" s="2"/>
      <c r="P67" s="56"/>
    </row>
    <row r="68" spans="2:18" x14ac:dyDescent="0.3">
      <c r="B68" s="50"/>
      <c r="C68" s="50"/>
      <c r="D68" s="50"/>
      <c r="E68" s="2"/>
    </row>
    <row r="69" spans="2:18" x14ac:dyDescent="0.3">
      <c r="B69" s="50"/>
      <c r="C69" s="50"/>
      <c r="D69" s="50"/>
      <c r="E69" s="2"/>
    </row>
    <row r="70" spans="2:18" x14ac:dyDescent="0.3">
      <c r="B70" s="50"/>
      <c r="C70" s="50"/>
      <c r="D70" s="50"/>
      <c r="E70" s="2"/>
    </row>
    <row r="71" spans="2:18" x14ac:dyDescent="0.3">
      <c r="B71" s="50"/>
      <c r="C71" s="50"/>
      <c r="D71" s="50"/>
      <c r="E71" s="2"/>
    </row>
    <row r="72" spans="2:18" x14ac:dyDescent="0.3">
      <c r="B72" s="50"/>
      <c r="C72" s="50"/>
      <c r="D72" s="50"/>
      <c r="E72" s="2"/>
    </row>
    <row r="73" spans="2:18" x14ac:dyDescent="0.3">
      <c r="B73" s="50"/>
      <c r="C73" s="50"/>
      <c r="D73" s="50"/>
      <c r="E73" s="2"/>
    </row>
    <row r="74" spans="2:18" x14ac:dyDescent="0.3">
      <c r="B74" s="49"/>
      <c r="E74" s="2"/>
    </row>
    <row r="75" spans="2:18" x14ac:dyDescent="0.3">
      <c r="E75" s="2"/>
    </row>
    <row r="76" spans="2:18" x14ac:dyDescent="0.3">
      <c r="E76" s="2"/>
    </row>
    <row r="77" spans="2:18" x14ac:dyDescent="0.3">
      <c r="E77" s="2"/>
      <c r="L77" s="57"/>
    </row>
    <row r="78" spans="2:18" x14ac:dyDescent="0.3">
      <c r="E78" s="2"/>
    </row>
    <row r="79" spans="2:18" x14ac:dyDescent="0.3">
      <c r="E79" s="2"/>
    </row>
    <row r="80" spans="2:18" x14ac:dyDescent="0.3">
      <c r="E80" s="2"/>
    </row>
    <row r="81" spans="5:15" x14ac:dyDescent="0.3">
      <c r="E81" s="2"/>
    </row>
    <row r="82" spans="5:15" x14ac:dyDescent="0.3">
      <c r="E82" s="2"/>
    </row>
    <row r="83" spans="5:15" x14ac:dyDescent="0.3">
      <c r="E83" s="2"/>
    </row>
    <row r="84" spans="5:15" x14ac:dyDescent="0.3">
      <c r="E84" s="2"/>
    </row>
    <row r="85" spans="5:15" x14ac:dyDescent="0.3">
      <c r="E85" s="2"/>
    </row>
    <row r="86" spans="5:15" x14ac:dyDescent="0.3">
      <c r="E86" s="2"/>
    </row>
    <row r="87" spans="5:15" x14ac:dyDescent="0.3">
      <c r="E87" s="2"/>
    </row>
    <row r="88" spans="5:15" x14ac:dyDescent="0.3">
      <c r="E88" s="2"/>
    </row>
    <row r="89" spans="5:15" x14ac:dyDescent="0.3">
      <c r="E89" s="2"/>
      <c r="N89" s="58"/>
      <c r="O89" s="58"/>
    </row>
    <row r="90" spans="5:15" x14ac:dyDescent="0.3">
      <c r="E90" s="2"/>
    </row>
    <row r="91" spans="5:15" x14ac:dyDescent="0.3">
      <c r="E91" s="2"/>
    </row>
    <row r="92" spans="5:15" x14ac:dyDescent="0.3">
      <c r="E92" s="2"/>
    </row>
    <row r="93" spans="5:15" x14ac:dyDescent="0.3">
      <c r="E93" s="2"/>
    </row>
    <row r="94" spans="5:15" x14ac:dyDescent="0.3">
      <c r="E94" s="2"/>
    </row>
    <row r="95" spans="5:15" x14ac:dyDescent="0.3">
      <c r="E95" s="2"/>
    </row>
  </sheetData>
  <mergeCells count="5">
    <mergeCell ref="A1:E1"/>
    <mergeCell ref="A2:A3"/>
    <mergeCell ref="B2:C2"/>
    <mergeCell ref="D2:E2"/>
    <mergeCell ref="A22:C22"/>
  </mergeCells>
  <phoneticPr fontId="11" type="noConversion"/>
  <conditionalFormatting sqref="B24:B38">
    <cfRule type="duplicateValues" dxfId="2" priority="1"/>
    <cfRule type="duplicateValues" dxfId="1" priority="3"/>
  </conditionalFormatting>
  <conditionalFormatting sqref="C24:C38"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5F18-10E6-49EE-A513-873C6147198D}">
  <dimension ref="A1:G140"/>
  <sheetViews>
    <sheetView topLeftCell="A13" zoomScale="55" zoomScaleNormal="55" workbookViewId="0">
      <selection activeCell="D11" sqref="D11"/>
    </sheetView>
  </sheetViews>
  <sheetFormatPr defaultColWidth="8.7265625" defaultRowHeight="14" x14ac:dyDescent="0.25"/>
  <cols>
    <col min="1" max="1" width="27.453125" style="341" bestFit="1" customWidth="1"/>
    <col min="2" max="2" width="16.26953125" style="341" bestFit="1" customWidth="1"/>
    <col min="3" max="3" width="22.90625" style="341" bestFit="1" customWidth="1"/>
    <col min="4" max="4" width="22.6328125" style="341" bestFit="1" customWidth="1"/>
    <col min="5" max="5" width="21.453125" style="341" bestFit="1" customWidth="1"/>
    <col min="6" max="6" width="23.453125" style="341" bestFit="1" customWidth="1"/>
    <col min="7" max="7" width="23.08984375" style="341" bestFit="1" customWidth="1"/>
    <col min="8" max="16384" width="8.7265625" style="341"/>
  </cols>
  <sheetData>
    <row r="1" spans="1:7" ht="14.5" x14ac:dyDescent="0.3">
      <c r="A1" s="596" t="s">
        <v>315</v>
      </c>
      <c r="B1" s="597"/>
      <c r="C1" s="597"/>
      <c r="D1" s="597"/>
      <c r="E1" s="597"/>
      <c r="F1" s="597"/>
      <c r="G1" s="598"/>
    </row>
    <row r="2" spans="1:7" x14ac:dyDescent="0.25">
      <c r="A2" s="599" t="s">
        <v>316</v>
      </c>
      <c r="B2" s="599"/>
      <c r="C2" s="599"/>
      <c r="D2" s="599"/>
      <c r="E2" s="599"/>
      <c r="F2" s="599"/>
      <c r="G2" s="599"/>
    </row>
    <row r="3" spans="1:7" ht="14.5" x14ac:dyDescent="0.3">
      <c r="A3" s="342"/>
      <c r="B3" s="600" t="s">
        <v>317</v>
      </c>
      <c r="C3" s="600"/>
      <c r="D3" s="600"/>
      <c r="E3" s="600" t="s">
        <v>318</v>
      </c>
      <c r="F3" s="600"/>
      <c r="G3" s="600"/>
    </row>
    <row r="4" spans="1:7" x14ac:dyDescent="0.25">
      <c r="A4" s="343" t="s">
        <v>319</v>
      </c>
      <c r="B4" s="344" t="s">
        <v>320</v>
      </c>
      <c r="C4" s="344" t="s">
        <v>321</v>
      </c>
      <c r="D4" s="344" t="s">
        <v>322</v>
      </c>
      <c r="E4" s="344" t="s">
        <v>323</v>
      </c>
      <c r="F4" s="344" t="s">
        <v>324</v>
      </c>
      <c r="G4" s="344" t="s">
        <v>325</v>
      </c>
    </row>
    <row r="5" spans="1:7" x14ac:dyDescent="0.25">
      <c r="A5" s="343">
        <v>1</v>
      </c>
      <c r="B5" s="345">
        <v>48.7</v>
      </c>
      <c r="C5" s="345">
        <v>58.9</v>
      </c>
      <c r="D5" s="345">
        <v>105.7</v>
      </c>
      <c r="E5" s="346">
        <v>58</v>
      </c>
      <c r="F5" s="346">
        <v>71.8</v>
      </c>
      <c r="G5" s="346">
        <v>97.1</v>
      </c>
    </row>
    <row r="6" spans="1:7" x14ac:dyDescent="0.25">
      <c r="A6" s="343">
        <v>2</v>
      </c>
      <c r="B6" s="345">
        <v>46.2</v>
      </c>
      <c r="C6" s="345">
        <v>63.3</v>
      </c>
      <c r="D6" s="345">
        <v>84.5</v>
      </c>
      <c r="E6" s="346">
        <v>37.5</v>
      </c>
      <c r="F6" s="346">
        <v>86.5</v>
      </c>
      <c r="G6" s="346">
        <v>111</v>
      </c>
    </row>
    <row r="7" spans="1:7" x14ac:dyDescent="0.25">
      <c r="A7" s="343">
        <v>3</v>
      </c>
      <c r="B7" s="345">
        <v>28.5</v>
      </c>
      <c r="C7" s="345">
        <v>51.5</v>
      </c>
      <c r="D7" s="345">
        <v>107.3</v>
      </c>
      <c r="E7" s="346">
        <v>50.2</v>
      </c>
      <c r="F7" s="346">
        <v>79.7</v>
      </c>
      <c r="G7" s="346">
        <v>113.9</v>
      </c>
    </row>
    <row r="8" spans="1:7" x14ac:dyDescent="0.25">
      <c r="A8" s="343">
        <v>4</v>
      </c>
      <c r="B8" s="345">
        <v>31.7</v>
      </c>
      <c r="C8" s="345">
        <v>61.8</v>
      </c>
      <c r="D8" s="345">
        <v>75.599999999999994</v>
      </c>
      <c r="E8" s="346">
        <v>34</v>
      </c>
      <c r="F8" s="346">
        <v>67.099999999999994</v>
      </c>
      <c r="G8" s="346">
        <v>96.9</v>
      </c>
    </row>
    <row r="9" spans="1:7" x14ac:dyDescent="0.25">
      <c r="A9" s="343">
        <v>5</v>
      </c>
      <c r="B9" s="345">
        <v>27.9</v>
      </c>
      <c r="C9" s="345">
        <v>63.7</v>
      </c>
      <c r="D9" s="345">
        <v>73.099999999999994</v>
      </c>
      <c r="E9" s="346">
        <v>46.3</v>
      </c>
      <c r="F9" s="346">
        <v>72</v>
      </c>
      <c r="G9" s="346">
        <v>99.6</v>
      </c>
    </row>
    <row r="10" spans="1:7" x14ac:dyDescent="0.25">
      <c r="A10" s="343">
        <v>6</v>
      </c>
      <c r="B10" s="345">
        <v>38.1</v>
      </c>
      <c r="C10" s="345">
        <v>60.6</v>
      </c>
      <c r="D10" s="345">
        <v>91.5</v>
      </c>
      <c r="E10" s="346">
        <v>40.799999999999997</v>
      </c>
      <c r="F10" s="346">
        <v>77.5</v>
      </c>
      <c r="G10" s="346">
        <v>108.3</v>
      </c>
    </row>
    <row r="11" spans="1:7" x14ac:dyDescent="0.25">
      <c r="A11" s="343">
        <v>7</v>
      </c>
      <c r="B11" s="345">
        <v>23.3</v>
      </c>
      <c r="C11" s="345">
        <v>51.6</v>
      </c>
      <c r="D11" s="345">
        <v>92.3</v>
      </c>
      <c r="E11" s="346">
        <v>64.3</v>
      </c>
      <c r="F11" s="346">
        <v>73.5</v>
      </c>
      <c r="G11" s="346">
        <v>95.6</v>
      </c>
    </row>
    <row r="12" spans="1:7" x14ac:dyDescent="0.25">
      <c r="A12" s="343">
        <v>8</v>
      </c>
      <c r="B12" s="345">
        <v>44.1</v>
      </c>
      <c r="C12" s="345">
        <v>52.6</v>
      </c>
      <c r="D12" s="345">
        <v>71.2</v>
      </c>
      <c r="E12" s="346">
        <v>44.5</v>
      </c>
      <c r="F12" s="346">
        <v>93.2</v>
      </c>
      <c r="G12" s="346">
        <v>96</v>
      </c>
    </row>
    <row r="13" spans="1:7" x14ac:dyDescent="0.25">
      <c r="A13" s="343">
        <v>9</v>
      </c>
      <c r="B13" s="345">
        <v>23.3</v>
      </c>
      <c r="C13" s="345">
        <v>68.400000000000006</v>
      </c>
      <c r="D13" s="345">
        <v>90.1</v>
      </c>
      <c r="E13" s="345"/>
      <c r="F13" s="345"/>
      <c r="G13" s="345"/>
    </row>
    <row r="14" spans="1:7" x14ac:dyDescent="0.25">
      <c r="A14" s="343">
        <v>10</v>
      </c>
      <c r="B14" s="345">
        <v>19.100000000000001</v>
      </c>
      <c r="C14" s="345">
        <v>53.6</v>
      </c>
      <c r="D14" s="345">
        <v>82</v>
      </c>
      <c r="E14" s="345"/>
      <c r="F14" s="345"/>
      <c r="G14" s="345"/>
    </row>
    <row r="15" spans="1:7" x14ac:dyDescent="0.25">
      <c r="A15" s="343">
        <v>11</v>
      </c>
      <c r="B15" s="345">
        <v>23.1</v>
      </c>
      <c r="C15" s="345">
        <v>64.7</v>
      </c>
      <c r="D15" s="345">
        <v>84.2</v>
      </c>
      <c r="E15" s="345"/>
      <c r="F15" s="345"/>
      <c r="G15" s="345"/>
    </row>
    <row r="16" spans="1:7" x14ac:dyDescent="0.25">
      <c r="A16" s="343">
        <v>12</v>
      </c>
      <c r="B16" s="345">
        <v>36.6</v>
      </c>
      <c r="C16" s="345">
        <v>60.5</v>
      </c>
      <c r="D16" s="345">
        <v>83.7</v>
      </c>
      <c r="E16" s="345"/>
      <c r="F16" s="345"/>
      <c r="G16" s="345"/>
    </row>
    <row r="17" spans="1:7" x14ac:dyDescent="0.25">
      <c r="A17" s="601" t="s">
        <v>326</v>
      </c>
      <c r="B17" s="601"/>
      <c r="C17" s="601"/>
      <c r="D17" s="601"/>
      <c r="E17" s="601"/>
      <c r="F17" s="601"/>
      <c r="G17" s="601"/>
    </row>
    <row r="18" spans="1:7" ht="14.5" x14ac:dyDescent="0.3">
      <c r="A18" s="347"/>
      <c r="B18" s="595" t="s">
        <v>317</v>
      </c>
      <c r="C18" s="595"/>
      <c r="D18" s="595"/>
      <c r="E18" s="595" t="s">
        <v>318</v>
      </c>
      <c r="F18" s="595"/>
      <c r="G18" s="595"/>
    </row>
    <row r="19" spans="1:7" x14ac:dyDescent="0.25">
      <c r="A19" s="348" t="s">
        <v>319</v>
      </c>
      <c r="B19" s="349" t="s">
        <v>320</v>
      </c>
      <c r="C19" s="349" t="s">
        <v>321</v>
      </c>
      <c r="D19" s="349" t="s">
        <v>322</v>
      </c>
      <c r="E19" s="349" t="s">
        <v>323</v>
      </c>
      <c r="F19" s="349" t="s">
        <v>324</v>
      </c>
      <c r="G19" s="349" t="s">
        <v>325</v>
      </c>
    </row>
    <row r="20" spans="1:7" x14ac:dyDescent="0.25">
      <c r="A20" s="348">
        <v>1</v>
      </c>
      <c r="B20" s="350">
        <v>22.8</v>
      </c>
      <c r="C20" s="350">
        <v>55.7</v>
      </c>
      <c r="D20" s="350">
        <v>87.9</v>
      </c>
      <c r="E20" s="350">
        <v>64.8</v>
      </c>
      <c r="F20" s="350">
        <v>91.6</v>
      </c>
      <c r="G20" s="350">
        <v>111.9</v>
      </c>
    </row>
    <row r="21" spans="1:7" x14ac:dyDescent="0.25">
      <c r="A21" s="348">
        <v>2</v>
      </c>
      <c r="B21" s="350">
        <v>40.5</v>
      </c>
      <c r="C21" s="350">
        <v>53.3</v>
      </c>
      <c r="D21" s="350">
        <v>100.2</v>
      </c>
      <c r="E21" s="350">
        <v>42.8</v>
      </c>
      <c r="F21" s="350">
        <v>76.900000000000006</v>
      </c>
      <c r="G21" s="350">
        <v>118.6</v>
      </c>
    </row>
    <row r="22" spans="1:7" x14ac:dyDescent="0.25">
      <c r="A22" s="348">
        <v>3</v>
      </c>
      <c r="B22" s="350">
        <v>46.5</v>
      </c>
      <c r="C22" s="350">
        <v>55</v>
      </c>
      <c r="D22" s="350">
        <v>83.6</v>
      </c>
      <c r="E22" s="350">
        <v>31.7</v>
      </c>
      <c r="F22" s="350">
        <v>85.9</v>
      </c>
      <c r="G22" s="350">
        <v>105.4</v>
      </c>
    </row>
    <row r="23" spans="1:7" x14ac:dyDescent="0.25">
      <c r="A23" s="348">
        <v>4</v>
      </c>
      <c r="B23" s="350">
        <v>26.1</v>
      </c>
      <c r="C23" s="350">
        <v>66</v>
      </c>
      <c r="D23" s="350">
        <v>91.2</v>
      </c>
      <c r="E23" s="350">
        <v>56.3</v>
      </c>
      <c r="F23" s="350">
        <v>94.1</v>
      </c>
      <c r="G23" s="350">
        <v>98.4</v>
      </c>
    </row>
    <row r="24" spans="1:7" x14ac:dyDescent="0.25">
      <c r="A24" s="348">
        <v>5</v>
      </c>
      <c r="B24" s="350">
        <v>46.3</v>
      </c>
      <c r="C24" s="350">
        <v>58.7</v>
      </c>
      <c r="D24" s="350">
        <v>80.099999999999994</v>
      </c>
      <c r="E24" s="350"/>
      <c r="F24" s="350"/>
      <c r="G24" s="350"/>
    </row>
    <row r="25" spans="1:7" x14ac:dyDescent="0.25">
      <c r="A25" s="348">
        <v>6</v>
      </c>
      <c r="B25" s="350">
        <v>41.9</v>
      </c>
      <c r="C25" s="350">
        <v>51.6</v>
      </c>
      <c r="D25" s="350">
        <v>77</v>
      </c>
      <c r="E25" s="350"/>
      <c r="F25" s="350"/>
      <c r="G25" s="350"/>
    </row>
    <row r="26" spans="1:7" x14ac:dyDescent="0.25">
      <c r="A26" s="348">
        <v>7</v>
      </c>
      <c r="B26" s="350">
        <v>35.299999999999997</v>
      </c>
      <c r="C26" s="350">
        <v>58.9</v>
      </c>
      <c r="D26" s="350">
        <v>80.599999999999994</v>
      </c>
      <c r="E26" s="350"/>
      <c r="F26" s="350"/>
      <c r="G26" s="350"/>
    </row>
    <row r="27" spans="1:7" ht="24" customHeight="1" x14ac:dyDescent="0.25">
      <c r="A27" s="602" t="s">
        <v>327</v>
      </c>
      <c r="B27" s="602"/>
      <c r="C27" s="602"/>
      <c r="D27" s="602"/>
      <c r="E27" s="602"/>
      <c r="F27" s="602"/>
      <c r="G27" s="602"/>
    </row>
    <row r="28" spans="1:7" ht="24" customHeight="1" x14ac:dyDescent="0.3">
      <c r="A28" s="351"/>
      <c r="B28" s="603" t="s">
        <v>317</v>
      </c>
      <c r="C28" s="603"/>
      <c r="D28" s="603"/>
      <c r="E28" s="603" t="s">
        <v>318</v>
      </c>
      <c r="F28" s="603"/>
      <c r="G28" s="603"/>
    </row>
    <row r="29" spans="1:7" ht="24" customHeight="1" x14ac:dyDescent="0.25">
      <c r="A29" s="352" t="s">
        <v>319</v>
      </c>
      <c r="B29" s="353" t="s">
        <v>320</v>
      </c>
      <c r="C29" s="353" t="s">
        <v>321</v>
      </c>
      <c r="D29" s="353" t="s">
        <v>322</v>
      </c>
      <c r="E29" s="353" t="s">
        <v>323</v>
      </c>
      <c r="F29" s="353" t="s">
        <v>324</v>
      </c>
      <c r="G29" s="353" t="s">
        <v>325</v>
      </c>
    </row>
    <row r="30" spans="1:7" x14ac:dyDescent="0.25">
      <c r="A30" s="352">
        <v>1</v>
      </c>
      <c r="B30" s="353">
        <v>36.299999999999997</v>
      </c>
      <c r="C30" s="353">
        <v>63.2</v>
      </c>
      <c r="D30" s="353">
        <v>98.5</v>
      </c>
      <c r="E30" s="354">
        <v>57.6</v>
      </c>
      <c r="F30" s="354">
        <v>79.599999999999994</v>
      </c>
      <c r="G30" s="354">
        <v>97.4</v>
      </c>
    </row>
    <row r="31" spans="1:7" x14ac:dyDescent="0.25">
      <c r="A31" s="352">
        <v>2</v>
      </c>
      <c r="B31" s="353">
        <v>31</v>
      </c>
      <c r="C31" s="353">
        <v>51.9</v>
      </c>
      <c r="D31" s="353">
        <v>99.7</v>
      </c>
      <c r="E31" s="354">
        <v>56.5</v>
      </c>
      <c r="F31" s="354">
        <v>89.3</v>
      </c>
      <c r="G31" s="354">
        <v>110.7</v>
      </c>
    </row>
    <row r="32" spans="1:7" x14ac:dyDescent="0.25">
      <c r="A32" s="352">
        <v>3</v>
      </c>
      <c r="B32" s="353">
        <v>23.1</v>
      </c>
      <c r="C32" s="353">
        <v>55.7</v>
      </c>
      <c r="D32" s="353">
        <v>84.4</v>
      </c>
      <c r="E32" s="354">
        <v>63.6</v>
      </c>
      <c r="F32" s="354">
        <v>85.9</v>
      </c>
      <c r="G32" s="354">
        <v>118.7</v>
      </c>
    </row>
    <row r="33" spans="1:7" x14ac:dyDescent="0.25">
      <c r="A33" s="352">
        <v>4</v>
      </c>
      <c r="B33" s="353">
        <v>46.2</v>
      </c>
      <c r="C33" s="353">
        <v>58.2</v>
      </c>
      <c r="D33" s="353">
        <v>71.099999999999994</v>
      </c>
      <c r="E33" s="354">
        <v>47</v>
      </c>
      <c r="F33" s="354">
        <v>93.4</v>
      </c>
      <c r="G33" s="354">
        <v>98.4</v>
      </c>
    </row>
    <row r="34" spans="1:7" x14ac:dyDescent="0.25">
      <c r="A34" s="352">
        <v>5</v>
      </c>
      <c r="B34" s="353">
        <v>43.8</v>
      </c>
      <c r="C34" s="353">
        <v>61.2</v>
      </c>
      <c r="D34" s="353">
        <v>107.9</v>
      </c>
      <c r="E34" s="353"/>
      <c r="F34" s="353"/>
      <c r="G34" s="353"/>
    </row>
    <row r="35" spans="1:7" x14ac:dyDescent="0.25">
      <c r="A35" s="352">
        <v>6</v>
      </c>
      <c r="B35" s="353">
        <v>45.3</v>
      </c>
      <c r="C35" s="353">
        <v>65</v>
      </c>
      <c r="D35" s="353">
        <v>103.8</v>
      </c>
      <c r="E35" s="353"/>
      <c r="F35" s="353"/>
      <c r="G35" s="353"/>
    </row>
    <row r="36" spans="1:7" x14ac:dyDescent="0.25">
      <c r="A36" s="604" t="s">
        <v>328</v>
      </c>
      <c r="B36" s="604"/>
      <c r="C36" s="604"/>
      <c r="D36" s="604"/>
      <c r="E36" s="604"/>
      <c r="F36" s="604"/>
      <c r="G36" s="604"/>
    </row>
    <row r="37" spans="1:7" ht="14.5" x14ac:dyDescent="0.3">
      <c r="A37" s="355"/>
      <c r="B37" s="605" t="s">
        <v>317</v>
      </c>
      <c r="C37" s="605"/>
      <c r="D37" s="605"/>
      <c r="E37" s="605" t="s">
        <v>318</v>
      </c>
      <c r="F37" s="605"/>
      <c r="G37" s="605"/>
    </row>
    <row r="38" spans="1:7" x14ac:dyDescent="0.25">
      <c r="A38" s="356" t="s">
        <v>319</v>
      </c>
      <c r="B38" s="357" t="s">
        <v>320</v>
      </c>
      <c r="C38" s="357" t="s">
        <v>321</v>
      </c>
      <c r="D38" s="357" t="s">
        <v>322</v>
      </c>
      <c r="E38" s="357" t="s">
        <v>323</v>
      </c>
      <c r="F38" s="357" t="s">
        <v>324</v>
      </c>
      <c r="G38" s="357" t="s">
        <v>325</v>
      </c>
    </row>
    <row r="39" spans="1:7" x14ac:dyDescent="0.25">
      <c r="A39" s="356">
        <v>1</v>
      </c>
      <c r="B39" s="357">
        <v>37.9</v>
      </c>
      <c r="C39" s="357">
        <v>64.7</v>
      </c>
      <c r="D39" s="357">
        <v>84.3</v>
      </c>
      <c r="E39" s="358">
        <v>37.4</v>
      </c>
      <c r="F39" s="358">
        <v>72.2</v>
      </c>
      <c r="G39" s="358">
        <v>118.2</v>
      </c>
    </row>
    <row r="40" spans="1:7" x14ac:dyDescent="0.25">
      <c r="A40" s="356">
        <v>2</v>
      </c>
      <c r="B40" s="357">
        <v>32.5</v>
      </c>
      <c r="C40" s="357">
        <v>59.2</v>
      </c>
      <c r="D40" s="357">
        <v>73.099999999999994</v>
      </c>
      <c r="E40" s="358">
        <v>62.3</v>
      </c>
      <c r="F40" s="358">
        <v>94.3</v>
      </c>
      <c r="G40" s="358">
        <v>95.8</v>
      </c>
    </row>
    <row r="41" spans="1:7" x14ac:dyDescent="0.25">
      <c r="A41" s="356">
        <v>3</v>
      </c>
      <c r="B41" s="357">
        <v>23.4</v>
      </c>
      <c r="C41" s="357">
        <v>59.4</v>
      </c>
      <c r="D41" s="357">
        <v>87</v>
      </c>
      <c r="E41" s="357"/>
      <c r="F41" s="358">
        <v>87</v>
      </c>
      <c r="G41" s="358">
        <v>114</v>
      </c>
    </row>
    <row r="42" spans="1:7" x14ac:dyDescent="0.25">
      <c r="A42" s="356">
        <v>4</v>
      </c>
      <c r="B42" s="357">
        <v>32</v>
      </c>
      <c r="C42" s="357">
        <v>60.8</v>
      </c>
      <c r="D42" s="357">
        <v>78.099999999999994</v>
      </c>
      <c r="E42" s="357"/>
      <c r="F42" s="357"/>
      <c r="G42" s="358"/>
    </row>
    <row r="43" spans="1:7" x14ac:dyDescent="0.25">
      <c r="A43" s="606" t="s">
        <v>329</v>
      </c>
      <c r="B43" s="607"/>
      <c r="C43" s="607"/>
      <c r="D43" s="607"/>
      <c r="E43" s="607"/>
      <c r="F43" s="607"/>
      <c r="G43" s="608"/>
    </row>
    <row r="44" spans="1:7" ht="14.5" x14ac:dyDescent="0.3">
      <c r="A44" s="359"/>
      <c r="B44" s="609" t="s">
        <v>317</v>
      </c>
      <c r="C44" s="609"/>
      <c r="D44" s="609"/>
      <c r="E44" s="609" t="s">
        <v>318</v>
      </c>
      <c r="F44" s="609"/>
      <c r="G44" s="609"/>
    </row>
    <row r="45" spans="1:7" x14ac:dyDescent="0.25">
      <c r="A45" s="360" t="s">
        <v>319</v>
      </c>
      <c r="B45" s="361" t="s">
        <v>320</v>
      </c>
      <c r="C45" s="361" t="s">
        <v>321</v>
      </c>
      <c r="D45" s="361" t="s">
        <v>322</v>
      </c>
      <c r="E45" s="361" t="s">
        <v>323</v>
      </c>
      <c r="F45" s="361" t="s">
        <v>324</v>
      </c>
      <c r="G45" s="361" t="s">
        <v>325</v>
      </c>
    </row>
    <row r="46" spans="1:7" ht="14.5" x14ac:dyDescent="0.3">
      <c r="A46" s="360">
        <v>1</v>
      </c>
      <c r="B46" s="362">
        <v>33.9</v>
      </c>
      <c r="C46" s="362">
        <v>65.900000000000006</v>
      </c>
      <c r="D46" s="362">
        <v>96</v>
      </c>
      <c r="E46" s="363">
        <v>40.299999999999997</v>
      </c>
      <c r="F46" s="363">
        <v>71</v>
      </c>
      <c r="G46" s="363">
        <v>107</v>
      </c>
    </row>
    <row r="47" spans="1:7" ht="14.5" x14ac:dyDescent="0.3">
      <c r="A47" s="360">
        <v>2</v>
      </c>
      <c r="B47" s="362">
        <v>40.1</v>
      </c>
      <c r="C47" s="362">
        <v>66</v>
      </c>
      <c r="D47" s="362">
        <v>88.8</v>
      </c>
      <c r="E47" s="363">
        <v>55.4</v>
      </c>
      <c r="F47" s="363">
        <v>91.7</v>
      </c>
      <c r="G47" s="363">
        <v>95.4</v>
      </c>
    </row>
    <row r="48" spans="1:7" ht="14.5" x14ac:dyDescent="0.3">
      <c r="A48" s="360">
        <v>3</v>
      </c>
      <c r="B48" s="362">
        <v>48.3</v>
      </c>
      <c r="C48" s="362">
        <v>66.5</v>
      </c>
      <c r="D48" s="362">
        <v>76.099999999999994</v>
      </c>
      <c r="E48" s="363">
        <v>53.4</v>
      </c>
      <c r="F48" s="363">
        <v>86</v>
      </c>
      <c r="G48" s="363">
        <v>110.9</v>
      </c>
    </row>
    <row r="49" spans="1:7" ht="14.5" x14ac:dyDescent="0.3">
      <c r="A49" s="360">
        <v>4</v>
      </c>
      <c r="B49" s="362">
        <v>28.2</v>
      </c>
      <c r="C49" s="362">
        <v>50.8</v>
      </c>
      <c r="D49" s="362">
        <v>89.2</v>
      </c>
      <c r="E49" s="363">
        <v>36</v>
      </c>
      <c r="F49" s="363">
        <v>78.099999999999994</v>
      </c>
      <c r="G49" s="363">
        <v>112.6</v>
      </c>
    </row>
    <row r="50" spans="1:7" ht="14.5" x14ac:dyDescent="0.3">
      <c r="A50" s="360">
        <v>5</v>
      </c>
      <c r="B50" s="362">
        <v>29.6</v>
      </c>
      <c r="C50" s="362">
        <v>58.2</v>
      </c>
      <c r="D50" s="362">
        <v>85.2</v>
      </c>
      <c r="E50" s="363">
        <v>61</v>
      </c>
      <c r="F50" s="363">
        <v>74.2</v>
      </c>
      <c r="G50" s="363">
        <v>111.2</v>
      </c>
    </row>
    <row r="51" spans="1:7" ht="14.5" x14ac:dyDescent="0.3">
      <c r="A51" s="360">
        <v>6</v>
      </c>
      <c r="B51" s="362">
        <v>20.6</v>
      </c>
      <c r="C51" s="362">
        <v>67.8</v>
      </c>
      <c r="D51" s="362">
        <v>87.2</v>
      </c>
      <c r="E51" s="363">
        <v>60.5</v>
      </c>
      <c r="F51" s="363">
        <v>89.1</v>
      </c>
      <c r="G51" s="363">
        <v>106.5</v>
      </c>
    </row>
    <row r="52" spans="1:7" ht="14.5" x14ac:dyDescent="0.3">
      <c r="A52" s="360">
        <v>7</v>
      </c>
      <c r="B52" s="362">
        <v>23.6</v>
      </c>
      <c r="C52" s="362">
        <v>63.3</v>
      </c>
      <c r="D52" s="362">
        <v>73.400000000000006</v>
      </c>
      <c r="E52" s="363">
        <v>39</v>
      </c>
      <c r="F52" s="363">
        <v>91.6</v>
      </c>
      <c r="G52" s="363">
        <v>109.8</v>
      </c>
    </row>
    <row r="53" spans="1:7" ht="14.5" x14ac:dyDescent="0.3">
      <c r="A53" s="360">
        <v>8</v>
      </c>
      <c r="B53" s="362">
        <v>37.4</v>
      </c>
      <c r="C53" s="362">
        <v>55.2</v>
      </c>
      <c r="D53" s="362">
        <v>83.9</v>
      </c>
      <c r="E53" s="363">
        <v>30.1</v>
      </c>
      <c r="F53" s="363">
        <v>85.3</v>
      </c>
      <c r="G53" s="363">
        <v>97.9</v>
      </c>
    </row>
    <row r="54" spans="1:7" ht="14.5" x14ac:dyDescent="0.3">
      <c r="A54" s="360">
        <v>9</v>
      </c>
      <c r="B54" s="362">
        <v>49.7</v>
      </c>
      <c r="C54" s="362">
        <v>51.5</v>
      </c>
      <c r="D54" s="362">
        <v>90.8</v>
      </c>
      <c r="E54" s="362"/>
      <c r="F54" s="362"/>
      <c r="G54" s="362"/>
    </row>
    <row r="55" spans="1:7" ht="14.5" x14ac:dyDescent="0.3">
      <c r="A55" s="360">
        <v>10</v>
      </c>
      <c r="B55" s="362">
        <v>47.6</v>
      </c>
      <c r="C55" s="362">
        <v>69.2</v>
      </c>
      <c r="D55" s="362">
        <v>91.7</v>
      </c>
      <c r="E55" s="364"/>
      <c r="F55" s="364"/>
      <c r="G55" s="364"/>
    </row>
    <row r="56" spans="1:7" ht="14.5" x14ac:dyDescent="0.3">
      <c r="A56" s="360">
        <v>11</v>
      </c>
      <c r="B56" s="362">
        <v>32.9</v>
      </c>
      <c r="C56" s="362">
        <v>56.5</v>
      </c>
      <c r="D56" s="362">
        <v>104</v>
      </c>
      <c r="E56" s="364"/>
      <c r="F56" s="364"/>
      <c r="G56" s="364"/>
    </row>
    <row r="57" spans="1:7" ht="14.5" x14ac:dyDescent="0.3">
      <c r="A57" s="360">
        <v>12</v>
      </c>
      <c r="B57" s="362">
        <v>40.299999999999997</v>
      </c>
      <c r="C57" s="362">
        <v>58.4</v>
      </c>
      <c r="D57" s="362">
        <v>75.5</v>
      </c>
      <c r="E57" s="364"/>
      <c r="F57" s="364"/>
      <c r="G57" s="364"/>
    </row>
    <row r="58" spans="1:7" ht="14.5" x14ac:dyDescent="0.3">
      <c r="A58" s="360">
        <v>13</v>
      </c>
      <c r="B58" s="362">
        <v>25.1</v>
      </c>
      <c r="C58" s="362">
        <v>63.9</v>
      </c>
      <c r="D58" s="362">
        <v>102.8</v>
      </c>
      <c r="E58" s="364"/>
      <c r="F58" s="364"/>
      <c r="G58" s="364"/>
    </row>
    <row r="59" spans="1:7" x14ac:dyDescent="0.25">
      <c r="A59" s="610" t="s">
        <v>330</v>
      </c>
      <c r="B59" s="610"/>
      <c r="C59" s="610"/>
      <c r="D59" s="610"/>
      <c r="E59" s="610"/>
      <c r="F59" s="610"/>
      <c r="G59" s="610"/>
    </row>
    <row r="60" spans="1:7" ht="14.5" x14ac:dyDescent="0.3">
      <c r="A60" s="365"/>
      <c r="B60" s="611" t="s">
        <v>317</v>
      </c>
      <c r="C60" s="611"/>
      <c r="D60" s="611"/>
      <c r="E60" s="611" t="s">
        <v>318</v>
      </c>
      <c r="F60" s="611"/>
      <c r="G60" s="611"/>
    </row>
    <row r="61" spans="1:7" x14ac:dyDescent="0.25">
      <c r="A61" s="366" t="s">
        <v>319</v>
      </c>
      <c r="B61" s="367" t="s">
        <v>320</v>
      </c>
      <c r="C61" s="367" t="s">
        <v>321</v>
      </c>
      <c r="D61" s="367" t="s">
        <v>322</v>
      </c>
      <c r="E61" s="367" t="s">
        <v>323</v>
      </c>
      <c r="F61" s="367" t="s">
        <v>324</v>
      </c>
      <c r="G61" s="367" t="s">
        <v>325</v>
      </c>
    </row>
    <row r="62" spans="1:7" ht="14.5" x14ac:dyDescent="0.3">
      <c r="A62" s="366">
        <v>1</v>
      </c>
      <c r="B62" s="368">
        <v>30.1</v>
      </c>
      <c r="C62" s="368">
        <v>65.8</v>
      </c>
      <c r="D62" s="368">
        <v>79.599999999999994</v>
      </c>
      <c r="E62" s="369">
        <v>42.5</v>
      </c>
      <c r="F62" s="369">
        <v>93</v>
      </c>
      <c r="G62" s="369">
        <v>117.2</v>
      </c>
    </row>
    <row r="63" spans="1:7" ht="14.5" x14ac:dyDescent="0.3">
      <c r="A63" s="366">
        <v>2</v>
      </c>
      <c r="B63" s="368">
        <v>46.3</v>
      </c>
      <c r="C63" s="368">
        <v>52.1</v>
      </c>
      <c r="D63" s="368">
        <v>91.1</v>
      </c>
      <c r="E63" s="369">
        <v>64.599999999999994</v>
      </c>
      <c r="F63" s="369">
        <v>65.400000000000006</v>
      </c>
      <c r="G63" s="369">
        <v>111.1</v>
      </c>
    </row>
    <row r="64" spans="1:7" ht="14.5" x14ac:dyDescent="0.3">
      <c r="A64" s="366">
        <v>3</v>
      </c>
      <c r="B64" s="368">
        <v>25.7</v>
      </c>
      <c r="C64" s="368">
        <v>59.3</v>
      </c>
      <c r="D64" s="368">
        <v>95.2</v>
      </c>
      <c r="E64" s="369">
        <v>44.2</v>
      </c>
      <c r="F64" s="369">
        <v>91.1</v>
      </c>
      <c r="G64" s="369">
        <v>111.4</v>
      </c>
    </row>
    <row r="65" spans="1:7" ht="14.5" x14ac:dyDescent="0.3">
      <c r="A65" s="366">
        <v>4</v>
      </c>
      <c r="B65" s="368">
        <v>28.4</v>
      </c>
      <c r="C65" s="368">
        <v>60</v>
      </c>
      <c r="D65" s="368">
        <v>84.1</v>
      </c>
      <c r="E65" s="369">
        <v>46.8</v>
      </c>
      <c r="F65" s="369">
        <v>88.3</v>
      </c>
      <c r="G65" s="369">
        <v>105.9</v>
      </c>
    </row>
    <row r="66" spans="1:7" ht="14.5" x14ac:dyDescent="0.3">
      <c r="A66" s="366">
        <v>5</v>
      </c>
      <c r="B66" s="368">
        <v>40.1</v>
      </c>
      <c r="C66" s="368">
        <v>52.3</v>
      </c>
      <c r="D66" s="368">
        <v>84.5</v>
      </c>
      <c r="E66" s="369">
        <v>55.6</v>
      </c>
      <c r="F66" s="369">
        <v>87.2</v>
      </c>
      <c r="G66" s="369">
        <v>113.2</v>
      </c>
    </row>
    <row r="67" spans="1:7" ht="14.5" x14ac:dyDescent="0.3">
      <c r="A67" s="366">
        <v>6</v>
      </c>
      <c r="B67" s="368">
        <v>32.799999999999997</v>
      </c>
      <c r="C67" s="368">
        <v>61.7</v>
      </c>
      <c r="D67" s="368">
        <v>91.3</v>
      </c>
      <c r="E67" s="369">
        <v>42.2</v>
      </c>
      <c r="F67" s="369">
        <v>86.4</v>
      </c>
      <c r="G67" s="369">
        <v>114.8</v>
      </c>
    </row>
    <row r="68" spans="1:7" ht="14.5" x14ac:dyDescent="0.3">
      <c r="A68" s="366">
        <v>7</v>
      </c>
      <c r="B68" s="368">
        <v>18.2</v>
      </c>
      <c r="C68" s="368">
        <v>61.6</v>
      </c>
      <c r="D68" s="368">
        <v>78.3</v>
      </c>
      <c r="E68" s="369">
        <v>38.5</v>
      </c>
      <c r="F68" s="369">
        <v>84.6</v>
      </c>
      <c r="G68" s="369">
        <v>107.9</v>
      </c>
    </row>
    <row r="69" spans="1:7" ht="14.5" x14ac:dyDescent="0.3">
      <c r="A69" s="366">
        <v>8</v>
      </c>
      <c r="B69" s="368">
        <v>32.4</v>
      </c>
      <c r="C69" s="368">
        <v>51.7</v>
      </c>
      <c r="D69" s="368">
        <v>90</v>
      </c>
      <c r="E69" s="369">
        <v>46.2</v>
      </c>
      <c r="F69" s="369">
        <v>82.5</v>
      </c>
      <c r="G69" s="369">
        <v>116.2</v>
      </c>
    </row>
    <row r="70" spans="1:7" ht="14.5" x14ac:dyDescent="0.3">
      <c r="A70" s="366">
        <v>9</v>
      </c>
      <c r="B70" s="368">
        <v>41.1</v>
      </c>
      <c r="C70" s="368">
        <v>62.4</v>
      </c>
      <c r="D70" s="368">
        <v>80.2</v>
      </c>
      <c r="E70" s="369">
        <v>44.7</v>
      </c>
      <c r="F70" s="369">
        <v>81.2</v>
      </c>
      <c r="G70" s="369">
        <v>105.6</v>
      </c>
    </row>
    <row r="71" spans="1:7" ht="14.5" x14ac:dyDescent="0.3">
      <c r="A71" s="366">
        <v>10</v>
      </c>
      <c r="B71" s="368">
        <v>47.4</v>
      </c>
      <c r="C71" s="368">
        <v>61.5</v>
      </c>
      <c r="D71" s="368">
        <v>72.3</v>
      </c>
      <c r="E71" s="369">
        <v>62.5</v>
      </c>
      <c r="F71" s="369">
        <v>72.599999999999994</v>
      </c>
      <c r="G71" s="369">
        <v>104.9</v>
      </c>
    </row>
    <row r="72" spans="1:7" ht="14.5" x14ac:dyDescent="0.3">
      <c r="A72" s="366">
        <v>11</v>
      </c>
      <c r="B72" s="368">
        <v>38.299999999999997</v>
      </c>
      <c r="C72" s="368">
        <v>64.5</v>
      </c>
      <c r="D72" s="368">
        <v>110</v>
      </c>
      <c r="E72" s="367"/>
      <c r="F72" s="367"/>
      <c r="G72" s="367"/>
    </row>
    <row r="73" spans="1:7" ht="14.5" x14ac:dyDescent="0.3">
      <c r="A73" s="366">
        <v>12</v>
      </c>
      <c r="B73" s="368">
        <v>47.1</v>
      </c>
      <c r="C73" s="368">
        <v>67.7</v>
      </c>
      <c r="D73" s="368">
        <v>91</v>
      </c>
      <c r="E73" s="367"/>
      <c r="F73" s="367"/>
      <c r="G73" s="367"/>
    </row>
    <row r="74" spans="1:7" ht="14.5" x14ac:dyDescent="0.3">
      <c r="A74" s="366">
        <v>13</v>
      </c>
      <c r="B74" s="368">
        <v>38.299999999999997</v>
      </c>
      <c r="C74" s="368">
        <v>55.1</v>
      </c>
      <c r="D74" s="368">
        <v>77.400000000000006</v>
      </c>
      <c r="E74" s="367"/>
      <c r="F74" s="367"/>
      <c r="G74" s="367"/>
    </row>
    <row r="75" spans="1:7" ht="14.5" x14ac:dyDescent="0.3">
      <c r="A75" s="366">
        <v>14</v>
      </c>
      <c r="B75" s="368">
        <v>32.799999999999997</v>
      </c>
      <c r="C75" s="368">
        <v>60.7</v>
      </c>
      <c r="D75" s="368">
        <v>78.8</v>
      </c>
      <c r="E75" s="367"/>
      <c r="F75" s="367"/>
      <c r="G75" s="367"/>
    </row>
    <row r="76" spans="1:7" ht="14.5" x14ac:dyDescent="0.3">
      <c r="A76" s="366">
        <v>15</v>
      </c>
      <c r="B76" s="368">
        <v>38.6</v>
      </c>
      <c r="C76" s="368">
        <v>50.1</v>
      </c>
      <c r="D76" s="368">
        <v>88.8</v>
      </c>
      <c r="E76" s="367"/>
      <c r="F76" s="367"/>
      <c r="G76" s="367"/>
    </row>
    <row r="77" spans="1:7" x14ac:dyDescent="0.25">
      <c r="A77" s="612" t="s">
        <v>331</v>
      </c>
      <c r="B77" s="612"/>
      <c r="C77" s="612"/>
      <c r="D77" s="612"/>
      <c r="E77" s="612"/>
      <c r="F77" s="612"/>
      <c r="G77" s="612"/>
    </row>
    <row r="78" spans="1:7" ht="14.5" x14ac:dyDescent="0.3">
      <c r="A78" s="370"/>
      <c r="B78" s="613" t="s">
        <v>317</v>
      </c>
      <c r="C78" s="613"/>
      <c r="D78" s="613"/>
      <c r="E78" s="613" t="s">
        <v>318</v>
      </c>
      <c r="F78" s="613"/>
      <c r="G78" s="613"/>
    </row>
    <row r="79" spans="1:7" x14ac:dyDescent="0.25">
      <c r="A79" s="371" t="s">
        <v>319</v>
      </c>
      <c r="B79" s="372" t="s">
        <v>320</v>
      </c>
      <c r="C79" s="372" t="s">
        <v>321</v>
      </c>
      <c r="D79" s="372" t="s">
        <v>322</v>
      </c>
      <c r="E79" s="372" t="s">
        <v>323</v>
      </c>
      <c r="F79" s="372" t="s">
        <v>324</v>
      </c>
      <c r="G79" s="372" t="s">
        <v>325</v>
      </c>
    </row>
    <row r="80" spans="1:7" ht="14.5" x14ac:dyDescent="0.3">
      <c r="A80" s="371">
        <v>1</v>
      </c>
      <c r="B80" s="373">
        <v>21.8</v>
      </c>
      <c r="C80" s="373">
        <v>52.3</v>
      </c>
      <c r="D80" s="373">
        <v>102.8</v>
      </c>
      <c r="E80" s="374">
        <v>56</v>
      </c>
      <c r="F80" s="374">
        <v>91.1</v>
      </c>
      <c r="G80" s="374">
        <v>119.9</v>
      </c>
    </row>
    <row r="81" spans="1:7" ht="14.5" x14ac:dyDescent="0.3">
      <c r="A81" s="371">
        <v>2</v>
      </c>
      <c r="B81" s="373">
        <v>49.1</v>
      </c>
      <c r="C81" s="373">
        <v>57</v>
      </c>
      <c r="D81" s="373">
        <v>73</v>
      </c>
      <c r="E81" s="374">
        <v>34.9</v>
      </c>
      <c r="F81" s="374">
        <v>68.2</v>
      </c>
      <c r="G81" s="374">
        <v>108</v>
      </c>
    </row>
    <row r="82" spans="1:7" ht="14.5" x14ac:dyDescent="0.3">
      <c r="A82" s="371">
        <v>3</v>
      </c>
      <c r="B82" s="373">
        <v>25.4</v>
      </c>
      <c r="C82" s="373">
        <v>59.6</v>
      </c>
      <c r="D82" s="373">
        <v>100</v>
      </c>
      <c r="E82" s="374">
        <v>41.1</v>
      </c>
      <c r="F82" s="374">
        <v>82.4</v>
      </c>
      <c r="G82" s="374">
        <v>100.9</v>
      </c>
    </row>
    <row r="83" spans="1:7" ht="14.5" x14ac:dyDescent="0.3">
      <c r="A83" s="371">
        <v>4</v>
      </c>
      <c r="B83" s="373">
        <v>45.7</v>
      </c>
      <c r="C83" s="373">
        <v>60.4</v>
      </c>
      <c r="D83" s="373">
        <v>82.8</v>
      </c>
      <c r="E83" s="374">
        <v>43.2</v>
      </c>
      <c r="F83" s="374">
        <v>68.7</v>
      </c>
      <c r="G83" s="374">
        <v>105.9</v>
      </c>
    </row>
    <row r="84" spans="1:7" ht="14.5" x14ac:dyDescent="0.3">
      <c r="A84" s="371">
        <v>5</v>
      </c>
      <c r="B84" s="373">
        <v>22.8</v>
      </c>
      <c r="C84" s="373">
        <v>52.2</v>
      </c>
      <c r="D84" s="373">
        <v>104.6</v>
      </c>
      <c r="E84" s="374">
        <v>49.5</v>
      </c>
      <c r="F84" s="374">
        <v>67.3</v>
      </c>
      <c r="G84" s="374">
        <v>115.1</v>
      </c>
    </row>
    <row r="85" spans="1:7" ht="14.5" x14ac:dyDescent="0.3">
      <c r="A85" s="371">
        <v>6</v>
      </c>
      <c r="B85" s="373">
        <v>47.2</v>
      </c>
      <c r="C85" s="373">
        <v>59.7</v>
      </c>
      <c r="D85" s="373">
        <v>87.6</v>
      </c>
      <c r="E85" s="374">
        <v>63.1</v>
      </c>
      <c r="F85" s="374">
        <v>65.7</v>
      </c>
      <c r="G85" s="374">
        <v>107.9</v>
      </c>
    </row>
    <row r="86" spans="1:7" ht="14.5" x14ac:dyDescent="0.3">
      <c r="A86" s="371">
        <v>7</v>
      </c>
      <c r="B86" s="373">
        <v>37.5</v>
      </c>
      <c r="C86" s="373">
        <v>65.3</v>
      </c>
      <c r="D86" s="373">
        <v>87.7</v>
      </c>
      <c r="E86" s="374">
        <v>59.4</v>
      </c>
      <c r="F86" s="374">
        <v>88.5</v>
      </c>
      <c r="G86" s="374">
        <v>119.2</v>
      </c>
    </row>
    <row r="87" spans="1:7" ht="14.5" x14ac:dyDescent="0.3">
      <c r="A87" s="371">
        <v>8</v>
      </c>
      <c r="B87" s="373">
        <v>42.9</v>
      </c>
      <c r="C87" s="373">
        <v>50.2</v>
      </c>
      <c r="D87" s="373">
        <v>104.6</v>
      </c>
      <c r="E87" s="374">
        <v>49.5</v>
      </c>
      <c r="F87" s="374">
        <v>82.6</v>
      </c>
      <c r="G87" s="374">
        <v>114</v>
      </c>
    </row>
    <row r="88" spans="1:7" ht="14.5" x14ac:dyDescent="0.3">
      <c r="A88" s="371">
        <v>9</v>
      </c>
      <c r="B88" s="373">
        <v>22.5</v>
      </c>
      <c r="C88" s="373">
        <v>50.7</v>
      </c>
      <c r="D88" s="373">
        <v>81.599999999999994</v>
      </c>
      <c r="E88" s="374">
        <v>62.6</v>
      </c>
      <c r="F88" s="374">
        <v>77.400000000000006</v>
      </c>
      <c r="G88" s="374">
        <v>105.6</v>
      </c>
    </row>
    <row r="89" spans="1:7" ht="14.5" x14ac:dyDescent="0.3">
      <c r="A89" s="371">
        <v>10</v>
      </c>
      <c r="B89" s="373">
        <v>24.4</v>
      </c>
      <c r="C89" s="373">
        <v>66.599999999999994</v>
      </c>
      <c r="D89" s="373">
        <v>70.7</v>
      </c>
      <c r="E89" s="374">
        <v>56.1</v>
      </c>
      <c r="F89" s="374">
        <v>70.3</v>
      </c>
      <c r="G89" s="374">
        <v>114.8</v>
      </c>
    </row>
    <row r="90" spans="1:7" ht="14.5" x14ac:dyDescent="0.3">
      <c r="A90" s="371">
        <v>11</v>
      </c>
      <c r="B90" s="373">
        <v>27.2</v>
      </c>
      <c r="C90" s="373">
        <v>63.9</v>
      </c>
      <c r="D90" s="373">
        <v>81.900000000000006</v>
      </c>
      <c r="E90" s="374">
        <v>31.9</v>
      </c>
      <c r="F90" s="374">
        <v>88.7</v>
      </c>
      <c r="G90" s="374">
        <v>106.8</v>
      </c>
    </row>
    <row r="91" spans="1:7" ht="14.5" x14ac:dyDescent="0.3">
      <c r="A91" s="371">
        <v>12</v>
      </c>
      <c r="B91" s="373">
        <v>40.5</v>
      </c>
      <c r="C91" s="373">
        <v>54</v>
      </c>
      <c r="D91" s="373">
        <v>99.3</v>
      </c>
      <c r="E91" s="374">
        <v>34.200000000000003</v>
      </c>
      <c r="F91" s="374">
        <v>75.8</v>
      </c>
      <c r="G91" s="374">
        <v>98.1</v>
      </c>
    </row>
    <row r="92" spans="1:7" ht="14.5" x14ac:dyDescent="0.3">
      <c r="A92" s="371">
        <v>13</v>
      </c>
      <c r="B92" s="373">
        <v>44.6</v>
      </c>
      <c r="C92" s="373">
        <v>57.3</v>
      </c>
      <c r="D92" s="373">
        <v>85</v>
      </c>
      <c r="E92" s="375"/>
      <c r="F92" s="375"/>
      <c r="G92" s="375"/>
    </row>
    <row r="93" spans="1:7" ht="14.5" x14ac:dyDescent="0.3">
      <c r="A93" s="371">
        <v>14</v>
      </c>
      <c r="B93" s="373">
        <v>25.1</v>
      </c>
      <c r="C93" s="373">
        <v>61.9</v>
      </c>
      <c r="D93" s="373">
        <v>84.7</v>
      </c>
      <c r="E93" s="375"/>
      <c r="F93" s="375"/>
      <c r="G93" s="375"/>
    </row>
    <row r="94" spans="1:7" ht="14.5" x14ac:dyDescent="0.3">
      <c r="A94" s="371">
        <v>15</v>
      </c>
      <c r="B94" s="373">
        <v>37.200000000000003</v>
      </c>
      <c r="C94" s="373">
        <v>64</v>
      </c>
      <c r="D94" s="373">
        <v>92.4</v>
      </c>
      <c r="E94" s="375"/>
      <c r="F94" s="375"/>
      <c r="G94" s="375"/>
    </row>
    <row r="95" spans="1:7" ht="14.5" x14ac:dyDescent="0.3">
      <c r="A95" s="371">
        <v>16</v>
      </c>
      <c r="B95" s="373">
        <v>18.8</v>
      </c>
      <c r="C95" s="373">
        <v>56.1</v>
      </c>
      <c r="D95" s="373">
        <v>88.7</v>
      </c>
      <c r="E95" s="375"/>
      <c r="F95" s="375"/>
      <c r="G95" s="375"/>
    </row>
    <row r="96" spans="1:7" ht="14.5" x14ac:dyDescent="0.3">
      <c r="A96" s="371">
        <v>17</v>
      </c>
      <c r="B96" s="373">
        <v>25.7</v>
      </c>
      <c r="C96" s="373">
        <v>68.3</v>
      </c>
      <c r="D96" s="373">
        <v>106</v>
      </c>
      <c r="E96" s="375"/>
      <c r="F96" s="375"/>
      <c r="G96" s="375"/>
    </row>
    <row r="97" spans="1:7" ht="14.5" x14ac:dyDescent="0.3">
      <c r="A97" s="371">
        <v>18</v>
      </c>
      <c r="B97" s="373">
        <v>27.7</v>
      </c>
      <c r="C97" s="373">
        <v>63</v>
      </c>
      <c r="D97" s="373">
        <v>97.1</v>
      </c>
      <c r="E97" s="376"/>
      <c r="F97" s="376"/>
      <c r="G97" s="376"/>
    </row>
    <row r="98" spans="1:7" ht="14.5" x14ac:dyDescent="0.3">
      <c r="A98" s="371">
        <v>19</v>
      </c>
      <c r="B98" s="373">
        <v>47.9</v>
      </c>
      <c r="C98" s="373">
        <v>56.2</v>
      </c>
      <c r="D98" s="373">
        <v>100.7</v>
      </c>
      <c r="E98" s="376"/>
      <c r="F98" s="376"/>
      <c r="G98" s="376"/>
    </row>
    <row r="99" spans="1:7" ht="14.5" x14ac:dyDescent="0.3">
      <c r="A99" s="371">
        <v>20</v>
      </c>
      <c r="B99" s="373">
        <v>18.3</v>
      </c>
      <c r="C99" s="373">
        <v>65.099999999999994</v>
      </c>
      <c r="D99" s="373">
        <v>73.099999999999994</v>
      </c>
      <c r="E99" s="376"/>
      <c r="F99" s="376"/>
      <c r="G99" s="376"/>
    </row>
    <row r="100" spans="1:7" x14ac:dyDescent="0.25">
      <c r="A100" s="610" t="s">
        <v>332</v>
      </c>
      <c r="B100" s="610"/>
      <c r="C100" s="610"/>
      <c r="D100" s="610"/>
      <c r="E100" s="610"/>
      <c r="F100" s="610"/>
      <c r="G100" s="610"/>
    </row>
    <row r="101" spans="1:7" ht="14.5" x14ac:dyDescent="0.3">
      <c r="A101" s="365"/>
      <c r="B101" s="611" t="s">
        <v>317</v>
      </c>
      <c r="C101" s="611"/>
      <c r="D101" s="611"/>
      <c r="E101" s="611" t="s">
        <v>318</v>
      </c>
      <c r="F101" s="611"/>
      <c r="G101" s="611"/>
    </row>
    <row r="102" spans="1:7" x14ac:dyDescent="0.25">
      <c r="A102" s="366" t="s">
        <v>319</v>
      </c>
      <c r="B102" s="367" t="s">
        <v>320</v>
      </c>
      <c r="C102" s="367" t="s">
        <v>321</v>
      </c>
      <c r="D102" s="367" t="s">
        <v>322</v>
      </c>
      <c r="E102" s="367" t="s">
        <v>323</v>
      </c>
      <c r="F102" s="367" t="s">
        <v>324</v>
      </c>
      <c r="G102" s="367" t="s">
        <v>325</v>
      </c>
    </row>
    <row r="103" spans="1:7" x14ac:dyDescent="0.25">
      <c r="A103" s="366">
        <v>1</v>
      </c>
      <c r="B103" s="367">
        <v>40.799999999999997</v>
      </c>
      <c r="C103" s="367">
        <v>58.1</v>
      </c>
      <c r="D103" s="367">
        <v>94.4</v>
      </c>
      <c r="E103" s="369">
        <v>64.8</v>
      </c>
      <c r="F103" s="369">
        <v>94</v>
      </c>
      <c r="G103" s="369">
        <v>96.3</v>
      </c>
    </row>
    <row r="104" spans="1:7" x14ac:dyDescent="0.25">
      <c r="A104" s="366">
        <v>2</v>
      </c>
      <c r="B104" s="367">
        <v>49.6</v>
      </c>
      <c r="C104" s="367">
        <v>52.4</v>
      </c>
      <c r="D104" s="367">
        <v>80.7</v>
      </c>
      <c r="E104" s="369">
        <v>55.7</v>
      </c>
      <c r="F104" s="369">
        <v>70.099999999999994</v>
      </c>
      <c r="G104" s="369">
        <v>104.1</v>
      </c>
    </row>
    <row r="105" spans="1:7" x14ac:dyDescent="0.25">
      <c r="A105" s="366">
        <v>3</v>
      </c>
      <c r="B105" s="367">
        <v>43.3</v>
      </c>
      <c r="C105" s="367">
        <v>61.2</v>
      </c>
      <c r="D105" s="367">
        <v>97.9</v>
      </c>
      <c r="E105" s="369">
        <v>38.5</v>
      </c>
      <c r="F105" s="369">
        <v>94.3</v>
      </c>
      <c r="G105" s="369">
        <v>101.2</v>
      </c>
    </row>
    <row r="106" spans="1:7" x14ac:dyDescent="0.25">
      <c r="A106" s="366">
        <v>4</v>
      </c>
      <c r="B106" s="367">
        <v>28.4</v>
      </c>
      <c r="C106" s="367">
        <v>53.5</v>
      </c>
      <c r="D106" s="367">
        <v>73.400000000000006</v>
      </c>
      <c r="E106" s="369">
        <v>59.7</v>
      </c>
      <c r="F106" s="369">
        <v>86.7</v>
      </c>
      <c r="G106" s="369">
        <v>107.9</v>
      </c>
    </row>
    <row r="107" spans="1:7" x14ac:dyDescent="0.25">
      <c r="A107" s="366">
        <v>5</v>
      </c>
      <c r="B107" s="367">
        <v>20</v>
      </c>
      <c r="C107" s="367">
        <v>53.8</v>
      </c>
      <c r="D107" s="367">
        <v>104.7</v>
      </c>
      <c r="E107" s="369">
        <v>56</v>
      </c>
      <c r="F107" s="369">
        <v>90.1</v>
      </c>
      <c r="G107" s="369">
        <v>110.5</v>
      </c>
    </row>
    <row r="108" spans="1:7" x14ac:dyDescent="0.25">
      <c r="A108" s="366">
        <v>6</v>
      </c>
      <c r="B108" s="367">
        <v>18.7</v>
      </c>
      <c r="C108" s="367">
        <v>57.6</v>
      </c>
      <c r="D108" s="367">
        <v>80.099999999999994</v>
      </c>
      <c r="E108" s="369">
        <v>38.299999999999997</v>
      </c>
      <c r="F108" s="369">
        <v>84.2</v>
      </c>
      <c r="G108" s="369">
        <v>108.6</v>
      </c>
    </row>
    <row r="109" spans="1:7" x14ac:dyDescent="0.25">
      <c r="A109" s="366">
        <v>7</v>
      </c>
      <c r="B109" s="367">
        <v>34.9</v>
      </c>
      <c r="C109" s="367">
        <v>66.8</v>
      </c>
      <c r="D109" s="367">
        <v>102.6</v>
      </c>
      <c r="E109" s="367"/>
      <c r="F109" s="367"/>
      <c r="G109" s="367"/>
    </row>
    <row r="110" spans="1:7" x14ac:dyDescent="0.25">
      <c r="A110" s="366">
        <v>8</v>
      </c>
      <c r="B110" s="367">
        <v>41.2</v>
      </c>
      <c r="C110" s="367">
        <v>53.7</v>
      </c>
      <c r="D110" s="367">
        <v>93.4</v>
      </c>
      <c r="E110" s="367"/>
      <c r="F110" s="367"/>
      <c r="G110" s="367"/>
    </row>
    <row r="111" spans="1:7" x14ac:dyDescent="0.25">
      <c r="A111" s="366">
        <v>9</v>
      </c>
      <c r="B111" s="367">
        <v>49.2</v>
      </c>
      <c r="C111" s="367">
        <v>69.7</v>
      </c>
      <c r="D111" s="367">
        <v>93.8</v>
      </c>
      <c r="E111" s="367"/>
      <c r="F111" s="367"/>
      <c r="G111" s="367"/>
    </row>
    <row r="112" spans="1:7" x14ac:dyDescent="0.25">
      <c r="A112" s="366">
        <v>10</v>
      </c>
      <c r="B112" s="367">
        <v>37.799999999999997</v>
      </c>
      <c r="C112" s="367">
        <v>59.2</v>
      </c>
      <c r="D112" s="367">
        <v>100.7</v>
      </c>
      <c r="E112" s="367"/>
      <c r="F112" s="367"/>
      <c r="G112" s="367"/>
    </row>
    <row r="113" spans="1:7" x14ac:dyDescent="0.25">
      <c r="A113" s="366">
        <v>11</v>
      </c>
      <c r="B113" s="367"/>
      <c r="C113" s="367"/>
      <c r="D113" s="367">
        <v>95.9</v>
      </c>
      <c r="E113" s="377"/>
      <c r="F113" s="377"/>
      <c r="G113" s="377"/>
    </row>
    <row r="114" spans="1:7" x14ac:dyDescent="0.25">
      <c r="A114" s="604" t="s">
        <v>333</v>
      </c>
      <c r="B114" s="604"/>
      <c r="C114" s="604"/>
      <c r="D114" s="604"/>
      <c r="E114" s="604"/>
      <c r="F114" s="604"/>
      <c r="G114" s="604"/>
    </row>
    <row r="115" spans="1:7" ht="14.5" x14ac:dyDescent="0.3">
      <c r="A115" s="355"/>
      <c r="B115" s="605" t="s">
        <v>317</v>
      </c>
      <c r="C115" s="605"/>
      <c r="D115" s="605"/>
      <c r="E115" s="605" t="s">
        <v>318</v>
      </c>
      <c r="F115" s="605"/>
      <c r="G115" s="605"/>
    </row>
    <row r="116" spans="1:7" x14ac:dyDescent="0.25">
      <c r="A116" s="356" t="s">
        <v>319</v>
      </c>
      <c r="B116" s="357" t="s">
        <v>320</v>
      </c>
      <c r="C116" s="357" t="s">
        <v>321</v>
      </c>
      <c r="D116" s="357" t="s">
        <v>322</v>
      </c>
      <c r="E116" s="357" t="s">
        <v>323</v>
      </c>
      <c r="F116" s="357" t="s">
        <v>324</v>
      </c>
      <c r="G116" s="357" t="s">
        <v>325</v>
      </c>
    </row>
    <row r="117" spans="1:7" x14ac:dyDescent="0.25">
      <c r="A117" s="356">
        <v>1</v>
      </c>
      <c r="B117" s="357">
        <v>32.299999999999997</v>
      </c>
      <c r="C117" s="357">
        <v>55.6</v>
      </c>
      <c r="D117" s="357">
        <v>75.599999999999994</v>
      </c>
      <c r="E117" s="357"/>
      <c r="F117" s="357"/>
      <c r="G117" s="357"/>
    </row>
    <row r="118" spans="1:7" x14ac:dyDescent="0.25">
      <c r="A118" s="356">
        <v>2</v>
      </c>
      <c r="B118" s="357">
        <v>24.8</v>
      </c>
      <c r="C118" s="357">
        <v>68</v>
      </c>
      <c r="D118" s="357">
        <v>87.6</v>
      </c>
      <c r="E118" s="357"/>
      <c r="F118" s="357"/>
      <c r="G118" s="357"/>
    </row>
    <row r="119" spans="1:7" x14ac:dyDescent="0.25">
      <c r="A119" s="356">
        <v>3</v>
      </c>
      <c r="B119" s="357">
        <v>27.4</v>
      </c>
      <c r="C119" s="357">
        <v>63.7</v>
      </c>
      <c r="D119" s="357">
        <v>89.5</v>
      </c>
      <c r="E119" s="357"/>
      <c r="F119" s="357"/>
      <c r="G119" s="357"/>
    </row>
    <row r="120" spans="1:7" x14ac:dyDescent="0.25">
      <c r="A120" s="356">
        <v>4</v>
      </c>
      <c r="B120" s="357">
        <v>23.6</v>
      </c>
      <c r="C120" s="357">
        <v>69.7</v>
      </c>
      <c r="D120" s="357">
        <v>109.3</v>
      </c>
      <c r="E120" s="357"/>
      <c r="F120" s="357"/>
      <c r="G120" s="357"/>
    </row>
    <row r="121" spans="1:7" x14ac:dyDescent="0.25">
      <c r="A121" s="356">
        <v>5</v>
      </c>
      <c r="B121" s="357">
        <v>41.6</v>
      </c>
      <c r="C121" s="357">
        <v>62.6</v>
      </c>
      <c r="D121" s="357">
        <v>81</v>
      </c>
      <c r="E121" s="357"/>
      <c r="F121" s="357"/>
      <c r="G121" s="357"/>
    </row>
    <row r="122" spans="1:7" x14ac:dyDescent="0.25">
      <c r="A122" s="356">
        <v>6</v>
      </c>
      <c r="B122" s="357">
        <v>36.6</v>
      </c>
      <c r="C122" s="357">
        <v>67.7</v>
      </c>
      <c r="D122" s="357">
        <v>82.3</v>
      </c>
      <c r="E122" s="357"/>
      <c r="F122" s="357"/>
      <c r="G122" s="357"/>
    </row>
    <row r="125" spans="1:7" ht="29" customHeight="1" x14ac:dyDescent="0.25">
      <c r="A125" s="617" t="s">
        <v>283</v>
      </c>
      <c r="B125" s="614" t="s">
        <v>284</v>
      </c>
      <c r="C125" s="616"/>
      <c r="D125" s="614" t="s">
        <v>285</v>
      </c>
      <c r="E125" s="616"/>
      <c r="F125" s="614" t="s">
        <v>286</v>
      </c>
      <c r="G125" s="616"/>
    </row>
    <row r="126" spans="1:7" x14ac:dyDescent="0.25">
      <c r="A126" s="618"/>
      <c r="B126" s="378" t="s">
        <v>287</v>
      </c>
      <c r="C126" s="378" t="s">
        <v>288</v>
      </c>
      <c r="D126" s="378" t="s">
        <v>287</v>
      </c>
      <c r="E126" s="378" t="s">
        <v>288</v>
      </c>
      <c r="F126" s="378" t="s">
        <v>287</v>
      </c>
      <c r="G126" s="378" t="s">
        <v>288</v>
      </c>
    </row>
    <row r="127" spans="1:7" x14ac:dyDescent="0.25">
      <c r="A127" s="379" t="str">
        <f>A2</f>
        <v>Bama Yanyan swine farm</v>
      </c>
      <c r="B127" s="380">
        <f>ROUNDDOWN(AVERAGE(B5:D16),1)</f>
        <v>59.5</v>
      </c>
      <c r="C127" s="380">
        <f>ROUNDDOWN(AVERAGE(E5:G12),1)</f>
        <v>75.599999999999994</v>
      </c>
      <c r="D127" s="378">
        <v>19899</v>
      </c>
      <c r="E127" s="378">
        <v>12581</v>
      </c>
      <c r="F127" s="378">
        <f>B127*D127</f>
        <v>1183990.5</v>
      </c>
      <c r="G127" s="378">
        <f>C127*E127</f>
        <v>951123.6</v>
      </c>
    </row>
    <row r="128" spans="1:7" x14ac:dyDescent="0.25">
      <c r="A128" s="379" t="str">
        <f>A17</f>
        <v>Chongzuo Zuozhou swine Farm</v>
      </c>
      <c r="B128" s="380">
        <f>ROUNDDOWN(AVERAGE(B20:D26),1)</f>
        <v>59.9</v>
      </c>
      <c r="C128" s="380">
        <f>ROUNDDOWN(AVERAGE(E20:G23),1)</f>
        <v>81.5</v>
      </c>
      <c r="D128" s="378">
        <v>10998</v>
      </c>
      <c r="E128" s="378">
        <v>6982</v>
      </c>
      <c r="F128" s="378">
        <f t="shared" ref="F128:G135" si="0">B128*D128</f>
        <v>658780.19999999995</v>
      </c>
      <c r="G128" s="378">
        <f>C128*E128</f>
        <v>569033</v>
      </c>
    </row>
    <row r="129" spans="1:7" x14ac:dyDescent="0.25">
      <c r="A129" s="379" t="str">
        <f>A27</f>
        <v>Tianyang Wucun swine Farm</v>
      </c>
      <c r="B129" s="380">
        <f>ROUNDDOWN(AVERAGE(B30:D35),1)</f>
        <v>63.6</v>
      </c>
      <c r="C129" s="380">
        <f>ROUNDDOWN(AVERAGE(E30:G35),1)</f>
        <v>83.1</v>
      </c>
      <c r="D129" s="378">
        <v>9501</v>
      </c>
      <c r="E129" s="378">
        <v>6010</v>
      </c>
      <c r="F129" s="378">
        <f t="shared" si="0"/>
        <v>604263.6</v>
      </c>
      <c r="G129" s="378">
        <f>C129*E129</f>
        <v>499430.99999999994</v>
      </c>
    </row>
    <row r="130" spans="1:7" x14ac:dyDescent="0.25">
      <c r="A130" s="379" t="str">
        <f>A36</f>
        <v>Quanzhou Dengjiabu swine Farm</v>
      </c>
      <c r="B130" s="380">
        <f>ROUNDDOWN(AVERAGE(B39:D42),1)</f>
        <v>57.7</v>
      </c>
      <c r="C130" s="380">
        <f>ROUNDDOWN(AVERAGE(E39:G42),1)</f>
        <v>85.1</v>
      </c>
      <c r="D130" s="378">
        <v>5446</v>
      </c>
      <c r="E130" s="378">
        <v>3353</v>
      </c>
      <c r="F130" s="378">
        <f t="shared" si="0"/>
        <v>314234.2</v>
      </c>
      <c r="G130" s="378">
        <f t="shared" si="0"/>
        <v>285340.3</v>
      </c>
    </row>
    <row r="131" spans="1:7" x14ac:dyDescent="0.25">
      <c r="A131" s="379" t="str">
        <f>A43</f>
        <v>Chongzuo Quming swine Farm</v>
      </c>
      <c r="B131" s="380">
        <f>ROUNDDOWN(AVERAGE(B46:D58),1)</f>
        <v>61.4</v>
      </c>
      <c r="C131" s="380">
        <f>ROUNDDOWN(AVERAGE(E46:G53),1)</f>
        <v>78.900000000000006</v>
      </c>
      <c r="D131" s="378">
        <v>22352</v>
      </c>
      <c r="E131" s="378">
        <v>13979</v>
      </c>
      <c r="F131" s="378">
        <f t="shared" si="0"/>
        <v>1372412.8</v>
      </c>
      <c r="G131" s="378">
        <f t="shared" si="0"/>
        <v>1102943.1000000001</v>
      </c>
    </row>
    <row r="132" spans="1:7" x14ac:dyDescent="0.25">
      <c r="A132" s="379" t="str">
        <f>A59</f>
        <v>Jingxi swine Farm</v>
      </c>
      <c r="B132" s="380">
        <f>ROUNDDOWN(AVERAGE(B62:D76),1)</f>
        <v>60.3</v>
      </c>
      <c r="C132" s="380">
        <f>ROUNDDOWN(AVERAGE(E62:G71),1)</f>
        <v>80.900000000000006</v>
      </c>
      <c r="D132" s="378">
        <v>26116</v>
      </c>
      <c r="E132" s="378">
        <v>15924</v>
      </c>
      <c r="F132" s="378">
        <f t="shared" si="0"/>
        <v>1574794.7999999998</v>
      </c>
      <c r="G132" s="378">
        <f t="shared" si="0"/>
        <v>1288251.6000000001</v>
      </c>
    </row>
    <row r="133" spans="1:7" x14ac:dyDescent="0.25">
      <c r="A133" s="379" t="str">
        <f>A77</f>
        <v>Liucheng Mashan swine Farm</v>
      </c>
      <c r="B133" s="380">
        <f>ROUNDDOWN(AVERAGE(B80:D99),1)</f>
        <v>60.6</v>
      </c>
      <c r="C133" s="378">
        <f>ROUNDDOWN(AVERAGE(E80:G91),1)</f>
        <v>78.400000000000006</v>
      </c>
      <c r="D133" s="378">
        <v>33500</v>
      </c>
      <c r="E133" s="378">
        <v>20682</v>
      </c>
      <c r="F133" s="378">
        <f t="shared" si="0"/>
        <v>2030100</v>
      </c>
      <c r="G133" s="378">
        <f t="shared" si="0"/>
        <v>1621468.8</v>
      </c>
    </row>
    <row r="134" spans="1:7" x14ac:dyDescent="0.25">
      <c r="A134" s="379" t="str">
        <f>A100</f>
        <v>Tengxian Tianping swine Farm</v>
      </c>
      <c r="B134" s="380">
        <f>ROUNDDOWN(AVERAGE(B103:D113),1)</f>
        <v>63.4</v>
      </c>
      <c r="C134" s="378">
        <f>ROUNDDOWN(AVERAGE(E103:G108),1)</f>
        <v>81.099999999999994</v>
      </c>
      <c r="D134" s="378">
        <v>16255</v>
      </c>
      <c r="E134" s="378">
        <v>10374</v>
      </c>
      <c r="F134" s="378">
        <f t="shared" si="0"/>
        <v>1030567</v>
      </c>
      <c r="G134" s="378">
        <f t="shared" si="0"/>
        <v>841331.39999999991</v>
      </c>
    </row>
    <row r="135" spans="1:7" x14ac:dyDescent="0.25">
      <c r="A135" s="379" t="str">
        <f>A114</f>
        <v>Debao Chengguan swine Farm</v>
      </c>
      <c r="B135" s="380">
        <f>ROUNDDOWN(AVERAGE(B117:D122),1)</f>
        <v>61</v>
      </c>
      <c r="C135" s="378">
        <v>0</v>
      </c>
      <c r="D135" s="378">
        <v>8758</v>
      </c>
      <c r="E135" s="378">
        <v>0</v>
      </c>
      <c r="F135" s="378">
        <f t="shared" si="0"/>
        <v>534238</v>
      </c>
      <c r="G135" s="378">
        <f t="shared" si="0"/>
        <v>0</v>
      </c>
    </row>
    <row r="136" spans="1:7" x14ac:dyDescent="0.25">
      <c r="A136" s="614" t="s">
        <v>289</v>
      </c>
      <c r="B136" s="615"/>
      <c r="C136" s="616"/>
      <c r="D136" s="378">
        <f>SUM(D127:D135)</f>
        <v>152825</v>
      </c>
      <c r="E136" s="378">
        <f>SUM(E127:E135)</f>
        <v>89885</v>
      </c>
      <c r="F136" s="378">
        <f>SUM(F127:F135)</f>
        <v>9303381.0999999996</v>
      </c>
      <c r="G136" s="378">
        <f>SUM(G127:G135)</f>
        <v>7158922.7999999989</v>
      </c>
    </row>
    <row r="138" spans="1:7" x14ac:dyDescent="0.25">
      <c r="C138" s="614" t="s">
        <v>290</v>
      </c>
      <c r="D138" s="616"/>
    </row>
    <row r="139" spans="1:7" x14ac:dyDescent="0.25">
      <c r="C139" s="378" t="s">
        <v>287</v>
      </c>
      <c r="D139" s="378" t="s">
        <v>288</v>
      </c>
    </row>
    <row r="140" spans="1:7" x14ac:dyDescent="0.25">
      <c r="C140" s="381">
        <f>ROUNDDOWN(F136/D136,1)</f>
        <v>60.8</v>
      </c>
      <c r="D140" s="381">
        <f>ROUNDDOWN(G136/E136,1)</f>
        <v>79.599999999999994</v>
      </c>
    </row>
  </sheetData>
  <mergeCells count="34">
    <mergeCell ref="A136:C136"/>
    <mergeCell ref="C138:D138"/>
    <mergeCell ref="A114:G114"/>
    <mergeCell ref="B115:D115"/>
    <mergeCell ref="E115:G115"/>
    <mergeCell ref="A125:A126"/>
    <mergeCell ref="B125:C125"/>
    <mergeCell ref="D125:E125"/>
    <mergeCell ref="F125:G125"/>
    <mergeCell ref="A77:G77"/>
    <mergeCell ref="B78:D78"/>
    <mergeCell ref="E78:G78"/>
    <mergeCell ref="A100:G100"/>
    <mergeCell ref="B101:D101"/>
    <mergeCell ref="E101:G101"/>
    <mergeCell ref="A43:G43"/>
    <mergeCell ref="B44:D44"/>
    <mergeCell ref="E44:G44"/>
    <mergeCell ref="A59:G59"/>
    <mergeCell ref="B60:D60"/>
    <mergeCell ref="E60:G60"/>
    <mergeCell ref="A27:G27"/>
    <mergeCell ref="B28:D28"/>
    <mergeCell ref="E28:G28"/>
    <mergeCell ref="A36:G36"/>
    <mergeCell ref="B37:D37"/>
    <mergeCell ref="E37:G37"/>
    <mergeCell ref="B18:D18"/>
    <mergeCell ref="E18:G18"/>
    <mergeCell ref="A1:G1"/>
    <mergeCell ref="A2:G2"/>
    <mergeCell ref="B3:D3"/>
    <mergeCell ref="E3:G3"/>
    <mergeCell ref="A17:G17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Cover page</vt:lpstr>
      <vt:lpstr>SDG Outcomes</vt:lpstr>
      <vt:lpstr>Baseline emission</vt:lpstr>
      <vt:lpstr>Project emission</vt:lpstr>
      <vt:lpstr>Leakage</vt:lpstr>
      <vt:lpstr>Reliability Check</vt:lpstr>
      <vt:lpstr>Emission Reduction</vt:lpstr>
      <vt:lpstr>monitoring results</vt:lpstr>
      <vt:lpstr>2021.1</vt:lpstr>
      <vt:lpstr>2021.2</vt:lpstr>
      <vt:lpstr>2021.3</vt:lpstr>
      <vt:lpstr>2021.4</vt:lpstr>
      <vt:lpstr>2021.5</vt:lpstr>
      <vt:lpstr>2021.6</vt:lpstr>
      <vt:lpstr>2021.7</vt:lpstr>
      <vt:lpstr>2021.8</vt:lpstr>
      <vt:lpstr>2021.9</vt:lpstr>
      <vt:lpstr>2021.10</vt:lpstr>
      <vt:lpstr>2021.11</vt:lpstr>
      <vt:lpstr>2021.12</vt:lpstr>
      <vt:lpstr>2022.1</vt:lpstr>
      <vt:lpstr>2022.2</vt:lpstr>
      <vt:lpstr>2022.3</vt:lpstr>
    </vt:vector>
  </TitlesOfParts>
  <Manager>ywert.visser@carbonvietnam.com</Manager>
  <Company>INTRACO Co., Ltd Carbon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Joy Sun</cp:lastModifiedBy>
  <cp:lastPrinted>2011-01-07T02:59:39Z</cp:lastPrinted>
  <dcterms:created xsi:type="dcterms:W3CDTF">2006-12-11T01:48:55Z</dcterms:created>
  <dcterms:modified xsi:type="dcterms:W3CDTF">2022-06-24T10:11:17Z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Ywert Visser</vt:lpwstr>
  </property>
</Properties>
</file>